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Fiorepn\OneDrive - Millennium Challenge Corporation\ERRS\Zambia\"/>
    </mc:Choice>
  </mc:AlternateContent>
  <xr:revisionPtr revIDLastSave="28" documentId="8_{E644D41F-9FE5-4EF1-8979-E374C295F7F4}" xr6:coauthVersionLast="44" xr6:coauthVersionMax="44" xr10:uidLastSave="{09C2A776-0034-4B85-BFDE-39E71FBEFE60}"/>
  <bookViews>
    <workbookView xWindow="-28920" yWindow="-120" windowWidth="29040" windowHeight="17640" activeTab="2" xr2:uid="{00000000-000D-0000-FFFF-FFFF00000000}"/>
  </bookViews>
  <sheets>
    <sheet name="Cover Page" sheetId="32" r:id="rId1"/>
    <sheet name="Project Description" sheetId="37" r:id="rId2"/>
    <sheet name="ERR &amp; Sensitivity Analysis" sheetId="34" r:id="rId3"/>
    <sheet name="Cost-Benefit Summary" sheetId="38" r:id="rId4"/>
    <sheet name="Depreciation of benefits" sheetId="41" r:id="rId5"/>
    <sheet name="ERR" sheetId="15" r:id="rId6"/>
    <sheet name="Costs" sheetId="20" r:id="rId7"/>
    <sheet name="Benefits" sheetId="17" r:id="rId8"/>
    <sheet name="Health" sheetId="1" r:id="rId9"/>
    <sheet name="Health-Stunting" sheetId="13" r:id="rId10"/>
    <sheet name="Drainage" sheetId="14" r:id="rId11"/>
    <sheet name="Time Savings" sheetId="18" r:id="rId12"/>
    <sheet name="NRW" sheetId="19" r:id="rId13"/>
    <sheet name="Travel Time Analysis" sheetId="22" r:id="rId14"/>
    <sheet name="Sources" sheetId="8" r:id="rId15"/>
    <sheet name="Assumptions" sheetId="25" r:id="rId16"/>
    <sheet name="BA Inputs" sheetId="23" r:id="rId17"/>
    <sheet name="Barchart" sheetId="29" r:id="rId18"/>
    <sheet name="Barchart Data" sheetId="27" r:id="rId19"/>
    <sheet name="Poverty Scorecard" sheetId="26" r:id="rId20"/>
    <sheet name="Core Water Network Benefits" sheetId="39" r:id="rId21"/>
    <sheet name="Institutional Strengthening" sheetId="4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LEX1955">'[1]summary-targets'!#REF!</definedName>
    <definedName name="__LEX1975">'[1]summary-targets'!#REF!</definedName>
    <definedName name="__LEX2025">'[1]summary-targets'!#REF!</definedName>
    <definedName name="__reg98">[2]whoreg!#REF!</definedName>
    <definedName name="_xlnm._FilterDatabase" localSheetId="7" hidden="1">Benefits!$A$2:$A$114</definedName>
    <definedName name="_xlnm._FilterDatabase" localSheetId="6" hidden="1">Costs!$A$2:$A$42</definedName>
    <definedName name="_xlnm._FilterDatabase" localSheetId="5" hidden="1">ERR!$A$1:$A$32</definedName>
    <definedName name="_xlnm._FilterDatabase" localSheetId="12" hidden="1">NRW!$A$2:$A$40</definedName>
    <definedName name="_xlnm._FilterDatabase" localSheetId="11" hidden="1">'Time Savings'!$A$2:$A$55</definedName>
    <definedName name="_LEX1955" localSheetId="7">'[3]summary-targets'!#REF!</definedName>
    <definedName name="_LEX1955" localSheetId="6">'[3]summary-targets'!#REF!</definedName>
    <definedName name="_LEX1955" localSheetId="5">'[3]summary-targets'!#REF!</definedName>
    <definedName name="_LEX1955" localSheetId="12">'[3]summary-targets'!#REF!</definedName>
    <definedName name="_LEX1955" localSheetId="14">'[3]summary-targets'!#REF!</definedName>
    <definedName name="_LEX1955" localSheetId="11">'[3]summary-targets'!#REF!</definedName>
    <definedName name="_LEX1955">'[3]summary-targets'!#REF!</definedName>
    <definedName name="_LEX1975" localSheetId="7">'[3]summary-targets'!#REF!</definedName>
    <definedName name="_LEX1975" localSheetId="6">'[3]summary-targets'!#REF!</definedName>
    <definedName name="_LEX1975" localSheetId="5">'[3]summary-targets'!#REF!</definedName>
    <definedName name="_LEX1975" localSheetId="12">'[3]summary-targets'!#REF!</definedName>
    <definedName name="_LEX1975" localSheetId="14">'[3]summary-targets'!#REF!</definedName>
    <definedName name="_LEX1975" localSheetId="11">'[3]summary-targets'!#REF!</definedName>
    <definedName name="_LEX1975">'[3]summary-targets'!#REF!</definedName>
    <definedName name="_LEX2025" localSheetId="7">'[3]summary-targets'!#REF!</definedName>
    <definedName name="_LEX2025" localSheetId="6">'[3]summary-targets'!#REF!</definedName>
    <definedName name="_LEX2025" localSheetId="5">'[3]summary-targets'!#REF!</definedName>
    <definedName name="_LEX2025" localSheetId="12">'[3]summary-targets'!#REF!</definedName>
    <definedName name="_LEX2025" localSheetId="14">'[3]summary-targets'!#REF!</definedName>
    <definedName name="_LEX2025" localSheetId="11">'[3]summary-targets'!#REF!</definedName>
    <definedName name="_LEX2025">'[3]summary-targets'!#REF!</definedName>
    <definedName name="_LU1">[4]LU!$A$3:$V$57</definedName>
    <definedName name="_Ref264385662" localSheetId="16">'BA Inputs'!$A$97</definedName>
    <definedName name="_reg98">[2]whoreg!#REF!</definedName>
    <definedName name="_resul">'[5]slop-inter'!$A$45:$AG$48</definedName>
    <definedName name="_yellowF" localSheetId="15">#REF!</definedName>
    <definedName name="_yellowF" localSheetId="16">#REF!</definedName>
    <definedName name="_yellowF" localSheetId="7">#REF!</definedName>
    <definedName name="_yellowF" localSheetId="6">#REF!</definedName>
    <definedName name="_yellowF" localSheetId="10">#REF!</definedName>
    <definedName name="_yellowF" localSheetId="5">#REF!</definedName>
    <definedName name="_yellowF" localSheetId="12">#REF!</definedName>
    <definedName name="_yellowF" localSheetId="19">#REF!</definedName>
    <definedName name="_yellowF" localSheetId="14">#REF!</definedName>
    <definedName name="_yellowF" localSheetId="11">#REF!</definedName>
    <definedName name="_yellowF">#REF!</definedName>
    <definedName name="_yellowM" localSheetId="15">#REF!</definedName>
    <definedName name="_yellowM" localSheetId="16">#REF!</definedName>
    <definedName name="_yellowM" localSheetId="7">#REF!</definedName>
    <definedName name="_yellowM" localSheetId="6">#REF!</definedName>
    <definedName name="_yellowM" localSheetId="10">#REF!</definedName>
    <definedName name="_yellowM" localSheetId="5">#REF!</definedName>
    <definedName name="_yellowM" localSheetId="12">#REF!</definedName>
    <definedName name="_yellowM" localSheetId="19">#REF!</definedName>
    <definedName name="_yellowM" localSheetId="14">#REF!</definedName>
    <definedName name="_yellowM" localSheetId="11">#REF!</definedName>
    <definedName name="_yellowM">#REF!</definedName>
    <definedName name="Addgrow" localSheetId="15">#REF!</definedName>
    <definedName name="Addgrow" localSheetId="16">#REF!</definedName>
    <definedName name="Addgrow" localSheetId="7">#REF!</definedName>
    <definedName name="Addgrow" localSheetId="6">#REF!</definedName>
    <definedName name="Addgrow" localSheetId="10">#REF!</definedName>
    <definedName name="Addgrow" localSheetId="5">#REF!</definedName>
    <definedName name="Addgrow" localSheetId="12">#REF!</definedName>
    <definedName name="Addgrow" localSheetId="19">#REF!</definedName>
    <definedName name="Addgrow" localSheetId="14">#REF!</definedName>
    <definedName name="Addgrow" localSheetId="11">#REF!</definedName>
    <definedName name="Addgrow">#REF!</definedName>
    <definedName name="Annual_Eff_Benefit_2b">[6]Assumptions!$C$140</definedName>
    <definedName name="Annual_Eff_Benefit_2f">[6]Assumptions!$D$140</definedName>
    <definedName name="Annual_TS_Benefit_2b">[6]Assumptions!$C$126</definedName>
    <definedName name="Annual_TS_Benefit_2f">[6]Assumptions!$D$126</definedName>
    <definedName name="annwage" localSheetId="15">#REF!</definedName>
    <definedName name="annwage" localSheetId="16">#REF!</definedName>
    <definedName name="annwage" localSheetId="7">#REF!</definedName>
    <definedName name="annwage" localSheetId="6">#REF!</definedName>
    <definedName name="annwage" localSheetId="10">#REF!</definedName>
    <definedName name="annwage" localSheetId="5">#REF!</definedName>
    <definedName name="annwage" localSheetId="12">#REF!</definedName>
    <definedName name="annwage" localSheetId="19">#REF!</definedName>
    <definedName name="annwage" localSheetId="14">#REF!</definedName>
    <definedName name="annwage" localSheetId="11">#REF!</definedName>
    <definedName name="annwage">#REF!</definedName>
    <definedName name="avgwage" localSheetId="15">'[7]Key Assumptions'!$G$9</definedName>
    <definedName name="avgwage" localSheetId="16">'[7]Key Assumptions'!$G$9</definedName>
    <definedName name="avgwage" localSheetId="7">'[7]Key Assumptions'!$G$9</definedName>
    <definedName name="avgwage" localSheetId="6">'[7]Key Assumptions'!$G$9</definedName>
    <definedName name="avgwage" localSheetId="10">'[7]Key Assumptions'!$G$9</definedName>
    <definedName name="avgwage" localSheetId="5">'[7]Key Assumptions'!$G$9</definedName>
    <definedName name="avgwage" localSheetId="9">'[7]Key Assumptions'!$G$9</definedName>
    <definedName name="avgwage" localSheetId="12">'[7]Key Assumptions'!$G$9</definedName>
    <definedName name="avgwage" localSheetId="19">'[7]Key Assumptions'!$G$9</definedName>
    <definedName name="avgwage" localSheetId="14">'[7]Key Assumptions'!$G$9</definedName>
    <definedName name="avgwage" localSheetId="11">'[7]Key Assumptions'!$G$9</definedName>
    <definedName name="avgwage">'[8]Key Assumptions'!$G$9</definedName>
    <definedName name="CBWorkbookPriority" hidden="1">-1802552942</definedName>
    <definedName name="Clist" localSheetId="15">#REF!</definedName>
    <definedName name="Clist" localSheetId="16">#REF!</definedName>
    <definedName name="Clist" localSheetId="7">#REF!</definedName>
    <definedName name="Clist" localSheetId="6">#REF!</definedName>
    <definedName name="Clist" localSheetId="10">#REF!</definedName>
    <definedName name="Clist" localSheetId="5">#REF!</definedName>
    <definedName name="Clist" localSheetId="9">#REF!</definedName>
    <definedName name="Clist" localSheetId="12">#REF!</definedName>
    <definedName name="Clist" localSheetId="19">#REF!</definedName>
    <definedName name="Clist" localSheetId="14">#REF!</definedName>
    <definedName name="Clist" localSheetId="11">#REF!</definedName>
    <definedName name="Clist">#REF!</definedName>
    <definedName name="CODE" localSheetId="15">'[9]MEDIUM-2000 REVISION'!#REF!</definedName>
    <definedName name="CODE" localSheetId="16">'[9]MEDIUM-2000 REVISION'!#REF!</definedName>
    <definedName name="CODE" localSheetId="7">'[9]MEDIUM-2000 REVISION'!#REF!</definedName>
    <definedName name="CODE" localSheetId="6">'[9]MEDIUM-2000 REVISION'!#REF!</definedName>
    <definedName name="CODE" localSheetId="10">'[9]MEDIUM-2000 REVISION'!#REF!</definedName>
    <definedName name="CODE" localSheetId="5">'[9]MEDIUM-2000 REVISION'!#REF!</definedName>
    <definedName name="CODE" localSheetId="9">'[9]MEDIUM-2000 REVISION'!#REF!</definedName>
    <definedName name="CODE" localSheetId="12">'[9]MEDIUM-2000 REVISION'!#REF!</definedName>
    <definedName name="CODE" localSheetId="19">'[9]MEDIUM-2000 REVISION'!#REF!</definedName>
    <definedName name="CODE" localSheetId="14">'[9]MEDIUM-2000 REVISION'!#REF!</definedName>
    <definedName name="CODE" localSheetId="11">'[9]MEDIUM-2000 REVISION'!#REF!</definedName>
    <definedName name="CODE">'[9]MEDIUM-2000 REVISION'!#REF!</definedName>
    <definedName name="Current_water_shortfall_2B">[6]Assumptions!$C$51</definedName>
    <definedName name="Current_water_shortfall_2F">[6]Assumptions!$D$51</definedName>
    <definedName name="data" localSheetId="15">#REF!</definedName>
    <definedName name="data" localSheetId="16">#REF!</definedName>
    <definedName name="data" localSheetId="7">#REF!</definedName>
    <definedName name="data" localSheetId="6">#REF!</definedName>
    <definedName name="data" localSheetId="10">#REF!</definedName>
    <definedName name="data" localSheetId="5">#REF!</definedName>
    <definedName name="data" localSheetId="12">#REF!</definedName>
    <definedName name="data" localSheetId="19">#REF!</definedName>
    <definedName name="data" localSheetId="14">#REF!</definedName>
    <definedName name="data" localSheetId="11">#REF!</definedName>
    <definedName name="data">#REF!</definedName>
    <definedName name="_xlnm.Database" localSheetId="15">#REF!</definedName>
    <definedName name="_xlnm.Database" localSheetId="16">#REF!</definedName>
    <definedName name="_xlnm.Database" localSheetId="7">#REF!</definedName>
    <definedName name="_xlnm.Database" localSheetId="6">#REF!</definedName>
    <definedName name="_xlnm.Database" localSheetId="10">#REF!</definedName>
    <definedName name="_xlnm.Database" localSheetId="5">#REF!</definedName>
    <definedName name="_xlnm.Database" localSheetId="12">#REF!</definedName>
    <definedName name="_xlnm.Database" localSheetId="19">#REF!</definedName>
    <definedName name="_xlnm.Database" localSheetId="14">#REF!</definedName>
    <definedName name="_xlnm.Database" localSheetId="11">#REF!</definedName>
    <definedName name="_xlnm.Database">#REF!</definedName>
    <definedName name="Demand_per_person_2010_2b">[6]Assumptions!$C$50</definedName>
    <definedName name="Demand_per_person_2010_2f">[6]Assumptions!$D$50</definedName>
    <definedName name="disc">[10]Assumptions!#REF!</definedName>
    <definedName name="disease_cases">[10]Assumptions!#REF!</definedName>
    <definedName name="DPY" localSheetId="15">'[7]Key Assumptions'!$G$24</definedName>
    <definedName name="DPY" localSheetId="16">'[7]Key Assumptions'!$G$24</definedName>
    <definedName name="DPY" localSheetId="7">'[7]Key Assumptions'!$G$24</definedName>
    <definedName name="DPY" localSheetId="6">'[7]Key Assumptions'!$G$24</definedName>
    <definedName name="DPY" localSheetId="10">'[7]Key Assumptions'!$G$24</definedName>
    <definedName name="DPY" localSheetId="5">'[7]Key Assumptions'!$G$24</definedName>
    <definedName name="DPY" localSheetId="9">'[7]Key Assumptions'!$G$24</definedName>
    <definedName name="DPY" localSheetId="12">'[7]Key Assumptions'!$G$24</definedName>
    <definedName name="DPY" localSheetId="19">'[7]Key Assumptions'!$G$24</definedName>
    <definedName name="DPY" localSheetId="14">'[7]Key Assumptions'!$G$24</definedName>
    <definedName name="DPY" localSheetId="11">'[7]Key Assumptions'!$G$24</definedName>
    <definedName name="DPY">'[8]Key Assumptions'!$G$24</definedName>
    <definedName name="ECF">[4]LU!$AF$8</definedName>
    <definedName name="eduwageadd">[10]Morogoro!$K$31</definedName>
    <definedName name="eduwagenr">[10]Morogoro!$K$29</definedName>
    <definedName name="exch">[10]Assumptions!$F$7</definedName>
    <definedName name="GBDageD95">[11]Deaths!$A$1:$T$643</definedName>
    <definedName name="grow">[10]Assumptions!$F$8</definedName>
    <definedName name="home">'[5]slop-inter'!$D$1:$F$1</definedName>
    <definedName name="Include_Rpymt">[6]Assumptions!$E$145</definedName>
    <definedName name="Include_TSB">[6]Assumptions!$E$144</definedName>
    <definedName name="Include_WLR">[6]Assumptions!$E$143</definedName>
    <definedName name="infl" localSheetId="15">'[7]Key Assumptions'!$G$38</definedName>
    <definedName name="infl" localSheetId="16">'[7]Key Assumptions'!$G$38</definedName>
    <definedName name="infl" localSheetId="7">'[7]Key Assumptions'!$G$38</definedName>
    <definedName name="infl" localSheetId="6">'[7]Key Assumptions'!$G$38</definedName>
    <definedName name="infl" localSheetId="10">'[7]Key Assumptions'!$G$38</definedName>
    <definedName name="infl" localSheetId="5">'[7]Key Assumptions'!$G$38</definedName>
    <definedName name="infl" localSheetId="9">'[7]Key Assumptions'!$G$38</definedName>
    <definedName name="infl" localSheetId="12">'[7]Key Assumptions'!$G$38</definedName>
    <definedName name="infl" localSheetId="19">'[7]Key Assumptions'!$G$38</definedName>
    <definedName name="infl" localSheetId="14">'[7]Key Assumptions'!$G$38</definedName>
    <definedName name="infl" localSheetId="11">'[7]Key Assumptions'!$G$38</definedName>
    <definedName name="infl">'[8]Key Assumptions'!$G$38</definedName>
    <definedName name="Kanyama" localSheetId="15">[12]Setup!#REF!</definedName>
    <definedName name="Kanyama" localSheetId="16">[12]Setup!#REF!</definedName>
    <definedName name="Kanyama" localSheetId="7">[12]Setup!#REF!</definedName>
    <definedName name="Kanyama" localSheetId="6">[12]Setup!#REF!</definedName>
    <definedName name="Kanyama" localSheetId="10">[12]Setup!#REF!</definedName>
    <definedName name="Kanyama" localSheetId="5">[12]Setup!#REF!</definedName>
    <definedName name="Kanyama" localSheetId="9">[12]Setup!#REF!</definedName>
    <definedName name="Kanyama" localSheetId="12">[12]Setup!#REF!</definedName>
    <definedName name="Kanyama" localSheetId="19">[12]Setup!#REF!</definedName>
    <definedName name="Kanyama" localSheetId="14">[12]Setup!#REF!</definedName>
    <definedName name="Kanyama" localSheetId="11">[12]Setup!#REF!</definedName>
    <definedName name="Kanyama">[12]Setup!#REF!</definedName>
    <definedName name="label">[5]lx!$D$1788:$E$1825</definedName>
    <definedName name="LCC" localSheetId="15">'[7]Key Assumptions'!$G$38</definedName>
    <definedName name="LCC" localSheetId="16">'[7]Key Assumptions'!$G$38</definedName>
    <definedName name="LCC" localSheetId="7">'[7]Key Assumptions'!$G$38</definedName>
    <definedName name="LCC" localSheetId="6">'[7]Key Assumptions'!$G$38</definedName>
    <definedName name="LCC" localSheetId="10">'[7]Key Assumptions'!$G$38</definedName>
    <definedName name="LCC" localSheetId="5">'[7]Key Assumptions'!$G$38</definedName>
    <definedName name="LCC" localSheetId="9">'[7]Key Assumptions'!$G$38</definedName>
    <definedName name="LCC" localSheetId="12">'[7]Key Assumptions'!$G$38</definedName>
    <definedName name="LCC" localSheetId="19">'[7]Key Assumptions'!$G$38</definedName>
    <definedName name="LCC" localSheetId="14">'[7]Key Assumptions'!$G$38</definedName>
    <definedName name="LCC" localSheetId="11">'[7]Key Assumptions'!$G$38</definedName>
    <definedName name="LCC">'[8]Key Assumptions'!$G$38</definedName>
    <definedName name="Lessgrow" localSheetId="15">#REF!</definedName>
    <definedName name="Lessgrow" localSheetId="16">#REF!</definedName>
    <definedName name="Lessgrow" localSheetId="7">#REF!</definedName>
    <definedName name="Lessgrow" localSheetId="6">#REF!</definedName>
    <definedName name="Lessgrow" localSheetId="10">#REF!</definedName>
    <definedName name="Lessgrow" localSheetId="5">#REF!</definedName>
    <definedName name="Lessgrow" localSheetId="12">#REF!</definedName>
    <definedName name="Lessgrow" localSheetId="19">#REF!</definedName>
    <definedName name="Lessgrow" localSheetId="14">#REF!</definedName>
    <definedName name="Lessgrow" localSheetId="11">#REF!</definedName>
    <definedName name="Lessgrow">#REF!</definedName>
    <definedName name="list">[10]Assumptions!#REF!</definedName>
    <definedName name="listtt" localSheetId="15">#REF!</definedName>
    <definedName name="listtt" localSheetId="16">#REF!</definedName>
    <definedName name="listtt" localSheetId="7">#REF!</definedName>
    <definedName name="listtt" localSheetId="6">#REF!</definedName>
    <definedName name="listtt" localSheetId="10">#REF!</definedName>
    <definedName name="listtt" localSheetId="5">#REF!</definedName>
    <definedName name="listtt" localSheetId="12">#REF!</definedName>
    <definedName name="listtt" localSheetId="19">#REF!</definedName>
    <definedName name="listtt" localSheetId="14">#REF!</definedName>
    <definedName name="listtt" localSheetId="11">#REF!</definedName>
    <definedName name="listtt">#REF!</definedName>
    <definedName name="Loss_Rate_Tech_Post">[6]Assumptions!$E$64</definedName>
    <definedName name="Loss_Rate_Tech_Pre">[6]Assumptions!$E$58</definedName>
    <definedName name="lpb">[10]Assumptions!$F$6</definedName>
    <definedName name="LUsum">[4]Summary!$A$6:$S$16</definedName>
    <definedName name="lva" localSheetId="15">'[7]Key Assumptions'!$G$37</definedName>
    <definedName name="lva" localSheetId="16">'[7]Key Assumptions'!$G$37</definedName>
    <definedName name="lva" localSheetId="7">'[7]Key Assumptions'!$G$37</definedName>
    <definedName name="lva" localSheetId="6">'[7]Key Assumptions'!$G$37</definedName>
    <definedName name="lva" localSheetId="10">'[7]Key Assumptions'!$G$37</definedName>
    <definedName name="lva" localSheetId="5">'[7]Key Assumptions'!$G$37</definedName>
    <definedName name="lva" localSheetId="9">'[7]Key Assumptions'!$G$37</definedName>
    <definedName name="lva" localSheetId="12">'[7]Key Assumptions'!$G$37</definedName>
    <definedName name="lva" localSheetId="19">'[7]Key Assumptions'!$G$37</definedName>
    <definedName name="lva" localSheetId="14">'[7]Key Assumptions'!$G$37</definedName>
    <definedName name="lva" localSheetId="11">'[7]Key Assumptions'!$G$37</definedName>
    <definedName name="lva">'[8]Key Assumptions'!$G$37</definedName>
    <definedName name="nmarkup">[10]Assumptions!#REF!</definedName>
    <definedName name="omcost">[10]Assumptions!$F$9</definedName>
    <definedName name="PA" localSheetId="15">#REF!</definedName>
    <definedName name="PA" localSheetId="16">#REF!</definedName>
    <definedName name="PA" localSheetId="7">#REF!</definedName>
    <definedName name="PA" localSheetId="6">#REF!</definedName>
    <definedName name="PA" localSheetId="10">#REF!</definedName>
    <definedName name="PA" localSheetId="5">#REF!</definedName>
    <definedName name="PA" localSheetId="12">#REF!</definedName>
    <definedName name="PA" localSheetId="19">#REF!</definedName>
    <definedName name="PA" localSheetId="14">#REF!</definedName>
    <definedName name="PA" localSheetId="11">#REF!</definedName>
    <definedName name="PA">#REF!</definedName>
    <definedName name="pop" localSheetId="15">[12]Setup!#REF!</definedName>
    <definedName name="pop" localSheetId="16">[12]Setup!#REF!</definedName>
    <definedName name="pop" localSheetId="7">[12]Setup!#REF!</definedName>
    <definedName name="pop" localSheetId="6">[12]Setup!#REF!</definedName>
    <definedName name="pop" localSheetId="10">[12]Setup!#REF!</definedName>
    <definedName name="pop" localSheetId="5">[12]Setup!#REF!</definedName>
    <definedName name="pop" localSheetId="9">[12]Setup!#REF!</definedName>
    <definedName name="pop" localSheetId="12">[12]Setup!#REF!</definedName>
    <definedName name="pop" localSheetId="19">[12]Setup!#REF!</definedName>
    <definedName name="pop" localSheetId="14">[12]Setup!#REF!</definedName>
    <definedName name="pop" localSheetId="11">[12]Setup!#REF!</definedName>
    <definedName name="pop">[12]Setup!#REF!</definedName>
    <definedName name="ppp" localSheetId="15">[13]Setup!#REF!</definedName>
    <definedName name="ppp" localSheetId="16">[13]Setup!#REF!</definedName>
    <definedName name="ppp" localSheetId="7">[13]Setup!#REF!</definedName>
    <definedName name="ppp" localSheetId="6">[13]Setup!#REF!</definedName>
    <definedName name="ppp" localSheetId="10">[13]Setup!#REF!</definedName>
    <definedName name="ppp" localSheetId="5">[13]Setup!#REF!</definedName>
    <definedName name="ppp" localSheetId="9">[13]Setup!#REF!</definedName>
    <definedName name="ppp" localSheetId="12">[13]Setup!#REF!</definedName>
    <definedName name="ppp" localSheetId="19">[13]Setup!#REF!</definedName>
    <definedName name="ppp" localSheetId="14">[13]Setup!#REF!</definedName>
    <definedName name="ppp" localSheetId="11">[13]Setup!#REF!</definedName>
    <definedName name="ppp">[13]Setup!#REF!</definedName>
    <definedName name="_xlnm.Print_Area" localSheetId="15">#REF!</definedName>
    <definedName name="_xlnm.Print_Area" localSheetId="16">#REF!</definedName>
    <definedName name="_xlnm.Print_Area" localSheetId="7">#REF!</definedName>
    <definedName name="_xlnm.Print_Area" localSheetId="6">#REF!</definedName>
    <definedName name="_xlnm.Print_Area" localSheetId="10">#REF!</definedName>
    <definedName name="_xlnm.Print_Area" localSheetId="5">#REF!</definedName>
    <definedName name="_xlnm.Print_Area" localSheetId="12">NRW!$A$2:$X$58</definedName>
    <definedName name="_xlnm.Print_Area" localSheetId="19">#REF!</definedName>
    <definedName name="_xlnm.Print_Area" localSheetId="14">#REF!</definedName>
    <definedName name="_xlnm.Print_Area" localSheetId="11">#REF!</definedName>
    <definedName name="_xlnm.Print_Area">#REF!</definedName>
    <definedName name="PrintAr2" localSheetId="15">#REF!</definedName>
    <definedName name="PrintAr2" localSheetId="16">#REF!</definedName>
    <definedName name="PrintAr2" localSheetId="7">#REF!</definedName>
    <definedName name="PrintAr2" localSheetId="6">#REF!</definedName>
    <definedName name="PrintAr2" localSheetId="10">#REF!</definedName>
    <definedName name="PrintAr2" localSheetId="5">#REF!</definedName>
    <definedName name="PrintAr2" localSheetId="12">#REF!</definedName>
    <definedName name="PrintAr2" localSheetId="19">#REF!</definedName>
    <definedName name="PrintAr2" localSheetId="14">#REF!</definedName>
    <definedName name="PrintAr2" localSheetId="11">#REF!</definedName>
    <definedName name="PrintAr2">#REF!</definedName>
    <definedName name="prod">'[14]Key Assumptions'!$H$41</definedName>
    <definedName name="regeco98">[2]whoregeco!#REF!</definedName>
    <definedName name="Savings_per_m3">[6]Assumptions!$E$72</definedName>
    <definedName name="Scale_Benefits">[6]Assumptions!$E$146</definedName>
    <definedName name="SlopeF" localSheetId="15">#REF!</definedName>
    <definedName name="SlopeF" localSheetId="16">#REF!</definedName>
    <definedName name="SlopeF" localSheetId="7">#REF!</definedName>
    <definedName name="SlopeF" localSheetId="6">#REF!</definedName>
    <definedName name="SlopeF" localSheetId="10">#REF!</definedName>
    <definedName name="SlopeF" localSheetId="5">#REF!</definedName>
    <definedName name="SlopeF" localSheetId="12">#REF!</definedName>
    <definedName name="SlopeF" localSheetId="19">#REF!</definedName>
    <definedName name="SlopeF" localSheetId="14">#REF!</definedName>
    <definedName name="SlopeF" localSheetId="11">#REF!</definedName>
    <definedName name="SlopeF">#REF!</definedName>
    <definedName name="slopeintercept">'[15]intercept+slope projections'!$A$3:$H$29</definedName>
    <definedName name="slopeM" localSheetId="15">#REF!</definedName>
    <definedName name="slopeM" localSheetId="16">#REF!</definedName>
    <definedName name="slopeM" localSheetId="7">#REF!</definedName>
    <definedName name="slopeM" localSheetId="6">#REF!</definedName>
    <definedName name="slopeM" localSheetId="10">#REF!</definedName>
    <definedName name="slopeM" localSheetId="5">#REF!</definedName>
    <definedName name="slopeM" localSheetId="12">#REF!</definedName>
    <definedName name="slopeM" localSheetId="19">#REF!</definedName>
    <definedName name="slopeM" localSheetId="14">#REF!</definedName>
    <definedName name="slopeM" localSheetId="11">#REF!</definedName>
    <definedName name="slopeM">#REF!</definedName>
    <definedName name="sort1">'[15]intercept+slope projections'!$A$3:$B$29</definedName>
    <definedName name="sort2">'[15]intercept+slope projections'!$D$3:$F$29</definedName>
    <definedName name="sort3">'[15]intercept+slope projections'!$E$3:$F$29</definedName>
    <definedName name="sort4">'[15]intercept+slope projections'!$G$3:$H$29</definedName>
    <definedName name="SPSS" localSheetId="15">#REF!</definedName>
    <definedName name="SPSS" localSheetId="16">#REF!</definedName>
    <definedName name="SPSS" localSheetId="7">#REF!</definedName>
    <definedName name="SPSS" localSheetId="6">#REF!</definedName>
    <definedName name="SPSS" localSheetId="10">#REF!</definedName>
    <definedName name="SPSS" localSheetId="5">#REF!</definedName>
    <definedName name="SPSS" localSheetId="12">#REF!</definedName>
    <definedName name="SPSS" localSheetId="19">#REF!</definedName>
    <definedName name="SPSS" localSheetId="14">#REF!</definedName>
    <definedName name="SPSS" localSheetId="11">#REF!</definedName>
    <definedName name="SPSS">#REF!</definedName>
    <definedName name="UWSSA">[10]Assumptions!$E$14:$E$16</definedName>
    <definedName name="year">'[15]intercept+slope projections'!$A$3:$A$29</definedName>
    <definedName name="Year1">[10]Assumptions!$F$5</definedName>
    <definedName name="yll" localSheetId="15">[13]Setup!#REF!</definedName>
    <definedName name="yll" localSheetId="16">[13]Setup!#REF!</definedName>
    <definedName name="yll" localSheetId="7">[13]Setup!#REF!</definedName>
    <definedName name="yll" localSheetId="6">[13]Setup!#REF!</definedName>
    <definedName name="yll" localSheetId="10">[13]Setup!#REF!</definedName>
    <definedName name="yll" localSheetId="5">[13]Setup!#REF!</definedName>
    <definedName name="yll" localSheetId="9">[13]Setup!#REF!</definedName>
    <definedName name="yll" localSheetId="12">[13]Setup!#REF!</definedName>
    <definedName name="yll" localSheetId="19">[13]Setup!#REF!</definedName>
    <definedName name="yll" localSheetId="14">[13]Setup!#REF!</definedName>
    <definedName name="yll" localSheetId="11">[13]Setup!#REF!</definedName>
    <definedName name="yll">[13]Setup!#REF!</definedName>
    <definedName name="yll00" localSheetId="15">[12]Setup!#REF!</definedName>
    <definedName name="yll00" localSheetId="16">[12]Setup!#REF!</definedName>
    <definedName name="yll00" localSheetId="7">[12]Setup!#REF!</definedName>
    <definedName name="yll00" localSheetId="6">[12]Setup!#REF!</definedName>
    <definedName name="yll00" localSheetId="10">[12]Setup!#REF!</definedName>
    <definedName name="yll00" localSheetId="5">[12]Setup!#REF!</definedName>
    <definedName name="yll00" localSheetId="9">[12]Setup!#REF!</definedName>
    <definedName name="yll00" localSheetId="12">[12]Setup!#REF!</definedName>
    <definedName name="yll00" localSheetId="19">[12]Setup!#REF!</definedName>
    <definedName name="yll00" localSheetId="14">[12]Setup!#REF!</definedName>
    <definedName name="yll00" localSheetId="11">[12]Setup!#REF!</definedName>
    <definedName name="yll00">[12]Setup!#REF!</definedName>
    <definedName name="yll13">[12]Setup!#REF!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6" l="1"/>
  <c r="D12" i="26"/>
  <c r="D13" i="26"/>
  <c r="D17" i="26"/>
  <c r="D18" i="26"/>
  <c r="D31" i="26"/>
  <c r="D36" i="26"/>
  <c r="D19" i="34"/>
  <c r="C4" i="41" l="1"/>
  <c r="D4" i="41" s="1"/>
  <c r="E4" i="41" s="1"/>
  <c r="F4" i="41" s="1"/>
  <c r="G4" i="41" s="1"/>
  <c r="H4" i="41" s="1"/>
  <c r="I4" i="41" s="1"/>
  <c r="J4" i="41" s="1"/>
  <c r="K4" i="41" s="1"/>
  <c r="L4" i="41" s="1"/>
  <c r="M4" i="41" s="1"/>
  <c r="N4" i="41" s="1"/>
  <c r="O4" i="41" s="1"/>
  <c r="P4" i="41" s="1"/>
  <c r="Q4" i="41" s="1"/>
  <c r="R4" i="41" s="1"/>
  <c r="S4" i="41" s="1"/>
  <c r="T4" i="41" s="1"/>
  <c r="U4" i="41" s="1"/>
  <c r="V4" i="41" s="1"/>
  <c r="C3" i="41"/>
  <c r="D3" i="41" s="1"/>
  <c r="E3" i="41" s="1"/>
  <c r="F3" i="41" s="1"/>
  <c r="G3" i="41" s="1"/>
  <c r="H3" i="41" s="1"/>
  <c r="I3" i="41" s="1"/>
  <c r="J3" i="41" s="1"/>
  <c r="K3" i="41" s="1"/>
  <c r="L3" i="41" s="1"/>
  <c r="M3" i="41" s="1"/>
  <c r="N3" i="41" s="1"/>
  <c r="O3" i="41" s="1"/>
  <c r="P3" i="41" s="1"/>
  <c r="Q3" i="41" s="1"/>
  <c r="R3" i="41" s="1"/>
  <c r="S3" i="41" s="1"/>
  <c r="T3" i="41" s="1"/>
  <c r="U3" i="41" s="1"/>
  <c r="V3" i="41" s="1"/>
  <c r="V8" i="41" s="1"/>
  <c r="T8" i="41" l="1"/>
  <c r="K8" i="41"/>
  <c r="I8" i="41"/>
  <c r="P8" i="41"/>
  <c r="H8" i="41"/>
  <c r="L8" i="41"/>
  <c r="J8" i="41"/>
  <c r="D8" i="41"/>
  <c r="O8" i="41"/>
  <c r="G8" i="41"/>
  <c r="S8" i="41"/>
  <c r="R8" i="41"/>
  <c r="Q8" i="41"/>
  <c r="N8" i="41"/>
  <c r="F8" i="41"/>
  <c r="U8" i="41"/>
  <c r="M8" i="41"/>
  <c r="E8" i="41"/>
  <c r="C31" i="1"/>
  <c r="B12" i="1"/>
  <c r="H18" i="1" s="1"/>
  <c r="B15" i="1"/>
  <c r="D13" i="34"/>
  <c r="E33" i="17"/>
  <c r="F33" i="17"/>
  <c r="G33" i="17"/>
  <c r="H33" i="17"/>
  <c r="D33" i="17"/>
  <c r="G5" i="39"/>
  <c r="G6" i="39" s="1"/>
  <c r="I33" i="17" s="1"/>
  <c r="M7" i="40" l="1"/>
  <c r="O35" i="17" s="1"/>
  <c r="E7" i="40" l="1"/>
  <c r="G35" i="17" s="1"/>
  <c r="C7" i="40"/>
  <c r="E35" i="17" s="1"/>
  <c r="D7" i="40"/>
  <c r="F35" i="17" s="1"/>
  <c r="F7" i="40"/>
  <c r="H35" i="17" s="1"/>
  <c r="G7" i="40"/>
  <c r="I35" i="17" s="1"/>
  <c r="H7" i="40"/>
  <c r="J35" i="17" s="1"/>
  <c r="I7" i="40"/>
  <c r="K35" i="17" s="1"/>
  <c r="J7" i="40"/>
  <c r="L35" i="17" s="1"/>
  <c r="K7" i="40"/>
  <c r="M35" i="17" s="1"/>
  <c r="L7" i="40"/>
  <c r="N35" i="17" s="1"/>
  <c r="N7" i="40"/>
  <c r="P35" i="17" s="1"/>
  <c r="O7" i="40"/>
  <c r="Q35" i="17" s="1"/>
  <c r="Q7" i="40"/>
  <c r="S35" i="17" s="1"/>
  <c r="R7" i="40"/>
  <c r="T35" i="17" s="1"/>
  <c r="S7" i="40"/>
  <c r="U35" i="17" s="1"/>
  <c r="T7" i="40"/>
  <c r="V35" i="17" s="1"/>
  <c r="U7" i="40"/>
  <c r="W35" i="17" s="1"/>
  <c r="V7" i="40"/>
  <c r="X35" i="17" s="1"/>
  <c r="W7" i="40"/>
  <c r="X7" i="40"/>
  <c r="Y7" i="40"/>
  <c r="B7" i="40"/>
  <c r="D35" i="17" s="1"/>
  <c r="Z5" i="39"/>
  <c r="Z6" i="39" s="1"/>
  <c r="Y5" i="39"/>
  <c r="Y6" i="39" s="1"/>
  <c r="X5" i="39"/>
  <c r="X6" i="39" s="1"/>
  <c r="W5" i="39"/>
  <c r="W6" i="39" s="1"/>
  <c r="V5" i="39"/>
  <c r="V6" i="39" s="1"/>
  <c r="X33" i="17" s="1"/>
  <c r="U5" i="39"/>
  <c r="U6" i="39" s="1"/>
  <c r="W33" i="17" s="1"/>
  <c r="T5" i="39"/>
  <c r="T6" i="39" s="1"/>
  <c r="V33" i="17" s="1"/>
  <c r="S5" i="39"/>
  <c r="S6" i="39" s="1"/>
  <c r="U33" i="17" s="1"/>
  <c r="R5" i="39"/>
  <c r="R6" i="39" s="1"/>
  <c r="T33" i="17" s="1"/>
  <c r="Q5" i="39"/>
  <c r="Q6" i="39" s="1"/>
  <c r="S33" i="17" s="1"/>
  <c r="P5" i="39"/>
  <c r="P6" i="39" s="1"/>
  <c r="R33" i="17" s="1"/>
  <c r="O5" i="39"/>
  <c r="O6" i="39" s="1"/>
  <c r="Q33" i="17" s="1"/>
  <c r="N5" i="39"/>
  <c r="N6" i="39" s="1"/>
  <c r="P33" i="17" s="1"/>
  <c r="M5" i="39"/>
  <c r="M6" i="39" s="1"/>
  <c r="O33" i="17" s="1"/>
  <c r="L5" i="39"/>
  <c r="L6" i="39" s="1"/>
  <c r="N33" i="17" s="1"/>
  <c r="K5" i="39"/>
  <c r="K6" i="39" s="1"/>
  <c r="M33" i="17" s="1"/>
  <c r="J5" i="39"/>
  <c r="J6" i="39" s="1"/>
  <c r="L33" i="17" s="1"/>
  <c r="I5" i="39"/>
  <c r="I6" i="39" s="1"/>
  <c r="K33" i="17" s="1"/>
  <c r="H5" i="39"/>
  <c r="H6" i="39" s="1"/>
  <c r="J33" i="17" s="1"/>
  <c r="C33" i="17" l="1"/>
  <c r="B8" i="39"/>
  <c r="B68" i="1" l="1"/>
  <c r="C150" i="15"/>
  <c r="C67" i="18"/>
  <c r="D10" i="34" l="1"/>
  <c r="D9" i="34"/>
  <c r="B17" i="34" l="1"/>
  <c r="C6" i="38"/>
  <c r="D6" i="38" s="1"/>
  <c r="E6" i="38" s="1"/>
  <c r="F6" i="38" s="1"/>
  <c r="G6" i="38" s="1"/>
  <c r="H6" i="38" s="1"/>
  <c r="I6" i="38" s="1"/>
  <c r="J6" i="38" s="1"/>
  <c r="K6" i="38" s="1"/>
  <c r="L6" i="38" s="1"/>
  <c r="M6" i="38" s="1"/>
  <c r="N6" i="38" s="1"/>
  <c r="O6" i="38" s="1"/>
  <c r="P6" i="38" s="1"/>
  <c r="Q6" i="38" s="1"/>
  <c r="R6" i="38" s="1"/>
  <c r="S6" i="38" s="1"/>
  <c r="T6" i="38" s="1"/>
  <c r="U6" i="38" s="1"/>
  <c r="V6" i="38" s="1"/>
  <c r="C7" i="38"/>
  <c r="D7" i="38" s="1"/>
  <c r="E7" i="38" s="1"/>
  <c r="F7" i="38" s="1"/>
  <c r="G7" i="38" s="1"/>
  <c r="H7" i="38" s="1"/>
  <c r="I7" i="38" s="1"/>
  <c r="J7" i="38" s="1"/>
  <c r="K7" i="38" s="1"/>
  <c r="L7" i="38" s="1"/>
  <c r="M7" i="38" s="1"/>
  <c r="N7" i="38" s="1"/>
  <c r="O7" i="38" s="1"/>
  <c r="P7" i="38" s="1"/>
  <c r="Q7" i="38" s="1"/>
  <c r="R7" i="38" s="1"/>
  <c r="S7" i="38" s="1"/>
  <c r="T7" i="38" s="1"/>
  <c r="U7" i="38" s="1"/>
  <c r="V7" i="38" s="1"/>
  <c r="E110" i="23" l="1"/>
  <c r="E111" i="23"/>
  <c r="K32" i="15" l="1"/>
  <c r="E41" i="1" l="1"/>
  <c r="D30" i="1" s="1"/>
  <c r="E42" i="1" l="1"/>
  <c r="D126" i="15"/>
  <c r="H24" i="20" s="1"/>
  <c r="E21" i="20"/>
  <c r="F21" i="20"/>
  <c r="G21" i="20"/>
  <c r="H21" i="20"/>
  <c r="I21" i="20"/>
  <c r="J21" i="20"/>
  <c r="K21" i="20"/>
  <c r="L21" i="20"/>
  <c r="M21" i="20"/>
  <c r="N21" i="20"/>
  <c r="O21" i="20"/>
  <c r="P21" i="20"/>
  <c r="Q21" i="20"/>
  <c r="R21" i="20"/>
  <c r="S21" i="20"/>
  <c r="T21" i="20"/>
  <c r="U21" i="20"/>
  <c r="V21" i="20"/>
  <c r="W21" i="20"/>
  <c r="X21" i="20"/>
  <c r="D21" i="20"/>
  <c r="D124" i="15"/>
  <c r="C56" i="1"/>
  <c r="C55" i="1" s="1"/>
  <c r="G111" i="18"/>
  <c r="E40" i="1"/>
  <c r="E53" i="23" s="1"/>
  <c r="G61" i="1"/>
  <c r="G60" i="1"/>
  <c r="I138" i="13"/>
  <c r="J138" i="13" s="1"/>
  <c r="J140" i="13" s="1"/>
  <c r="I137" i="13"/>
  <c r="J137" i="13" s="1"/>
  <c r="D108" i="13"/>
  <c r="G178" i="1"/>
  <c r="E5" i="20"/>
  <c r="E5" i="17"/>
  <c r="D22" i="17" s="1"/>
  <c r="C82" i="15" s="1"/>
  <c r="C82" i="13"/>
  <c r="C83" i="13" s="1"/>
  <c r="C87" i="13" s="1"/>
  <c r="C23" i="13"/>
  <c r="F50" i="27"/>
  <c r="F51" i="27"/>
  <c r="F49" i="27"/>
  <c r="C53" i="27"/>
  <c r="C54" i="27"/>
  <c r="C52" i="27"/>
  <c r="C241" i="18"/>
  <c r="C237" i="18"/>
  <c r="C158" i="1"/>
  <c r="C181" i="1" s="1"/>
  <c r="C204" i="1" s="1"/>
  <c r="W204" i="1" s="1"/>
  <c r="C163" i="1"/>
  <c r="E35" i="27"/>
  <c r="E36" i="27"/>
  <c r="E37" i="27"/>
  <c r="E34" i="27"/>
  <c r="G203" i="23"/>
  <c r="N110" i="1"/>
  <c r="N111" i="1" s="1"/>
  <c r="N112" i="1" s="1"/>
  <c r="F87" i="1"/>
  <c r="E114" i="1"/>
  <c r="C12" i="1"/>
  <c r="L41" i="1"/>
  <c r="D49" i="19"/>
  <c r="D48" i="19"/>
  <c r="F213" i="18"/>
  <c r="F212" i="18"/>
  <c r="F209" i="18"/>
  <c r="G153" i="18"/>
  <c r="G155" i="18" s="1"/>
  <c r="I48" i="1"/>
  <c r="F48" i="1"/>
  <c r="D278" i="1"/>
  <c r="E278" i="1"/>
  <c r="F278" i="1"/>
  <c r="G278" i="1"/>
  <c r="H278" i="1"/>
  <c r="C278" i="1"/>
  <c r="C204" i="18"/>
  <c r="C16" i="20"/>
  <c r="C13" i="20"/>
  <c r="B6" i="27" s="1"/>
  <c r="C102" i="15"/>
  <c r="B17" i="1"/>
  <c r="D79" i="15"/>
  <c r="E79" i="15"/>
  <c r="F79" i="15"/>
  <c r="G79" i="15"/>
  <c r="H79" i="15"/>
  <c r="I79" i="15"/>
  <c r="J79" i="15"/>
  <c r="K79" i="15"/>
  <c r="L79" i="15"/>
  <c r="M79" i="15"/>
  <c r="N79" i="15"/>
  <c r="O79" i="15"/>
  <c r="P79" i="15"/>
  <c r="Q79" i="15"/>
  <c r="R79" i="15"/>
  <c r="S79" i="15"/>
  <c r="T79" i="15"/>
  <c r="U79" i="15"/>
  <c r="V79" i="15"/>
  <c r="W79" i="15"/>
  <c r="C79" i="15"/>
  <c r="D76" i="15"/>
  <c r="E76" i="15"/>
  <c r="F76" i="15"/>
  <c r="G76" i="15"/>
  <c r="H76" i="15"/>
  <c r="I76" i="15"/>
  <c r="J76" i="15"/>
  <c r="K76" i="15"/>
  <c r="L76" i="15"/>
  <c r="M76" i="15"/>
  <c r="N76" i="15"/>
  <c r="O76" i="15"/>
  <c r="P76" i="15"/>
  <c r="Q76" i="15"/>
  <c r="R76" i="15"/>
  <c r="S76" i="15"/>
  <c r="T76" i="15"/>
  <c r="U76" i="15"/>
  <c r="V76" i="15"/>
  <c r="W76" i="15"/>
  <c r="C76" i="15"/>
  <c r="D72" i="15"/>
  <c r="E72" i="15"/>
  <c r="F72" i="15"/>
  <c r="G72" i="15"/>
  <c r="H72" i="15"/>
  <c r="I72" i="15"/>
  <c r="J72" i="15"/>
  <c r="K72" i="15"/>
  <c r="L72" i="15"/>
  <c r="M72" i="15"/>
  <c r="N72" i="15"/>
  <c r="O72" i="15"/>
  <c r="P72" i="15"/>
  <c r="Q72" i="15"/>
  <c r="R72" i="15"/>
  <c r="S72" i="15"/>
  <c r="T72" i="15"/>
  <c r="U72" i="15"/>
  <c r="V72" i="15"/>
  <c r="W72" i="15"/>
  <c r="C72" i="15"/>
  <c r="D67" i="15"/>
  <c r="E67" i="15" s="1"/>
  <c r="F67" i="15" s="1"/>
  <c r="G67" i="15" s="1"/>
  <c r="H67" i="15" s="1"/>
  <c r="I67" i="15" s="1"/>
  <c r="J67" i="15" s="1"/>
  <c r="K67" i="15" s="1"/>
  <c r="L67" i="15" s="1"/>
  <c r="M67" i="15" s="1"/>
  <c r="N67" i="15" s="1"/>
  <c r="O67" i="15" s="1"/>
  <c r="P67" i="15" s="1"/>
  <c r="Q67" i="15" s="1"/>
  <c r="R67" i="15" s="1"/>
  <c r="S67" i="15" s="1"/>
  <c r="T67" i="15" s="1"/>
  <c r="U67" i="15" s="1"/>
  <c r="V67" i="15" s="1"/>
  <c r="W67" i="15" s="1"/>
  <c r="H21" i="1"/>
  <c r="J21" i="1" s="1"/>
  <c r="D48" i="13"/>
  <c r="F45" i="13"/>
  <c r="E12" i="13"/>
  <c r="E23" i="13" s="1"/>
  <c r="F12" i="13"/>
  <c r="I364" i="1"/>
  <c r="J364" i="1" s="1"/>
  <c r="K364" i="1" s="1"/>
  <c r="L364" i="1" s="1"/>
  <c r="M364" i="1" s="1"/>
  <c r="N364" i="1" s="1"/>
  <c r="O364" i="1" s="1"/>
  <c r="P364" i="1" s="1"/>
  <c r="Q364" i="1" s="1"/>
  <c r="R364" i="1" s="1"/>
  <c r="S364" i="1" s="1"/>
  <c r="T364" i="1" s="1"/>
  <c r="U364" i="1" s="1"/>
  <c r="V364" i="1" s="1"/>
  <c r="I341" i="1"/>
  <c r="J341" i="1" s="1"/>
  <c r="K341" i="1" s="1"/>
  <c r="L341" i="1" s="1"/>
  <c r="M341" i="1" s="1"/>
  <c r="N341" i="1" s="1"/>
  <c r="O341" i="1" s="1"/>
  <c r="P341" i="1" s="1"/>
  <c r="Q341" i="1" s="1"/>
  <c r="R341" i="1" s="1"/>
  <c r="S341" i="1" s="1"/>
  <c r="T341" i="1" s="1"/>
  <c r="U341" i="1" s="1"/>
  <c r="V341" i="1" s="1"/>
  <c r="L34" i="13"/>
  <c r="P34" i="13"/>
  <c r="L35" i="13"/>
  <c r="P35" i="13"/>
  <c r="L36" i="13"/>
  <c r="P36" i="13"/>
  <c r="L37" i="13"/>
  <c r="N37" i="13"/>
  <c r="N36" i="13" s="1"/>
  <c r="N35" i="13" s="1"/>
  <c r="N34" i="13" s="1"/>
  <c r="N33" i="13" s="1"/>
  <c r="P37" i="13"/>
  <c r="C27" i="20"/>
  <c r="F72" i="18"/>
  <c r="B41" i="13"/>
  <c r="C42" i="13" s="1"/>
  <c r="E209" i="23"/>
  <c r="E207" i="23"/>
  <c r="E206" i="23"/>
  <c r="E204" i="23"/>
  <c r="J202" i="23"/>
  <c r="I202" i="23"/>
  <c r="G202" i="23"/>
  <c r="H52" i="23"/>
  <c r="G31" i="1"/>
  <c r="D26" i="23"/>
  <c r="E57" i="23"/>
  <c r="E56" i="23"/>
  <c r="D159" i="23" s="1"/>
  <c r="E159" i="23" s="1"/>
  <c r="E54" i="23"/>
  <c r="D139" i="23" s="1"/>
  <c r="H139" i="23" s="1"/>
  <c r="E52" i="23"/>
  <c r="E170" i="23"/>
  <c r="E118" i="14"/>
  <c r="F118" i="14"/>
  <c r="H118" i="14"/>
  <c r="E119" i="14"/>
  <c r="F119" i="14"/>
  <c r="H119" i="14"/>
  <c r="E120" i="14"/>
  <c r="F120" i="14"/>
  <c r="H120" i="14"/>
  <c r="E121" i="14"/>
  <c r="F121" i="14"/>
  <c r="H121" i="14"/>
  <c r="E122" i="14"/>
  <c r="F122" i="14"/>
  <c r="H122" i="14"/>
  <c r="E106" i="22"/>
  <c r="D106" i="22"/>
  <c r="C106" i="22"/>
  <c r="B64" i="22"/>
  <c r="B68" i="22"/>
  <c r="J178" i="18"/>
  <c r="J175" i="18"/>
  <c r="M25" i="15"/>
  <c r="M24" i="15"/>
  <c r="G10" i="25"/>
  <c r="M10" i="25"/>
  <c r="P10" i="25"/>
  <c r="R10" i="25"/>
  <c r="V10" i="25"/>
  <c r="BH10" i="25"/>
  <c r="BI10" i="25"/>
  <c r="BJ10" i="25"/>
  <c r="BK10" i="25"/>
  <c r="BL10" i="25"/>
  <c r="BM10" i="25"/>
  <c r="G11" i="25"/>
  <c r="M11" i="25"/>
  <c r="P11" i="25"/>
  <c r="R11" i="25"/>
  <c r="V11" i="25"/>
  <c r="BH11" i="25"/>
  <c r="BI11" i="25"/>
  <c r="BJ11" i="25"/>
  <c r="BK11" i="25"/>
  <c r="BL11" i="25"/>
  <c r="BM11" i="25"/>
  <c r="G12" i="25"/>
  <c r="M12" i="25"/>
  <c r="P12" i="25"/>
  <c r="R12" i="25"/>
  <c r="V12" i="25"/>
  <c r="BH12" i="25"/>
  <c r="BI12" i="25"/>
  <c r="BJ12" i="25"/>
  <c r="BK12" i="25"/>
  <c r="BL12" i="25"/>
  <c r="BM12" i="25"/>
  <c r="G13" i="25"/>
  <c r="M13" i="25"/>
  <c r="P13" i="25"/>
  <c r="R13" i="25"/>
  <c r="V13" i="25"/>
  <c r="BH13" i="25"/>
  <c r="BI13" i="25"/>
  <c r="BJ13" i="25"/>
  <c r="BK13" i="25"/>
  <c r="BL13" i="25"/>
  <c r="BM13" i="25"/>
  <c r="G14" i="25"/>
  <c r="M14" i="25"/>
  <c r="P14" i="25"/>
  <c r="R14" i="25"/>
  <c r="V14" i="25"/>
  <c r="BH14" i="25"/>
  <c r="BI14" i="25"/>
  <c r="BJ14" i="25"/>
  <c r="BK14" i="25"/>
  <c r="BL14" i="25"/>
  <c r="BM14" i="25"/>
  <c r="G15" i="25"/>
  <c r="M15" i="25"/>
  <c r="P15" i="25"/>
  <c r="R15" i="25"/>
  <c r="V15" i="25"/>
  <c r="BH15" i="25"/>
  <c r="BI15" i="25"/>
  <c r="BJ15" i="25"/>
  <c r="BK15" i="25"/>
  <c r="BL15" i="25"/>
  <c r="BM15" i="25"/>
  <c r="G16" i="25"/>
  <c r="M16" i="25"/>
  <c r="P16" i="25"/>
  <c r="R16" i="25"/>
  <c r="V16" i="25"/>
  <c r="BH16" i="25"/>
  <c r="BI16" i="25"/>
  <c r="BJ16" i="25"/>
  <c r="BK16" i="25"/>
  <c r="BL16" i="25"/>
  <c r="BM16" i="25"/>
  <c r="G17" i="25"/>
  <c r="M17" i="25"/>
  <c r="P17" i="25"/>
  <c r="R17" i="25"/>
  <c r="V17" i="25"/>
  <c r="BH17" i="25"/>
  <c r="BI17" i="25"/>
  <c r="BJ17" i="25"/>
  <c r="BK17" i="25"/>
  <c r="BL17" i="25"/>
  <c r="BM17" i="25"/>
  <c r="G18" i="25"/>
  <c r="M18" i="25"/>
  <c r="P18" i="25"/>
  <c r="R18" i="25"/>
  <c r="V18" i="25"/>
  <c r="BH18" i="25"/>
  <c r="BI18" i="25"/>
  <c r="BJ18" i="25"/>
  <c r="BK18" i="25"/>
  <c r="BL18" i="25"/>
  <c r="BM18" i="25"/>
  <c r="G19" i="25"/>
  <c r="M19" i="25"/>
  <c r="P19" i="25"/>
  <c r="R19" i="25"/>
  <c r="V19" i="25"/>
  <c r="BH19" i="25"/>
  <c r="BI19" i="25"/>
  <c r="BJ19" i="25"/>
  <c r="BK19" i="25"/>
  <c r="BL19" i="25"/>
  <c r="BM19" i="25"/>
  <c r="G20" i="25"/>
  <c r="M20" i="25"/>
  <c r="P20" i="25"/>
  <c r="R20" i="25"/>
  <c r="V20" i="25"/>
  <c r="BH20" i="25"/>
  <c r="BI20" i="25"/>
  <c r="BJ20" i="25"/>
  <c r="BK20" i="25"/>
  <c r="BL20" i="25"/>
  <c r="BM20" i="25"/>
  <c r="G21" i="25"/>
  <c r="M21" i="25"/>
  <c r="P21" i="25"/>
  <c r="R21" i="25"/>
  <c r="V21" i="25"/>
  <c r="BH21" i="25"/>
  <c r="BI21" i="25"/>
  <c r="BJ21" i="25"/>
  <c r="BK21" i="25"/>
  <c r="BL21" i="25"/>
  <c r="BM21" i="25"/>
  <c r="G22" i="25"/>
  <c r="M22" i="25"/>
  <c r="P22" i="25"/>
  <c r="R22" i="25"/>
  <c r="V22" i="25"/>
  <c r="BH22" i="25"/>
  <c r="BI22" i="25"/>
  <c r="BJ22" i="25"/>
  <c r="BK22" i="25"/>
  <c r="BL22" i="25"/>
  <c r="BM22" i="25"/>
  <c r="G23" i="25"/>
  <c r="M23" i="25"/>
  <c r="P23" i="25"/>
  <c r="R23" i="25"/>
  <c r="V23" i="25"/>
  <c r="BH23" i="25"/>
  <c r="BI23" i="25"/>
  <c r="BJ23" i="25"/>
  <c r="BK23" i="25"/>
  <c r="BL23" i="25"/>
  <c r="BM23" i="25"/>
  <c r="G24" i="25"/>
  <c r="M24" i="25"/>
  <c r="P24" i="25"/>
  <c r="R24" i="25"/>
  <c r="V24" i="25"/>
  <c r="BH24" i="25"/>
  <c r="BI24" i="25"/>
  <c r="BJ24" i="25"/>
  <c r="BK24" i="25"/>
  <c r="BL24" i="25"/>
  <c r="BM24" i="25"/>
  <c r="G25" i="25"/>
  <c r="M25" i="25"/>
  <c r="P25" i="25"/>
  <c r="R25" i="25"/>
  <c r="V25" i="25"/>
  <c r="BH25" i="25"/>
  <c r="BI25" i="25"/>
  <c r="BJ25" i="25"/>
  <c r="BK25" i="25"/>
  <c r="BL25" i="25"/>
  <c r="BM25" i="25"/>
  <c r="G26" i="25"/>
  <c r="M26" i="25"/>
  <c r="P26" i="25"/>
  <c r="R26" i="25"/>
  <c r="V26" i="25"/>
  <c r="BH26" i="25"/>
  <c r="BI26" i="25"/>
  <c r="BJ26" i="25"/>
  <c r="BK26" i="25"/>
  <c r="BL26" i="25"/>
  <c r="BM26" i="25"/>
  <c r="G27" i="25"/>
  <c r="M27" i="25"/>
  <c r="P27" i="25"/>
  <c r="R27" i="25"/>
  <c r="V27" i="25"/>
  <c r="BH27" i="25"/>
  <c r="BI27" i="25"/>
  <c r="BJ27" i="25"/>
  <c r="BK27" i="25"/>
  <c r="BL27" i="25"/>
  <c r="BM27" i="25"/>
  <c r="G28" i="25"/>
  <c r="M28" i="25"/>
  <c r="P28" i="25"/>
  <c r="R28" i="25"/>
  <c r="V28" i="25"/>
  <c r="BH28" i="25"/>
  <c r="BI28" i="25"/>
  <c r="BJ28" i="25"/>
  <c r="BK28" i="25"/>
  <c r="BL28" i="25"/>
  <c r="BM28" i="25"/>
  <c r="G29" i="25"/>
  <c r="M29" i="25"/>
  <c r="P29" i="25"/>
  <c r="R29" i="25"/>
  <c r="V29" i="25"/>
  <c r="BH29" i="25"/>
  <c r="BI29" i="25"/>
  <c r="BJ29" i="25"/>
  <c r="BK29" i="25"/>
  <c r="BL29" i="25"/>
  <c r="BM29" i="25"/>
  <c r="G30" i="25"/>
  <c r="M30" i="25"/>
  <c r="P30" i="25"/>
  <c r="R30" i="25"/>
  <c r="V30" i="25"/>
  <c r="BH30" i="25"/>
  <c r="BI30" i="25"/>
  <c r="BJ30" i="25"/>
  <c r="BK30" i="25"/>
  <c r="BL30" i="25"/>
  <c r="BM30" i="25"/>
  <c r="G31" i="25"/>
  <c r="M31" i="25"/>
  <c r="P31" i="25"/>
  <c r="R31" i="25"/>
  <c r="V31" i="25"/>
  <c r="BH31" i="25"/>
  <c r="BI31" i="25"/>
  <c r="BJ31" i="25"/>
  <c r="BK31" i="25"/>
  <c r="BL31" i="25"/>
  <c r="BM31" i="25"/>
  <c r="G32" i="25"/>
  <c r="M32" i="25"/>
  <c r="P32" i="25"/>
  <c r="R32" i="25"/>
  <c r="V32" i="25"/>
  <c r="BH32" i="25"/>
  <c r="BI32" i="25"/>
  <c r="BJ32" i="25"/>
  <c r="BK32" i="25"/>
  <c r="BL32" i="25"/>
  <c r="BM32" i="25"/>
  <c r="G33" i="25"/>
  <c r="M33" i="25"/>
  <c r="P33" i="25"/>
  <c r="R33" i="25"/>
  <c r="V33" i="25"/>
  <c r="BH33" i="25"/>
  <c r="BI33" i="25"/>
  <c r="BJ33" i="25"/>
  <c r="BK33" i="25"/>
  <c r="BL33" i="25"/>
  <c r="BM33" i="25"/>
  <c r="G34" i="25"/>
  <c r="M34" i="25"/>
  <c r="P34" i="25"/>
  <c r="R34" i="25"/>
  <c r="V34" i="25"/>
  <c r="BH34" i="25"/>
  <c r="BI34" i="25"/>
  <c r="BJ34" i="25"/>
  <c r="BK34" i="25"/>
  <c r="BL34" i="25"/>
  <c r="BM34" i="25"/>
  <c r="AA38" i="25"/>
  <c r="E39" i="25"/>
  <c r="AA39" i="25"/>
  <c r="P40" i="25"/>
  <c r="T40" i="25"/>
  <c r="AA40" i="25"/>
  <c r="P41" i="25"/>
  <c r="T41" i="25"/>
  <c r="AA41" i="25"/>
  <c r="P42" i="25"/>
  <c r="T42" i="25"/>
  <c r="AA42" i="25"/>
  <c r="P43" i="25"/>
  <c r="R43" i="25"/>
  <c r="R42" i="25"/>
  <c r="R41" i="25" s="1"/>
  <c r="R40" i="25" s="1"/>
  <c r="R39" i="25" s="1"/>
  <c r="T43" i="25"/>
  <c r="P44" i="25"/>
  <c r="T44" i="25"/>
  <c r="P45" i="25"/>
  <c r="R45" i="25"/>
  <c r="R46" i="25" s="1"/>
  <c r="R47" i="25" s="1"/>
  <c r="R48" i="25" s="1"/>
  <c r="R49" i="25" s="1"/>
  <c r="R50" i="25" s="1"/>
  <c r="T45" i="25"/>
  <c r="P46" i="25"/>
  <c r="T46" i="25"/>
  <c r="P47" i="25"/>
  <c r="T47" i="25"/>
  <c r="P48" i="25"/>
  <c r="T48" i="25"/>
  <c r="B106" i="22"/>
  <c r="U48" i="25"/>
  <c r="T52" i="25" s="1"/>
  <c r="O49" i="25"/>
  <c r="Q49" i="25"/>
  <c r="O50" i="25"/>
  <c r="O51" i="25" s="1"/>
  <c r="V50" i="25"/>
  <c r="Q50" i="25"/>
  <c r="Q51" i="25" s="1"/>
  <c r="B70" i="22"/>
  <c r="E13" i="23"/>
  <c r="F16" i="23"/>
  <c r="G18" i="23"/>
  <c r="D27" i="23"/>
  <c r="D28" i="23"/>
  <c r="D30" i="23"/>
  <c r="D31" i="23"/>
  <c r="D42" i="23"/>
  <c r="E89" i="23"/>
  <c r="E140" i="23"/>
  <c r="H140" i="23"/>
  <c r="H141" i="23"/>
  <c r="F170" i="23"/>
  <c r="G170" i="23"/>
  <c r="G171" i="23"/>
  <c r="H160" i="23"/>
  <c r="H161" i="23" s="1"/>
  <c r="F110" i="23"/>
  <c r="F111" i="23" s="1"/>
  <c r="G110" i="23"/>
  <c r="G111" i="23"/>
  <c r="H110" i="23"/>
  <c r="H111" i="23"/>
  <c r="E120" i="23"/>
  <c r="E121" i="23" s="1"/>
  <c r="F120" i="23"/>
  <c r="F121" i="23" s="1"/>
  <c r="G120" i="23"/>
  <c r="G121" i="23"/>
  <c r="H120" i="23"/>
  <c r="H121" i="23" s="1"/>
  <c r="E130" i="23"/>
  <c r="F130" i="23"/>
  <c r="F131" i="23" s="1"/>
  <c r="G130" i="23"/>
  <c r="H130" i="23"/>
  <c r="H131" i="23"/>
  <c r="E131" i="23"/>
  <c r="D131" i="23" s="1"/>
  <c r="G131" i="23"/>
  <c r="F140" i="23"/>
  <c r="F141" i="23"/>
  <c r="G140" i="23"/>
  <c r="G141" i="23" s="1"/>
  <c r="E148" i="23"/>
  <c r="F148" i="23"/>
  <c r="E158" i="23"/>
  <c r="F158" i="23"/>
  <c r="F160" i="23"/>
  <c r="F161" i="23"/>
  <c r="G160" i="23"/>
  <c r="G161" i="23" s="1"/>
  <c r="E178" i="23"/>
  <c r="F178" i="23"/>
  <c r="L18" i="14"/>
  <c r="L31" i="14" s="1"/>
  <c r="K18" i="14"/>
  <c r="K31" i="14" s="1"/>
  <c r="J18" i="14"/>
  <c r="I18" i="14"/>
  <c r="H18" i="14"/>
  <c r="H31" i="14" s="1"/>
  <c r="G18" i="14"/>
  <c r="G31" i="14" s="1"/>
  <c r="F18" i="14"/>
  <c r="F31" i="14" s="1"/>
  <c r="M16" i="22"/>
  <c r="M17" i="22"/>
  <c r="M18" i="22"/>
  <c r="M19" i="22"/>
  <c r="M20" i="22"/>
  <c r="M21" i="22"/>
  <c r="M22" i="22"/>
  <c r="M23" i="22"/>
  <c r="M24" i="22"/>
  <c r="M25" i="22"/>
  <c r="B30" i="22"/>
  <c r="E30" i="22"/>
  <c r="F30" i="22" s="1"/>
  <c r="G30" i="22" s="1"/>
  <c r="H30" i="22" s="1"/>
  <c r="I30" i="22" s="1"/>
  <c r="J30" i="22" s="1"/>
  <c r="E44" i="22" s="1"/>
  <c r="E31" i="22"/>
  <c r="F31" i="22"/>
  <c r="G31" i="22" s="1"/>
  <c r="H31" i="22" s="1"/>
  <c r="I31" i="22" s="1"/>
  <c r="J31" i="22" s="1"/>
  <c r="E32" i="22"/>
  <c r="F32" i="22" s="1"/>
  <c r="G32" i="22" s="1"/>
  <c r="H32" i="22" s="1"/>
  <c r="I32" i="22" s="1"/>
  <c r="J32" i="22" s="1"/>
  <c r="E33" i="22"/>
  <c r="F33" i="22"/>
  <c r="G33" i="22"/>
  <c r="H33" i="22" s="1"/>
  <c r="I33" i="22" s="1"/>
  <c r="J33" i="22" s="1"/>
  <c r="E34" i="22"/>
  <c r="E35" i="22"/>
  <c r="F35" i="22" s="1"/>
  <c r="E36" i="22"/>
  <c r="F36" i="22" s="1"/>
  <c r="G36" i="22" s="1"/>
  <c r="H36" i="22" s="1"/>
  <c r="I36" i="22" s="1"/>
  <c r="J36" i="22" s="1"/>
  <c r="E37" i="22"/>
  <c r="F37" i="22" s="1"/>
  <c r="G37" i="22" s="1"/>
  <c r="H37" i="22" s="1"/>
  <c r="E38" i="22"/>
  <c r="Z45" i="22"/>
  <c r="B61" i="22"/>
  <c r="B65" i="22"/>
  <c r="F68" i="22"/>
  <c r="B74" i="22"/>
  <c r="B75" i="22"/>
  <c r="B76" i="22"/>
  <c r="B77" i="22"/>
  <c r="B78" i="22"/>
  <c r="B79" i="22"/>
  <c r="B80" i="22"/>
  <c r="B81" i="22"/>
  <c r="B82" i="22"/>
  <c r="B86" i="22"/>
  <c r="B88" i="22"/>
  <c r="D97" i="22"/>
  <c r="B128" i="22" s="1"/>
  <c r="E97" i="22"/>
  <c r="B129" i="22" s="1"/>
  <c r="F97" i="22"/>
  <c r="B130" i="22" s="1"/>
  <c r="B110" i="22"/>
  <c r="B112" i="22"/>
  <c r="R143" i="22" s="1"/>
  <c r="B114" i="22"/>
  <c r="B118" i="22"/>
  <c r="B119" i="22"/>
  <c r="B120" i="22"/>
  <c r="D128" i="22"/>
  <c r="D129" i="22"/>
  <c r="D130" i="22"/>
  <c r="Z136" i="22"/>
  <c r="D141" i="22"/>
  <c r="D142" i="22"/>
  <c r="P142" i="22"/>
  <c r="D143" i="22"/>
  <c r="D120" i="23"/>
  <c r="D33" i="23"/>
  <c r="D34" i="23"/>
  <c r="D44" i="23" s="1"/>
  <c r="D130" i="23"/>
  <c r="P141" i="22"/>
  <c r="R51" i="25"/>
  <c r="B63" i="22"/>
  <c r="F171" i="23"/>
  <c r="E160" i="23"/>
  <c r="E161" i="23" s="1"/>
  <c r="H170" i="23"/>
  <c r="H171" i="23"/>
  <c r="E171" i="23"/>
  <c r="D171" i="23" s="1"/>
  <c r="E141" i="23"/>
  <c r="D140" i="23"/>
  <c r="D110" i="23"/>
  <c r="D121" i="23"/>
  <c r="D111" i="23"/>
  <c r="D43" i="23"/>
  <c r="K33" i="22"/>
  <c r="E47" i="22"/>
  <c r="G35" i="22"/>
  <c r="H35" i="22" s="1"/>
  <c r="I35" i="22" s="1"/>
  <c r="J35" i="22" s="1"/>
  <c r="F38" i="22"/>
  <c r="G38" i="22" s="1"/>
  <c r="H38" i="22" s="1"/>
  <c r="I38" i="22" s="1"/>
  <c r="J38" i="22" s="1"/>
  <c r="K38" i="22" s="1"/>
  <c r="K30" i="22"/>
  <c r="I37" i="22"/>
  <c r="J37" i="22"/>
  <c r="F34" i="22"/>
  <c r="G34" i="22" s="1"/>
  <c r="H34" i="22"/>
  <c r="I34" i="22" s="1"/>
  <c r="J34" i="22" s="1"/>
  <c r="F54" i="23"/>
  <c r="D138" i="23" s="1"/>
  <c r="F57" i="23"/>
  <c r="F53" i="23"/>
  <c r="D128" i="23" s="1"/>
  <c r="D178" i="23"/>
  <c r="D170" i="23"/>
  <c r="D160" i="23"/>
  <c r="F79" i="23"/>
  <c r="D141" i="23"/>
  <c r="F80" i="23"/>
  <c r="G138" i="23"/>
  <c r="H138" i="23"/>
  <c r="D148" i="23"/>
  <c r="E7" i="20"/>
  <c r="F7" i="20" s="1"/>
  <c r="G7" i="20" s="1"/>
  <c r="H7" i="20" s="1"/>
  <c r="I7" i="20" s="1"/>
  <c r="J7" i="20" s="1"/>
  <c r="K7" i="20" s="1"/>
  <c r="L7" i="20" s="1"/>
  <c r="M7" i="20" s="1"/>
  <c r="N7" i="20" s="1"/>
  <c r="O7" i="20" s="1"/>
  <c r="P7" i="20" s="1"/>
  <c r="Q7" i="20" s="1"/>
  <c r="R7" i="20" s="1"/>
  <c r="S7" i="20" s="1"/>
  <c r="T7" i="20" s="1"/>
  <c r="U7" i="20" s="1"/>
  <c r="V7" i="20" s="1"/>
  <c r="W7" i="20" s="1"/>
  <c r="X7" i="20" s="1"/>
  <c r="E8" i="20"/>
  <c r="F8" i="20" s="1"/>
  <c r="G8" i="20" s="1"/>
  <c r="H8" i="20" s="1"/>
  <c r="I8" i="20" s="1"/>
  <c r="J8" i="20" s="1"/>
  <c r="K8" i="20" s="1"/>
  <c r="L8" i="20" s="1"/>
  <c r="M8" i="20" s="1"/>
  <c r="N8" i="20" s="1"/>
  <c r="O8" i="20" s="1"/>
  <c r="P8" i="20" s="1"/>
  <c r="Q8" i="20" s="1"/>
  <c r="R8" i="20" s="1"/>
  <c r="S8" i="20" s="1"/>
  <c r="T8" i="20" s="1"/>
  <c r="U8" i="20" s="1"/>
  <c r="V8" i="20" s="1"/>
  <c r="W8" i="20" s="1"/>
  <c r="X8" i="20" s="1"/>
  <c r="C11" i="20"/>
  <c r="B4" i="27" s="1"/>
  <c r="C14" i="20"/>
  <c r="B7" i="27"/>
  <c r="C12" i="20"/>
  <c r="B5" i="27" s="1"/>
  <c r="E6" i="19"/>
  <c r="F6" i="19" s="1"/>
  <c r="G6" i="19" s="1"/>
  <c r="H6" i="19" s="1"/>
  <c r="I6" i="19" s="1"/>
  <c r="J6" i="19" s="1"/>
  <c r="F7" i="19"/>
  <c r="G7" i="19" s="1"/>
  <c r="H7" i="19" s="1"/>
  <c r="I7" i="19" s="1"/>
  <c r="J7" i="19" s="1"/>
  <c r="K7" i="19" s="1"/>
  <c r="L7" i="19" s="1"/>
  <c r="M7" i="19" s="1"/>
  <c r="N7" i="19" s="1"/>
  <c r="O7" i="19" s="1"/>
  <c r="P7" i="19" s="1"/>
  <c r="Q7" i="19" s="1"/>
  <c r="R7" i="19" s="1"/>
  <c r="S7" i="19" s="1"/>
  <c r="T7" i="19" s="1"/>
  <c r="U7" i="19" s="1"/>
  <c r="V7" i="19" s="1"/>
  <c r="W7" i="19" s="1"/>
  <c r="X7" i="19" s="1"/>
  <c r="E21" i="19"/>
  <c r="E26" i="19" s="1"/>
  <c r="D20" i="19"/>
  <c r="E19" i="19"/>
  <c r="E22" i="19" s="1"/>
  <c r="F20" i="19"/>
  <c r="G18" i="19"/>
  <c r="H18" i="19"/>
  <c r="H20" i="19" s="1"/>
  <c r="H23" i="19" s="1"/>
  <c r="D19" i="19"/>
  <c r="D22" i="19" s="1"/>
  <c r="D25" i="19" s="1"/>
  <c r="I35" i="19"/>
  <c r="I40" i="19"/>
  <c r="I231" i="18" s="1"/>
  <c r="I232" i="18" s="1"/>
  <c r="I32" i="19"/>
  <c r="I34" i="19" s="1"/>
  <c r="I37" i="19" s="1"/>
  <c r="D33" i="19"/>
  <c r="E33" i="19"/>
  <c r="E36" i="19" s="1"/>
  <c r="E39" i="19" s="1"/>
  <c r="D34" i="19"/>
  <c r="D37" i="19" s="1"/>
  <c r="E34" i="19"/>
  <c r="E37" i="19" s="1"/>
  <c r="M48" i="19"/>
  <c r="D52" i="19"/>
  <c r="D54" i="19"/>
  <c r="D53" i="19"/>
  <c r="D55" i="19" s="1"/>
  <c r="H56" i="19"/>
  <c r="I33" i="19"/>
  <c r="I36" i="19" s="1"/>
  <c r="I39" i="19" s="1"/>
  <c r="D21" i="19"/>
  <c r="D26" i="19"/>
  <c r="D23" i="19"/>
  <c r="E35" i="19"/>
  <c r="E40" i="19" s="1"/>
  <c r="E231" i="18" s="1"/>
  <c r="E232" i="18" s="1"/>
  <c r="F19" i="19"/>
  <c r="F22" i="19" s="1"/>
  <c r="F25" i="19" s="1"/>
  <c r="E25" i="19"/>
  <c r="E20" i="19"/>
  <c r="E23" i="19"/>
  <c r="M30" i="19"/>
  <c r="N30" i="19" s="1"/>
  <c r="D35" i="19"/>
  <c r="D40" i="19" s="1"/>
  <c r="D231" i="18" s="1"/>
  <c r="D232" i="18" s="1"/>
  <c r="D36" i="19"/>
  <c r="D39" i="19" s="1"/>
  <c r="G16" i="19"/>
  <c r="F21" i="19"/>
  <c r="F26" i="19"/>
  <c r="F23" i="19"/>
  <c r="J32" i="19"/>
  <c r="H16" i="19"/>
  <c r="I16" i="19" s="1"/>
  <c r="K32" i="19"/>
  <c r="E6" i="18"/>
  <c r="F6" i="18"/>
  <c r="E7" i="18"/>
  <c r="F7" i="18"/>
  <c r="G7" i="18" s="1"/>
  <c r="H7" i="18" s="1"/>
  <c r="I7" i="18" s="1"/>
  <c r="J7" i="18" s="1"/>
  <c r="K7" i="18" s="1"/>
  <c r="L7" i="18" s="1"/>
  <c r="M7" i="18" s="1"/>
  <c r="N7" i="18" s="1"/>
  <c r="O7" i="18" s="1"/>
  <c r="P7" i="18"/>
  <c r="Q7" i="18" s="1"/>
  <c r="R7" i="18" s="1"/>
  <c r="S7" i="18" s="1"/>
  <c r="T7" i="18" s="1"/>
  <c r="U7" i="18" s="1"/>
  <c r="V7" i="18" s="1"/>
  <c r="W7" i="18" s="1"/>
  <c r="X7" i="18" s="1"/>
  <c r="Y7" i="18" s="1"/>
  <c r="E18" i="18"/>
  <c r="E19" i="18" s="1"/>
  <c r="F18" i="18"/>
  <c r="G18" i="18"/>
  <c r="H18" i="18"/>
  <c r="I18" i="18"/>
  <c r="J18" i="18"/>
  <c r="K18" i="18"/>
  <c r="D19" i="18"/>
  <c r="K71" i="18"/>
  <c r="D75" i="18"/>
  <c r="D78" i="18" s="1"/>
  <c r="E211" i="18" s="1"/>
  <c r="E212" i="18" s="1"/>
  <c r="D76" i="18"/>
  <c r="D79" i="18" s="1"/>
  <c r="K77" i="18"/>
  <c r="K100" i="18"/>
  <c r="K101" i="18"/>
  <c r="D184" i="18"/>
  <c r="M179" i="18" s="1"/>
  <c r="D186" i="18"/>
  <c r="D187" i="18"/>
  <c r="E187" i="18" s="1"/>
  <c r="F187" i="18" s="1"/>
  <c r="G187" i="18" s="1"/>
  <c r="N187" i="18"/>
  <c r="O187" i="18" s="1"/>
  <c r="P187" i="18" s="1"/>
  <c r="Q187" i="18" s="1"/>
  <c r="R187" i="18" s="1"/>
  <c r="S187" i="18" s="1"/>
  <c r="T187" i="18" s="1"/>
  <c r="U187" i="18" s="1"/>
  <c r="V187" i="18" s="1"/>
  <c r="W187" i="18" s="1"/>
  <c r="X187" i="18" s="1"/>
  <c r="Y187" i="18" s="1"/>
  <c r="I18" i="1"/>
  <c r="I19" i="1" s="1"/>
  <c r="E186" i="18"/>
  <c r="E96" i="18"/>
  <c r="G112" i="18"/>
  <c r="E93" i="18"/>
  <c r="G90" i="18"/>
  <c r="G152" i="18"/>
  <c r="I160" i="18"/>
  <c r="J160" i="18"/>
  <c r="K160" i="18" s="1"/>
  <c r="G154" i="18"/>
  <c r="J161" i="18" s="1"/>
  <c r="H160" i="18"/>
  <c r="G131" i="18"/>
  <c r="I140" i="18" s="1"/>
  <c r="G132" i="18"/>
  <c r="G133" i="18"/>
  <c r="H139" i="18"/>
  <c r="H119" i="18"/>
  <c r="G92" i="18"/>
  <c r="J139" i="18"/>
  <c r="J162" i="18"/>
  <c r="H161" i="18"/>
  <c r="K136" i="18"/>
  <c r="J99" i="18"/>
  <c r="M183" i="18"/>
  <c r="E7" i="17"/>
  <c r="F7" i="17" s="1"/>
  <c r="G7" i="17" s="1"/>
  <c r="H7" i="17" s="1"/>
  <c r="I7" i="17" s="1"/>
  <c r="J7" i="17" s="1"/>
  <c r="K7" i="17" s="1"/>
  <c r="L7" i="17" s="1"/>
  <c r="M7" i="17" s="1"/>
  <c r="N7" i="17" s="1"/>
  <c r="O7" i="17" s="1"/>
  <c r="P7" i="17" s="1"/>
  <c r="Q7" i="17" s="1"/>
  <c r="R7" i="17" s="1"/>
  <c r="S7" i="17" s="1"/>
  <c r="T7" i="17" s="1"/>
  <c r="U7" i="17" s="1"/>
  <c r="V7" i="17" s="1"/>
  <c r="W7" i="17" s="1"/>
  <c r="X7" i="17" s="1"/>
  <c r="E8" i="17"/>
  <c r="F8" i="17" s="1"/>
  <c r="G8" i="17" s="1"/>
  <c r="H8" i="17" s="1"/>
  <c r="I8" i="17" s="1"/>
  <c r="J8" i="17" s="1"/>
  <c r="K8" i="17" s="1"/>
  <c r="L8" i="17" s="1"/>
  <c r="M8" i="17" s="1"/>
  <c r="N8" i="17" s="1"/>
  <c r="O8" i="17" s="1"/>
  <c r="P8" i="17" s="1"/>
  <c r="Q8" i="17" s="1"/>
  <c r="R8" i="17" s="1"/>
  <c r="S8" i="17" s="1"/>
  <c r="T8" i="17" s="1"/>
  <c r="U8" i="17" s="1"/>
  <c r="V8" i="17" s="1"/>
  <c r="W8" i="17" s="1"/>
  <c r="X8" i="17" s="1"/>
  <c r="G172" i="13"/>
  <c r="B138" i="13"/>
  <c r="B139" i="13" s="1"/>
  <c r="B140" i="13"/>
  <c r="B141" i="13" s="1"/>
  <c r="B142" i="13" s="1"/>
  <c r="B143" i="13" s="1"/>
  <c r="C151" i="13"/>
  <c r="M43" i="13"/>
  <c r="M44" i="13" s="1"/>
  <c r="M45" i="13" s="1"/>
  <c r="K43" i="13"/>
  <c r="K44" i="13" s="1"/>
  <c r="K45" i="13" s="1"/>
  <c r="P46" i="13"/>
  <c r="P42" i="13"/>
  <c r="L42" i="13"/>
  <c r="P41" i="13"/>
  <c r="L41" i="13"/>
  <c r="P40" i="13"/>
  <c r="L40" i="13"/>
  <c r="P39" i="13"/>
  <c r="N39" i="13"/>
  <c r="N40" i="13" s="1"/>
  <c r="N41" i="13" s="1"/>
  <c r="N42" i="13" s="1"/>
  <c r="L39" i="13"/>
  <c r="P38" i="13"/>
  <c r="L38" i="13"/>
  <c r="H102" i="13"/>
  <c r="I102" i="13"/>
  <c r="J102" i="13"/>
  <c r="K102" i="13"/>
  <c r="E102" i="13"/>
  <c r="F102" i="13"/>
  <c r="G102" i="13"/>
  <c r="E99" i="13"/>
  <c r="F99" i="13" s="1"/>
  <c r="G99" i="13" s="1"/>
  <c r="H99" i="13" s="1"/>
  <c r="I99" i="13" s="1"/>
  <c r="J99" i="13" s="1"/>
  <c r="K99" i="13" s="1"/>
  <c r="L99" i="13" s="1"/>
  <c r="M99" i="13" s="1"/>
  <c r="N99" i="13" s="1"/>
  <c r="O99" i="13" s="1"/>
  <c r="P99" i="13" s="1"/>
  <c r="Q99" i="13" s="1"/>
  <c r="R99" i="13" s="1"/>
  <c r="S99" i="13" s="1"/>
  <c r="T99" i="13" s="1"/>
  <c r="U99" i="13" s="1"/>
  <c r="V99" i="13" s="1"/>
  <c r="W99" i="13" s="1"/>
  <c r="X99" i="13" s="1"/>
  <c r="Y99" i="13" s="1"/>
  <c r="Z99" i="13" s="1"/>
  <c r="AA99" i="13" s="1"/>
  <c r="AB99" i="13" s="1"/>
  <c r="AC99" i="13" s="1"/>
  <c r="AD99" i="13" s="1"/>
  <c r="AE99" i="13" s="1"/>
  <c r="AF99" i="13" s="1"/>
  <c r="AG99" i="13" s="1"/>
  <c r="AH99" i="13" s="1"/>
  <c r="AI99" i="13" s="1"/>
  <c r="AJ99" i="13" s="1"/>
  <c r="AK99" i="13" s="1"/>
  <c r="AL99" i="13" s="1"/>
  <c r="AM99" i="13" s="1"/>
  <c r="AN99" i="13" s="1"/>
  <c r="AO99" i="13" s="1"/>
  <c r="AP99" i="13" s="1"/>
  <c r="AQ99" i="13" s="1"/>
  <c r="AR99" i="13" s="1"/>
  <c r="AS99" i="13" s="1"/>
  <c r="AT99" i="13" s="1"/>
  <c r="AU99" i="13" s="1"/>
  <c r="AV99" i="13" s="1"/>
  <c r="AW99" i="13" s="1"/>
  <c r="AX99" i="13" s="1"/>
  <c r="AY99" i="13" s="1"/>
  <c r="AZ99" i="13" s="1"/>
  <c r="BA99" i="13" s="1"/>
  <c r="BB99" i="13" s="1"/>
  <c r="BC99" i="13" s="1"/>
  <c r="BD99" i="13" s="1"/>
  <c r="BE99" i="13" s="1"/>
  <c r="BF99" i="13" s="1"/>
  <c r="BG99" i="13" s="1"/>
  <c r="BH99" i="13" s="1"/>
  <c r="BI99" i="13" s="1"/>
  <c r="BJ99" i="13" s="1"/>
  <c r="BK99" i="13" s="1"/>
  <c r="BL99" i="13" s="1"/>
  <c r="BM99" i="13" s="1"/>
  <c r="BN99" i="13" s="1"/>
  <c r="BO99" i="13" s="1"/>
  <c r="BP99" i="13" s="1"/>
  <c r="BQ99" i="13" s="1"/>
  <c r="BR99" i="13" s="1"/>
  <c r="BS99" i="13" s="1"/>
  <c r="BT99" i="13" s="1"/>
  <c r="BU99" i="13" s="1"/>
  <c r="BV99" i="13" s="1"/>
  <c r="BW99" i="13" s="1"/>
  <c r="BX99" i="13" s="1"/>
  <c r="BY99" i="13" s="1"/>
  <c r="BZ99" i="13" s="1"/>
  <c r="CA99" i="13" s="1"/>
  <c r="CB99" i="13" s="1"/>
  <c r="F4" i="15"/>
  <c r="G4" i="15" s="1"/>
  <c r="H4" i="15" s="1"/>
  <c r="I4" i="15" s="1"/>
  <c r="J4" i="15" s="1"/>
  <c r="K4" i="15" s="1"/>
  <c r="L4" i="15" s="1"/>
  <c r="M4" i="15" s="1"/>
  <c r="N4" i="15" s="1"/>
  <c r="O4" i="15" s="1"/>
  <c r="P4" i="15" s="1"/>
  <c r="Q4" i="15" s="1"/>
  <c r="R4" i="15" s="1"/>
  <c r="S4" i="15" s="1"/>
  <c r="T4" i="15" s="1"/>
  <c r="U4" i="15" s="1"/>
  <c r="V4" i="15" s="1"/>
  <c r="W4" i="15" s="1"/>
  <c r="X4" i="15" s="1"/>
  <c r="Y4" i="15" s="1"/>
  <c r="F6" i="15"/>
  <c r="G6" i="15" s="1"/>
  <c r="H6" i="15" s="1"/>
  <c r="I6" i="15" s="1"/>
  <c r="J6" i="15" s="1"/>
  <c r="K6" i="15" s="1"/>
  <c r="L6" i="15" s="1"/>
  <c r="M6" i="15" s="1"/>
  <c r="N6" i="15" s="1"/>
  <c r="O6" i="15" s="1"/>
  <c r="P6" i="15" s="1"/>
  <c r="Q6" i="15" s="1"/>
  <c r="R6" i="15" s="1"/>
  <c r="S6" i="15" s="1"/>
  <c r="T6" i="15" s="1"/>
  <c r="U6" i="15" s="1"/>
  <c r="V6" i="15" s="1"/>
  <c r="W6" i="15" s="1"/>
  <c r="X6" i="15" s="1"/>
  <c r="N16" i="15"/>
  <c r="O17" i="15" s="1"/>
  <c r="P17" i="15" s="1"/>
  <c r="H24" i="15"/>
  <c r="I24" i="15" s="1"/>
  <c r="M26" i="15"/>
  <c r="M27" i="15"/>
  <c r="M28" i="15"/>
  <c r="D4" i="14"/>
  <c r="D5" i="14"/>
  <c r="G8" i="14"/>
  <c r="H8" i="14" s="1"/>
  <c r="I8" i="14" s="1"/>
  <c r="J8" i="14" s="1"/>
  <c r="K8" i="14"/>
  <c r="L8" i="14" s="1"/>
  <c r="M8" i="14" s="1"/>
  <c r="N8" i="14" s="1"/>
  <c r="O8" i="14" s="1"/>
  <c r="P8" i="14" s="1"/>
  <c r="Q8" i="14" s="1"/>
  <c r="R8" i="14" s="1"/>
  <c r="S8" i="14" s="1"/>
  <c r="T8" i="14" s="1"/>
  <c r="U8" i="14" s="1"/>
  <c r="V8" i="14" s="1"/>
  <c r="W8" i="14" s="1"/>
  <c r="X8" i="14" s="1"/>
  <c r="Y8" i="14" s="1"/>
  <c r="Z8" i="14" s="1"/>
  <c r="G9" i="14"/>
  <c r="H9" i="14" s="1"/>
  <c r="I9" i="14" s="1"/>
  <c r="J9" i="14"/>
  <c r="K9" i="14" s="1"/>
  <c r="L9" i="14" s="1"/>
  <c r="M9" i="14" s="1"/>
  <c r="N9" i="14" s="1"/>
  <c r="O9" i="14" s="1"/>
  <c r="P9" i="14" s="1"/>
  <c r="Q9" i="14" s="1"/>
  <c r="R9" i="14" s="1"/>
  <c r="S9" i="14" s="1"/>
  <c r="T9" i="14" s="1"/>
  <c r="U9" i="14" s="1"/>
  <c r="V9" i="14" s="1"/>
  <c r="W9" i="14" s="1"/>
  <c r="X9" i="14" s="1"/>
  <c r="Y9" i="14" s="1"/>
  <c r="Z9" i="14" s="1"/>
  <c r="E27" i="14"/>
  <c r="F28" i="14"/>
  <c r="H28" i="14"/>
  <c r="H38" i="14"/>
  <c r="J28" i="14"/>
  <c r="J38" i="14" s="1"/>
  <c r="F37" i="14"/>
  <c r="H37" i="14"/>
  <c r="J37" i="14"/>
  <c r="E43" i="14"/>
  <c r="F44" i="14"/>
  <c r="G44" i="14"/>
  <c r="H44" i="14"/>
  <c r="O45" i="14"/>
  <c r="F53" i="14"/>
  <c r="H53" i="14"/>
  <c r="J53" i="14"/>
  <c r="D60" i="14"/>
  <c r="D190" i="14"/>
  <c r="J60" i="14"/>
  <c r="O60" i="14"/>
  <c r="I60" i="14"/>
  <c r="D191" i="14" s="1"/>
  <c r="E69" i="14"/>
  <c r="F69" i="14"/>
  <c r="G69" i="14"/>
  <c r="H69" i="14"/>
  <c r="K69" i="14"/>
  <c r="L69" i="14"/>
  <c r="L126" i="14"/>
  <c r="M69" i="14"/>
  <c r="N69" i="14"/>
  <c r="O69" i="14"/>
  <c r="E70" i="14"/>
  <c r="D70" i="14" s="1"/>
  <c r="F70" i="14"/>
  <c r="G70" i="14"/>
  <c r="H70" i="14"/>
  <c r="H73" i="14" s="1"/>
  <c r="D217" i="14"/>
  <c r="K70" i="14"/>
  <c r="L70" i="14"/>
  <c r="M70" i="14"/>
  <c r="N70" i="14"/>
  <c r="O70" i="14"/>
  <c r="O73" i="14" s="1"/>
  <c r="K90" i="14"/>
  <c r="K92" i="14" s="1"/>
  <c r="K91" i="14"/>
  <c r="G97" i="14"/>
  <c r="K97" i="14"/>
  <c r="K122" i="14"/>
  <c r="L97" i="14"/>
  <c r="L119" i="14" s="1"/>
  <c r="M97" i="14"/>
  <c r="N97" i="14"/>
  <c r="N119" i="14" s="1"/>
  <c r="O97" i="14"/>
  <c r="K121" i="14"/>
  <c r="O121" i="14"/>
  <c r="G107" i="14"/>
  <c r="F126" i="14"/>
  <c r="E126" i="14"/>
  <c r="G126" i="14"/>
  <c r="F36" i="14"/>
  <c r="F127" i="14"/>
  <c r="K127" i="14"/>
  <c r="N127" i="14"/>
  <c r="E130" i="14"/>
  <c r="K130" i="14"/>
  <c r="N130" i="14"/>
  <c r="I133" i="14"/>
  <c r="D143" i="14"/>
  <c r="G72" i="14" s="1"/>
  <c r="G61" i="14" s="1"/>
  <c r="D145" i="14"/>
  <c r="D161" i="14"/>
  <c r="D193" i="14"/>
  <c r="J196" i="14"/>
  <c r="L196" i="14"/>
  <c r="D197" i="14"/>
  <c r="D196" i="14" s="1"/>
  <c r="K198" i="14"/>
  <c r="L198" i="14"/>
  <c r="D203" i="14"/>
  <c r="D204" i="14"/>
  <c r="D208" i="14"/>
  <c r="E208" i="14" s="1"/>
  <c r="F208" i="14" s="1"/>
  <c r="G208" i="14" s="1"/>
  <c r="H208" i="14" s="1"/>
  <c r="I208" i="14" s="1"/>
  <c r="J208" i="14" s="1"/>
  <c r="K208" i="14" s="1"/>
  <c r="L208" i="14" s="1"/>
  <c r="M208" i="14" s="1"/>
  <c r="N208" i="14" s="1"/>
  <c r="O208" i="14" s="1"/>
  <c r="P208" i="14" s="1"/>
  <c r="Q208" i="14" s="1"/>
  <c r="R208" i="14" s="1"/>
  <c r="S208" i="14" s="1"/>
  <c r="T208" i="14" s="1"/>
  <c r="U208" i="14" s="1"/>
  <c r="V208" i="14" s="1"/>
  <c r="W208" i="14" s="1"/>
  <c r="X208" i="14" s="1"/>
  <c r="E209" i="14"/>
  <c r="F209" i="14"/>
  <c r="G209" i="14" s="1"/>
  <c r="H209" i="14" s="1"/>
  <c r="I209" i="14" s="1"/>
  <c r="J209" i="14" s="1"/>
  <c r="K209" i="14" s="1"/>
  <c r="L209" i="14" s="1"/>
  <c r="M209" i="14" s="1"/>
  <c r="N209" i="14" s="1"/>
  <c r="O209" i="14" s="1"/>
  <c r="P209" i="14" s="1"/>
  <c r="Q209" i="14" s="1"/>
  <c r="R209" i="14" s="1"/>
  <c r="S209" i="14" s="1"/>
  <c r="T209" i="14" s="1"/>
  <c r="U209" i="14" s="1"/>
  <c r="V209" i="14" s="1"/>
  <c r="W209" i="14" s="1"/>
  <c r="X209" i="14" s="1"/>
  <c r="G118" i="14"/>
  <c r="N121" i="14"/>
  <c r="M121" i="14"/>
  <c r="K73" i="14"/>
  <c r="F38" i="14"/>
  <c r="J36" i="14"/>
  <c r="N122" i="14"/>
  <c r="N118" i="14"/>
  <c r="K120" i="14"/>
  <c r="K119" i="14"/>
  <c r="F73" i="14"/>
  <c r="D215" i="14"/>
  <c r="E215" i="14" s="1"/>
  <c r="F215" i="14" s="1"/>
  <c r="O122" i="14"/>
  <c r="K118" i="14"/>
  <c r="M118" i="14"/>
  <c r="M122" i="14"/>
  <c r="M119" i="14"/>
  <c r="M120" i="14"/>
  <c r="E217" i="14"/>
  <c r="F217" i="14" s="1"/>
  <c r="G217" i="14" s="1"/>
  <c r="H217" i="14" s="1"/>
  <c r="I217" i="14" s="1"/>
  <c r="J217" i="14" s="1"/>
  <c r="K217" i="14" s="1"/>
  <c r="L217" i="14" s="1"/>
  <c r="M217" i="14" s="1"/>
  <c r="N217" i="14" s="1"/>
  <c r="O217" i="14" s="1"/>
  <c r="P217" i="14" s="1"/>
  <c r="Q217" i="14" s="1"/>
  <c r="R217" i="14" s="1"/>
  <c r="S217" i="14" s="1"/>
  <c r="T217" i="14" s="1"/>
  <c r="U217" i="14" s="1"/>
  <c r="V217" i="14" s="1"/>
  <c r="W217" i="14" s="1"/>
  <c r="X217" i="14" s="1"/>
  <c r="M127" i="14"/>
  <c r="G73" i="14"/>
  <c r="D216" i="14" s="1"/>
  <c r="E216" i="14" s="1"/>
  <c r="N73" i="14"/>
  <c r="D222" i="14" s="1"/>
  <c r="E222" i="14" s="1"/>
  <c r="F222" i="14" s="1"/>
  <c r="G222" i="14" s="1"/>
  <c r="H222" i="14" s="1"/>
  <c r="I222" i="14" s="1"/>
  <c r="J222" i="14" s="1"/>
  <c r="K222" i="14" s="1"/>
  <c r="L222" i="14" s="1"/>
  <c r="M222" i="14" s="1"/>
  <c r="N222" i="14" s="1"/>
  <c r="O222" i="14" s="1"/>
  <c r="P222" i="14" s="1"/>
  <c r="Q222" i="14" s="1"/>
  <c r="R222" i="14" s="1"/>
  <c r="S222" i="14" s="1"/>
  <c r="T222" i="14" s="1"/>
  <c r="U222" i="14" s="1"/>
  <c r="V222" i="14" s="1"/>
  <c r="W222" i="14" s="1"/>
  <c r="X222" i="14" s="1"/>
  <c r="F35" i="14"/>
  <c r="F50" i="14"/>
  <c r="K126" i="14"/>
  <c r="L73" i="14"/>
  <c r="D220" i="14" s="1"/>
  <c r="H36" i="14"/>
  <c r="J49" i="14"/>
  <c r="F216" i="14"/>
  <c r="G216" i="14" s="1"/>
  <c r="H216" i="14" s="1"/>
  <c r="I216" i="14" s="1"/>
  <c r="J216" i="14" s="1"/>
  <c r="K216" i="14" s="1"/>
  <c r="L216" i="14" s="1"/>
  <c r="M216" i="14" s="1"/>
  <c r="N216" i="14" s="1"/>
  <c r="O216" i="14" s="1"/>
  <c r="P216" i="14" s="1"/>
  <c r="Q216" i="14" s="1"/>
  <c r="R216" i="14" s="1"/>
  <c r="S216" i="14" s="1"/>
  <c r="T216" i="14" s="1"/>
  <c r="U216" i="14" s="1"/>
  <c r="V216" i="14" s="1"/>
  <c r="W216" i="14" s="1"/>
  <c r="X216" i="14" s="1"/>
  <c r="T31" i="13"/>
  <c r="E9" i="13"/>
  <c r="D12" i="13"/>
  <c r="E20" i="13"/>
  <c r="K20" i="13"/>
  <c r="L26" i="13" s="1"/>
  <c r="L25" i="13"/>
  <c r="L23" i="13"/>
  <c r="O23" i="13"/>
  <c r="L24" i="13"/>
  <c r="O24" i="13"/>
  <c r="O26" i="13"/>
  <c r="L27" i="13"/>
  <c r="L28" i="13"/>
  <c r="O28" i="13"/>
  <c r="C35" i="13"/>
  <c r="C43" i="13"/>
  <c r="F47" i="13"/>
  <c r="G47" i="13" s="1"/>
  <c r="H47" i="13" s="1"/>
  <c r="I47" i="13" s="1"/>
  <c r="J47" i="13" s="1"/>
  <c r="K47" i="13" s="1"/>
  <c r="L47" i="13" s="1"/>
  <c r="M47" i="13" s="1"/>
  <c r="N47" i="13" s="1"/>
  <c r="O47" i="13" s="1"/>
  <c r="P47" i="13" s="1"/>
  <c r="Q47" i="13" s="1"/>
  <c r="R47" i="13" s="1"/>
  <c r="S47" i="13" s="1"/>
  <c r="T47" i="13" s="1"/>
  <c r="U47" i="13" s="1"/>
  <c r="V47" i="13" s="1"/>
  <c r="W47" i="13" s="1"/>
  <c r="X47" i="13" s="1"/>
  <c r="Y47" i="13" s="1"/>
  <c r="Z47" i="13" s="1"/>
  <c r="AA47" i="13" s="1"/>
  <c r="AB47" i="13" s="1"/>
  <c r="AC47" i="13" s="1"/>
  <c r="AD47" i="13" s="1"/>
  <c r="AE47" i="13" s="1"/>
  <c r="AF47" i="13" s="1"/>
  <c r="AG47" i="13" s="1"/>
  <c r="AH47" i="13" s="1"/>
  <c r="AI47" i="13" s="1"/>
  <c r="AJ47" i="13" s="1"/>
  <c r="AK47" i="13" s="1"/>
  <c r="AL47" i="13" s="1"/>
  <c r="AM47" i="13" s="1"/>
  <c r="AN47" i="13" s="1"/>
  <c r="AO47" i="13" s="1"/>
  <c r="AP47" i="13" s="1"/>
  <c r="AQ47" i="13" s="1"/>
  <c r="AR47" i="13" s="1"/>
  <c r="AS47" i="13" s="1"/>
  <c r="AT47" i="13" s="1"/>
  <c r="AU47" i="13" s="1"/>
  <c r="AV47" i="13" s="1"/>
  <c r="AW47" i="13" s="1"/>
  <c r="AX47" i="13" s="1"/>
  <c r="AY47" i="13" s="1"/>
  <c r="AZ47" i="13" s="1"/>
  <c r="BA47" i="13" s="1"/>
  <c r="BB47" i="13" s="1"/>
  <c r="BC47" i="13" s="1"/>
  <c r="BD47" i="13" s="1"/>
  <c r="BE47" i="13" s="1"/>
  <c r="BF47" i="13" s="1"/>
  <c r="BG47" i="13" s="1"/>
  <c r="BH47" i="13" s="1"/>
  <c r="BI47" i="13" s="1"/>
  <c r="BJ47" i="13" s="1"/>
  <c r="BK47" i="13" s="1"/>
  <c r="BL47" i="13" s="1"/>
  <c r="BM47" i="13" s="1"/>
  <c r="BN47" i="13" s="1"/>
  <c r="BO47" i="13" s="1"/>
  <c r="BP47" i="13" s="1"/>
  <c r="BQ47" i="13" s="1"/>
  <c r="BR47" i="13" s="1"/>
  <c r="BS47" i="13" s="1"/>
  <c r="BT47" i="13" s="1"/>
  <c r="BU47" i="13" s="1"/>
  <c r="BV47" i="13" s="1"/>
  <c r="BW47" i="13" s="1"/>
  <c r="BX47" i="13" s="1"/>
  <c r="BY47" i="13" s="1"/>
  <c r="BZ47" i="13" s="1"/>
  <c r="CA47" i="13" s="1"/>
  <c r="CB47" i="13" s="1"/>
  <c r="E48" i="13"/>
  <c r="E46" i="13" s="1"/>
  <c r="F96" i="13"/>
  <c r="G96" i="13" s="1"/>
  <c r="G150" i="13" s="1"/>
  <c r="F97" i="13"/>
  <c r="G97" i="13" s="1"/>
  <c r="H97" i="13" s="1"/>
  <c r="I97" i="13" s="1"/>
  <c r="J97" i="13" s="1"/>
  <c r="K97" i="13" s="1"/>
  <c r="L97" i="13" s="1"/>
  <c r="M97" i="13" s="1"/>
  <c r="N97" i="13" s="1"/>
  <c r="O97" i="13" s="1"/>
  <c r="P97" i="13" s="1"/>
  <c r="Q97" i="13" s="1"/>
  <c r="R97" i="13" s="1"/>
  <c r="S97" i="13" s="1"/>
  <c r="T97" i="13" s="1"/>
  <c r="U97" i="13" s="1"/>
  <c r="V97" i="13" s="1"/>
  <c r="W97" i="13" s="1"/>
  <c r="X97" i="13" s="1"/>
  <c r="Y97" i="13" s="1"/>
  <c r="Z97" i="13" s="1"/>
  <c r="AA97" i="13" s="1"/>
  <c r="AB97" i="13" s="1"/>
  <c r="AC97" i="13" s="1"/>
  <c r="AD97" i="13" s="1"/>
  <c r="AE97" i="13" s="1"/>
  <c r="AF97" i="13" s="1"/>
  <c r="AG97" i="13" s="1"/>
  <c r="AH97" i="13" s="1"/>
  <c r="AI97" i="13" s="1"/>
  <c r="AJ97" i="13" s="1"/>
  <c r="AK97" i="13" s="1"/>
  <c r="AL97" i="13" s="1"/>
  <c r="AM97" i="13" s="1"/>
  <c r="AN97" i="13" s="1"/>
  <c r="AO97" i="13" s="1"/>
  <c r="AP97" i="13" s="1"/>
  <c r="AQ97" i="13" s="1"/>
  <c r="AR97" i="13" s="1"/>
  <c r="AS97" i="13" s="1"/>
  <c r="AT97" i="13" s="1"/>
  <c r="AU97" i="13" s="1"/>
  <c r="AV97" i="13" s="1"/>
  <c r="AW97" i="13" s="1"/>
  <c r="AX97" i="13" s="1"/>
  <c r="AY97" i="13" s="1"/>
  <c r="AZ97" i="13" s="1"/>
  <c r="BA97" i="13" s="1"/>
  <c r="BB97" i="13" s="1"/>
  <c r="BC97" i="13" s="1"/>
  <c r="BD97" i="13" s="1"/>
  <c r="BE97" i="13" s="1"/>
  <c r="BF97" i="13" s="1"/>
  <c r="BG97" i="13" s="1"/>
  <c r="BH97" i="13" s="1"/>
  <c r="BI97" i="13" s="1"/>
  <c r="BJ97" i="13" s="1"/>
  <c r="BK97" i="13" s="1"/>
  <c r="BL97" i="13" s="1"/>
  <c r="BM97" i="13" s="1"/>
  <c r="BN97" i="13" s="1"/>
  <c r="BO97" i="13" s="1"/>
  <c r="BP97" i="13" s="1"/>
  <c r="BQ97" i="13" s="1"/>
  <c r="BR97" i="13" s="1"/>
  <c r="BS97" i="13" s="1"/>
  <c r="BT97" i="13" s="1"/>
  <c r="BU97" i="13" s="1"/>
  <c r="BV97" i="13" s="1"/>
  <c r="BW97" i="13" s="1"/>
  <c r="BX97" i="13" s="1"/>
  <c r="BY97" i="13" s="1"/>
  <c r="BZ97" i="13" s="1"/>
  <c r="CA97" i="13" s="1"/>
  <c r="CB97" i="13" s="1"/>
  <c r="D150" i="13"/>
  <c r="D175" i="13" s="1"/>
  <c r="D200" i="13" s="1"/>
  <c r="E150" i="13"/>
  <c r="C152" i="13"/>
  <c r="C153" i="13"/>
  <c r="C154" i="13"/>
  <c r="C155" i="13"/>
  <c r="C156" i="13"/>
  <c r="C157" i="13"/>
  <c r="C158" i="13"/>
  <c r="C159" i="13"/>
  <c r="C160" i="13"/>
  <c r="C161" i="13"/>
  <c r="C162" i="13"/>
  <c r="C163" i="13"/>
  <c r="C164" i="13"/>
  <c r="C165" i="13"/>
  <c r="C166" i="13"/>
  <c r="C167" i="13"/>
  <c r="C168" i="13"/>
  <c r="C169" i="13"/>
  <c r="C170" i="13"/>
  <c r="C176" i="13"/>
  <c r="C177" i="13"/>
  <c r="C178" i="13"/>
  <c r="C179" i="13"/>
  <c r="C180" i="13"/>
  <c r="C181" i="13"/>
  <c r="C182" i="13"/>
  <c r="C183" i="13"/>
  <c r="C184" i="13"/>
  <c r="C185" i="13"/>
  <c r="C186" i="13"/>
  <c r="C187" i="13"/>
  <c r="C188" i="13"/>
  <c r="C189" i="13"/>
  <c r="C190" i="13"/>
  <c r="C191" i="13"/>
  <c r="C192" i="13"/>
  <c r="C193" i="13"/>
  <c r="C194" i="13"/>
  <c r="C195" i="13"/>
  <c r="C201" i="13"/>
  <c r="C202" i="13"/>
  <c r="C203" i="13"/>
  <c r="C204" i="13"/>
  <c r="C205" i="13"/>
  <c r="C206" i="13"/>
  <c r="C207" i="13"/>
  <c r="C208" i="13"/>
  <c r="C209" i="13"/>
  <c r="C210" i="13"/>
  <c r="C211" i="13"/>
  <c r="C212" i="13"/>
  <c r="C213" i="13"/>
  <c r="C214" i="13"/>
  <c r="C215" i="13"/>
  <c r="C216" i="13"/>
  <c r="C217" i="13"/>
  <c r="C218" i="13"/>
  <c r="C219" i="13"/>
  <c r="C220" i="13"/>
  <c r="F150" i="13"/>
  <c r="F160" i="13" s="1"/>
  <c r="F161" i="13"/>
  <c r="F153" i="13"/>
  <c r="D311" i="1"/>
  <c r="D312" i="1"/>
  <c r="D314" i="1"/>
  <c r="D315" i="1"/>
  <c r="D316" i="1"/>
  <c r="D318" i="1"/>
  <c r="D319" i="1"/>
  <c r="D320" i="1"/>
  <c r="D310" i="1"/>
  <c r="I274" i="1"/>
  <c r="M18" i="14" s="1"/>
  <c r="X215" i="1"/>
  <c r="X185" i="1"/>
  <c r="X218" i="1"/>
  <c r="X219" i="1" s="1"/>
  <c r="X209" i="1"/>
  <c r="H161" i="1"/>
  <c r="H184" i="1" s="1"/>
  <c r="H207" i="1" s="1"/>
  <c r="H183" i="1"/>
  <c r="H206" i="1" s="1"/>
  <c r="P161" i="1"/>
  <c r="P184" i="1" s="1"/>
  <c r="P183" i="1"/>
  <c r="P181" i="1"/>
  <c r="P159" i="1"/>
  <c r="P182" i="1" s="1"/>
  <c r="P185" i="1"/>
  <c r="P163" i="1"/>
  <c r="P186" i="1" s="1"/>
  <c r="X205" i="1"/>
  <c r="X207" i="1"/>
  <c r="X163" i="1"/>
  <c r="X186" i="1" s="1"/>
  <c r="H181" i="1"/>
  <c r="H204" i="1" s="1"/>
  <c r="H159" i="1"/>
  <c r="H182" i="1" s="1"/>
  <c r="H205" i="1" s="1"/>
  <c r="X181" i="1"/>
  <c r="X159" i="1"/>
  <c r="H194" i="1"/>
  <c r="H217" i="1" s="1"/>
  <c r="H172" i="1"/>
  <c r="H195" i="1" s="1"/>
  <c r="H218" i="1" s="1"/>
  <c r="P172" i="1"/>
  <c r="P173" i="1" s="1"/>
  <c r="P174" i="1" s="1"/>
  <c r="P175" i="1" s="1"/>
  <c r="P198" i="1" s="1"/>
  <c r="P194" i="1"/>
  <c r="H185" i="1"/>
  <c r="H208" i="1" s="1"/>
  <c r="H163" i="1"/>
  <c r="H164" i="1" s="1"/>
  <c r="H187" i="1" s="1"/>
  <c r="H210" i="1" s="1"/>
  <c r="P195" i="1"/>
  <c r="C165" i="1"/>
  <c r="C188" i="1" s="1"/>
  <c r="C211" i="1" s="1"/>
  <c r="W211" i="1" s="1"/>
  <c r="C166" i="1"/>
  <c r="C189" i="1" s="1"/>
  <c r="C212" i="1" s="1"/>
  <c r="W212" i="1" s="1"/>
  <c r="C167" i="1"/>
  <c r="C190" i="1" s="1"/>
  <c r="C213" i="1" s="1"/>
  <c r="W213" i="1" s="1"/>
  <c r="C168" i="1"/>
  <c r="C191" i="1" s="1"/>
  <c r="C214" i="1" s="1"/>
  <c r="W214" i="1" s="1"/>
  <c r="C169" i="1"/>
  <c r="C192" i="1" s="1"/>
  <c r="C215" i="1" s="1"/>
  <c r="W215" i="1" s="1"/>
  <c r="C170" i="1"/>
  <c r="C193" i="1" s="1"/>
  <c r="C216" i="1" s="1"/>
  <c r="W216" i="1" s="1"/>
  <c r="C171" i="1"/>
  <c r="C194" i="1" s="1"/>
  <c r="C217" i="1" s="1"/>
  <c r="W217" i="1" s="1"/>
  <c r="C172" i="1"/>
  <c r="C195" i="1" s="1"/>
  <c r="C218" i="1" s="1"/>
  <c r="W218" i="1" s="1"/>
  <c r="C173" i="1"/>
  <c r="C196" i="1" s="1"/>
  <c r="C219" i="1" s="1"/>
  <c r="W219" i="1" s="1"/>
  <c r="C174" i="1"/>
  <c r="C197" i="1" s="1"/>
  <c r="C220" i="1" s="1"/>
  <c r="W220" i="1" s="1"/>
  <c r="C175" i="1"/>
  <c r="C198" i="1" s="1"/>
  <c r="C221" i="1" s="1"/>
  <c r="W221" i="1" s="1"/>
  <c r="C176" i="1"/>
  <c r="C199" i="1" s="1"/>
  <c r="C222" i="1" s="1"/>
  <c r="W222" i="1" s="1"/>
  <c r="C159" i="1"/>
  <c r="C182" i="1" s="1"/>
  <c r="C205" i="1" s="1"/>
  <c r="W205" i="1" s="1"/>
  <c r="C160" i="1"/>
  <c r="C183" i="1" s="1"/>
  <c r="C206" i="1" s="1"/>
  <c r="W206" i="1" s="1"/>
  <c r="C161" i="1"/>
  <c r="C184" i="1" s="1"/>
  <c r="C207" i="1" s="1"/>
  <c r="W207" i="1" s="1"/>
  <c r="C162" i="1"/>
  <c r="C185" i="1" s="1"/>
  <c r="C208" i="1" s="1"/>
  <c r="W208" i="1" s="1"/>
  <c r="C186" i="1"/>
  <c r="C209" i="1" s="1"/>
  <c r="W209" i="1" s="1"/>
  <c r="C164" i="1"/>
  <c r="C187" i="1" s="1"/>
  <c r="C210" i="1" s="1"/>
  <c r="W210" i="1" s="1"/>
  <c r="M131" i="1"/>
  <c r="N131" i="1" s="1"/>
  <c r="E121" i="1"/>
  <c r="N107" i="1"/>
  <c r="L133" i="1"/>
  <c r="M133" i="1" s="1"/>
  <c r="N133" i="1" s="1"/>
  <c r="L129" i="1"/>
  <c r="K129" i="1"/>
  <c r="J129" i="1"/>
  <c r="I129" i="1"/>
  <c r="D128" i="1"/>
  <c r="D159" i="1" s="1"/>
  <c r="D182" i="1" s="1"/>
  <c r="D205" i="1" s="1"/>
  <c r="L126" i="1"/>
  <c r="K126" i="1"/>
  <c r="J126" i="1"/>
  <c r="I126" i="1"/>
  <c r="E123" i="1"/>
  <c r="H117" i="1"/>
  <c r="E110" i="1"/>
  <c r="P219" i="1"/>
  <c r="P220" i="1" s="1"/>
  <c r="P221" i="1" s="1"/>
  <c r="P222" i="1" s="1"/>
  <c r="P215" i="1"/>
  <c r="P216" i="1" s="1"/>
  <c r="P217" i="1" s="1"/>
  <c r="P207" i="1"/>
  <c r="P209" i="1"/>
  <c r="P210" i="1" s="1"/>
  <c r="P211" i="1" s="1"/>
  <c r="P212" i="1" s="1"/>
  <c r="P213" i="1" s="1"/>
  <c r="P205" i="1"/>
  <c r="C78" i="1"/>
  <c r="L94" i="1"/>
  <c r="P81" i="1" s="1"/>
  <c r="K94" i="1"/>
  <c r="O75" i="1" s="1"/>
  <c r="M76" i="1"/>
  <c r="M77" i="1" s="1"/>
  <c r="M78" i="1" s="1"/>
  <c r="M79" i="1" s="1"/>
  <c r="M80" i="1" s="1"/>
  <c r="M81" i="1" s="1"/>
  <c r="M82" i="1" s="1"/>
  <c r="M83" i="1" s="1"/>
  <c r="M84" i="1" s="1"/>
  <c r="M85" i="1" s="1"/>
  <c r="M86" i="1" s="1"/>
  <c r="M87" i="1" s="1"/>
  <c r="M88" i="1" s="1"/>
  <c r="M89" i="1" s="1"/>
  <c r="M90" i="1" s="1"/>
  <c r="B91" i="1"/>
  <c r="B90" i="1"/>
  <c r="F88" i="1"/>
  <c r="D129" i="1"/>
  <c r="O161" i="1" s="1"/>
  <c r="O184" i="1" s="1"/>
  <c r="B74" i="1"/>
  <c r="B75" i="1"/>
  <c r="O77" i="1"/>
  <c r="O82" i="1"/>
  <c r="D31" i="1"/>
  <c r="C143" i="15"/>
  <c r="E143" i="15" s="1"/>
  <c r="J38" i="1"/>
  <c r="C27" i="1"/>
  <c r="B27" i="1"/>
  <c r="C24" i="1"/>
  <c r="B24" i="1"/>
  <c r="E46" i="22" l="1"/>
  <c r="K32" i="22"/>
  <c r="G215" i="14"/>
  <c r="H215" i="14" s="1"/>
  <c r="K36" i="22"/>
  <c r="E50" i="22"/>
  <c r="E220" i="14"/>
  <c r="H49" i="14"/>
  <c r="F49" i="14"/>
  <c r="G128" i="23"/>
  <c r="G148" i="23" s="1"/>
  <c r="H128" i="23"/>
  <c r="H148" i="23" s="1"/>
  <c r="S141" i="22"/>
  <c r="I70" i="14"/>
  <c r="M73" i="14"/>
  <c r="K35" i="22"/>
  <c r="E49" i="22"/>
  <c r="M126" i="14"/>
  <c r="I69" i="14"/>
  <c r="D221" i="14"/>
  <c r="E221" i="14" s="1"/>
  <c r="F221" i="14" s="1"/>
  <c r="G221" i="14" s="1"/>
  <c r="H221" i="14" s="1"/>
  <c r="I221" i="14" s="1"/>
  <c r="J221" i="14" s="1"/>
  <c r="K221" i="14" s="1"/>
  <c r="L221" i="14" s="1"/>
  <c r="M221" i="14" s="1"/>
  <c r="N221" i="14" s="1"/>
  <c r="O221" i="14" s="1"/>
  <c r="P221" i="14" s="1"/>
  <c r="Q221" i="14" s="1"/>
  <c r="R221" i="14" s="1"/>
  <c r="S221" i="14" s="1"/>
  <c r="T221" i="14" s="1"/>
  <c r="U221" i="14" s="1"/>
  <c r="V221" i="14" s="1"/>
  <c r="W221" i="14" s="1"/>
  <c r="X221" i="14" s="1"/>
  <c r="F83" i="23"/>
  <c r="D168" i="23"/>
  <c r="G119" i="14"/>
  <c r="G122" i="14"/>
  <c r="G120" i="14"/>
  <c r="G121" i="14"/>
  <c r="J50" i="14"/>
  <c r="N126" i="14"/>
  <c r="H50" i="14"/>
  <c r="L50" i="14" s="1"/>
  <c r="F52" i="22"/>
  <c r="L38" i="22"/>
  <c r="V142" i="22"/>
  <c r="U141" i="22"/>
  <c r="J143" i="22"/>
  <c r="T142" i="22"/>
  <c r="R141" i="22"/>
  <c r="L143" i="22"/>
  <c r="N142" i="22"/>
  <c r="F142" i="22"/>
  <c r="K142" i="22"/>
  <c r="K141" i="22"/>
  <c r="W142" i="22"/>
  <c r="O142" i="22"/>
  <c r="V141" i="22"/>
  <c r="P143" i="22"/>
  <c r="H142" i="22"/>
  <c r="Q141" i="22"/>
  <c r="F143" i="22"/>
  <c r="G142" i="22"/>
  <c r="U143" i="22"/>
  <c r="I143" i="22"/>
  <c r="N141" i="22"/>
  <c r="H143" i="22"/>
  <c r="S142" i="22"/>
  <c r="E141" i="22"/>
  <c r="Q143" i="22"/>
  <c r="T141" i="22"/>
  <c r="U142" i="22"/>
  <c r="M143" i="22"/>
  <c r="W141" i="22"/>
  <c r="O141" i="22"/>
  <c r="T143" i="22"/>
  <c r="G143" i="22"/>
  <c r="G141" i="22"/>
  <c r="L141" i="22"/>
  <c r="F141" i="22"/>
  <c r="X143" i="22"/>
  <c r="X142" i="22"/>
  <c r="O143" i="22"/>
  <c r="L142" i="22"/>
  <c r="J141" i="22"/>
  <c r="X141" i="22"/>
  <c r="R142" i="22"/>
  <c r="S143" i="22"/>
  <c r="I142" i="22"/>
  <c r="M141" i="22"/>
  <c r="K143" i="22"/>
  <c r="I141" i="22"/>
  <c r="N143" i="22"/>
  <c r="M142" i="22"/>
  <c r="W143" i="22"/>
  <c r="H141" i="22"/>
  <c r="H96" i="13"/>
  <c r="F34" i="14"/>
  <c r="L28" i="14"/>
  <c r="D200" i="14" s="1"/>
  <c r="K34" i="22"/>
  <c r="E48" i="22"/>
  <c r="Q142" i="22"/>
  <c r="L121" i="14"/>
  <c r="L120" i="14"/>
  <c r="L118" i="14"/>
  <c r="L35" i="14"/>
  <c r="E240" i="14" s="1"/>
  <c r="H35" i="14"/>
  <c r="J35" i="14"/>
  <c r="E127" i="14"/>
  <c r="H34" i="14" s="1"/>
  <c r="O119" i="14"/>
  <c r="O118" i="14"/>
  <c r="E142" i="22"/>
  <c r="E143" i="22"/>
  <c r="F44" i="22"/>
  <c r="L30" i="22"/>
  <c r="E153" i="13"/>
  <c r="E73" i="14"/>
  <c r="D214" i="14" s="1"/>
  <c r="L122" i="14"/>
  <c r="L44" i="14"/>
  <c r="J142" i="22"/>
  <c r="V143" i="22"/>
  <c r="O120" i="14"/>
  <c r="D69" i="14"/>
  <c r="D73" i="14"/>
  <c r="J119" i="18"/>
  <c r="I119" i="18"/>
  <c r="G114" i="18"/>
  <c r="E52" i="22"/>
  <c r="K39" i="22"/>
  <c r="K31" i="22"/>
  <c r="E45" i="22"/>
  <c r="G106" i="22"/>
  <c r="Q106" i="22"/>
  <c r="V106" i="22"/>
  <c r="U106" i="22"/>
  <c r="M106" i="22"/>
  <c r="R106" i="22"/>
  <c r="I106" i="22"/>
  <c r="N106" i="22"/>
  <c r="W106" i="22"/>
  <c r="J106" i="22"/>
  <c r="S106" i="22"/>
  <c r="F106" i="22"/>
  <c r="P106" i="22"/>
  <c r="O106" i="22"/>
  <c r="X106" i="22"/>
  <c r="L106" i="22"/>
  <c r="K106" i="22"/>
  <c r="T106" i="22"/>
  <c r="H106" i="22"/>
  <c r="D219" i="14"/>
  <c r="D223" i="14"/>
  <c r="E223" i="14" s="1"/>
  <c r="F223" i="14" s="1"/>
  <c r="G223" i="14" s="1"/>
  <c r="H223" i="14" s="1"/>
  <c r="I223" i="14" s="1"/>
  <c r="J223" i="14" s="1"/>
  <c r="K223" i="14" s="1"/>
  <c r="L223" i="14" s="1"/>
  <c r="M223" i="14" s="1"/>
  <c r="N223" i="14" s="1"/>
  <c r="O223" i="14" s="1"/>
  <c r="P223" i="14" s="1"/>
  <c r="Q223" i="14" s="1"/>
  <c r="R223" i="14" s="1"/>
  <c r="S223" i="14" s="1"/>
  <c r="T223" i="14" s="1"/>
  <c r="U223" i="14" s="1"/>
  <c r="V223" i="14" s="1"/>
  <c r="W223" i="14" s="1"/>
  <c r="X223" i="14" s="1"/>
  <c r="F47" i="22"/>
  <c r="L33" i="22"/>
  <c r="F72" i="14"/>
  <c r="F61" i="14" s="1"/>
  <c r="N120" i="14"/>
  <c r="E51" i="22"/>
  <c r="K37" i="22"/>
  <c r="F56" i="23"/>
  <c r="F59" i="23"/>
  <c r="F52" i="23"/>
  <c r="D108" i="23" s="1"/>
  <c r="L53" i="14"/>
  <c r="D161" i="23"/>
  <c r="H142" i="23"/>
  <c r="E162" i="23"/>
  <c r="C101" i="15"/>
  <c r="B62" i="22"/>
  <c r="C81" i="22" s="1"/>
  <c r="D204" i="18"/>
  <c r="G30" i="1"/>
  <c r="C30" i="1"/>
  <c r="M72" i="14"/>
  <c r="M61" i="14" s="1"/>
  <c r="G71" i="14"/>
  <c r="M71" i="14"/>
  <c r="F211" i="18"/>
  <c r="F208" i="18"/>
  <c r="D82" i="18"/>
  <c r="E209" i="18" s="1"/>
  <c r="D81" i="18"/>
  <c r="E208" i="18" s="1"/>
  <c r="E213" i="18" s="1"/>
  <c r="K130" i="18"/>
  <c r="K132" i="18"/>
  <c r="H180" i="18" s="1"/>
  <c r="G93" i="18"/>
  <c r="K96" i="18" s="1"/>
  <c r="G94" i="18"/>
  <c r="F186" i="18"/>
  <c r="G6" i="18"/>
  <c r="K119" i="18"/>
  <c r="I161" i="18"/>
  <c r="K161" i="18" s="1"/>
  <c r="K154" i="18"/>
  <c r="J181" i="18" s="1"/>
  <c r="I99" i="18"/>
  <c r="J140" i="18"/>
  <c r="G134" i="18"/>
  <c r="G135" i="18" s="1"/>
  <c r="I139" i="18"/>
  <c r="K139" i="18" s="1"/>
  <c r="G91" i="18"/>
  <c r="J157" i="18"/>
  <c r="I162" i="18"/>
  <c r="C243" i="18"/>
  <c r="C245" i="18" s="1"/>
  <c r="K157" i="18"/>
  <c r="H162" i="18"/>
  <c r="K162" i="18" s="1"/>
  <c r="H99" i="18"/>
  <c r="K99" i="18" s="1"/>
  <c r="E204" i="18"/>
  <c r="H140" i="18"/>
  <c r="M180" i="18"/>
  <c r="M181" i="18" s="1"/>
  <c r="M176" i="18"/>
  <c r="M177" i="18" s="1"/>
  <c r="F19" i="18"/>
  <c r="H121" i="18"/>
  <c r="G156" i="18"/>
  <c r="I155" i="18" s="1"/>
  <c r="G113" i="18"/>
  <c r="H120" i="18" s="1"/>
  <c r="D251" i="14"/>
  <c r="E251" i="14" s="1"/>
  <c r="F251" i="14" s="1"/>
  <c r="G251" i="14" s="1"/>
  <c r="H251" i="14" s="1"/>
  <c r="I251" i="14" s="1"/>
  <c r="J251" i="14" s="1"/>
  <c r="K251" i="14" s="1"/>
  <c r="L251" i="14" s="1"/>
  <c r="M251" i="14" s="1"/>
  <c r="N251" i="14" s="1"/>
  <c r="O251" i="14" s="1"/>
  <c r="P251" i="14" s="1"/>
  <c r="Q251" i="14" s="1"/>
  <c r="R251" i="14" s="1"/>
  <c r="S251" i="14" s="1"/>
  <c r="T251" i="14" s="1"/>
  <c r="U251" i="14" s="1"/>
  <c r="V251" i="14" s="1"/>
  <c r="W251" i="14" s="1"/>
  <c r="X251" i="14" s="1"/>
  <c r="D229" i="14"/>
  <c r="E229" i="14" s="1"/>
  <c r="F229" i="14" s="1"/>
  <c r="G229" i="14" s="1"/>
  <c r="H229" i="14" s="1"/>
  <c r="I229" i="14" s="1"/>
  <c r="J229" i="14" s="1"/>
  <c r="K229" i="14" s="1"/>
  <c r="L229" i="14" s="1"/>
  <c r="M229" i="14" s="1"/>
  <c r="N229" i="14" s="1"/>
  <c r="O229" i="14" s="1"/>
  <c r="P229" i="14" s="1"/>
  <c r="Q229" i="14" s="1"/>
  <c r="R229" i="14" s="1"/>
  <c r="S229" i="14" s="1"/>
  <c r="T229" i="14" s="1"/>
  <c r="U229" i="14" s="1"/>
  <c r="V229" i="14" s="1"/>
  <c r="W229" i="14" s="1"/>
  <c r="X229" i="14" s="1"/>
  <c r="W248" i="14"/>
  <c r="N248" i="14"/>
  <c r="X248" i="14"/>
  <c r="H248" i="14"/>
  <c r="T248" i="14"/>
  <c r="R248" i="14"/>
  <c r="K248" i="14"/>
  <c r="M248" i="14"/>
  <c r="G248" i="14"/>
  <c r="P248" i="14"/>
  <c r="L49" i="14"/>
  <c r="L37" i="14"/>
  <c r="S242" i="14" s="1"/>
  <c r="L36" i="14"/>
  <c r="J241" i="14" s="1"/>
  <c r="F241" i="14"/>
  <c r="P241" i="14"/>
  <c r="Q241" i="14"/>
  <c r="R241" i="14"/>
  <c r="D248" i="14"/>
  <c r="V248" i="14"/>
  <c r="I248" i="14"/>
  <c r="Q248" i="14"/>
  <c r="F248" i="14"/>
  <c r="O248" i="14"/>
  <c r="U248" i="14"/>
  <c r="L248" i="14"/>
  <c r="S248" i="14"/>
  <c r="J248" i="14"/>
  <c r="E248" i="14"/>
  <c r="J15" i="20"/>
  <c r="L20" i="14" s="1"/>
  <c r="H15" i="20"/>
  <c r="E15" i="20"/>
  <c r="P176" i="1"/>
  <c r="P199" i="1" s="1"/>
  <c r="O90" i="1"/>
  <c r="O89" i="1"/>
  <c r="H19" i="1"/>
  <c r="O73" i="1"/>
  <c r="O86" i="1"/>
  <c r="O91" i="1"/>
  <c r="I187" i="18"/>
  <c r="H187" i="18"/>
  <c r="J187" i="18" s="1"/>
  <c r="K187" i="18" s="1"/>
  <c r="L187" i="18" s="1"/>
  <c r="M187" i="18" s="1"/>
  <c r="D227" i="14"/>
  <c r="E227" i="14" s="1"/>
  <c r="F227" i="14" s="1"/>
  <c r="G227" i="14" s="1"/>
  <c r="H227" i="14" s="1"/>
  <c r="I227" i="14" s="1"/>
  <c r="J227" i="14" s="1"/>
  <c r="K227" i="14" s="1"/>
  <c r="L227" i="14" s="1"/>
  <c r="M227" i="14" s="1"/>
  <c r="N227" i="14" s="1"/>
  <c r="O227" i="14" s="1"/>
  <c r="P227" i="14" s="1"/>
  <c r="Q227" i="14" s="1"/>
  <c r="R227" i="14" s="1"/>
  <c r="S227" i="14" s="1"/>
  <c r="T227" i="14" s="1"/>
  <c r="U227" i="14" s="1"/>
  <c r="V227" i="14" s="1"/>
  <c r="W227" i="14" s="1"/>
  <c r="X227" i="14" s="1"/>
  <c r="E71" i="14"/>
  <c r="H71" i="14"/>
  <c r="F71" i="14"/>
  <c r="E72" i="14"/>
  <c r="C79" i="22"/>
  <c r="C80" i="22"/>
  <c r="O71" i="14"/>
  <c r="D234" i="14"/>
  <c r="E234" i="14" s="1"/>
  <c r="F234" i="14" s="1"/>
  <c r="G234" i="14" s="1"/>
  <c r="H234" i="14" s="1"/>
  <c r="I234" i="14" s="1"/>
  <c r="J234" i="14" s="1"/>
  <c r="K234" i="14" s="1"/>
  <c r="L234" i="14" s="1"/>
  <c r="M234" i="14" s="1"/>
  <c r="N234" i="14" s="1"/>
  <c r="O234" i="14" s="1"/>
  <c r="P234" i="14" s="1"/>
  <c r="Q234" i="14" s="1"/>
  <c r="R234" i="14" s="1"/>
  <c r="S234" i="14" s="1"/>
  <c r="T234" i="14" s="1"/>
  <c r="U234" i="14" s="1"/>
  <c r="V234" i="14" s="1"/>
  <c r="W234" i="14" s="1"/>
  <c r="X234" i="14" s="1"/>
  <c r="D231" i="14"/>
  <c r="D235" i="14"/>
  <c r="E235" i="14" s="1"/>
  <c r="F235" i="14" s="1"/>
  <c r="G235" i="14" s="1"/>
  <c r="H235" i="14" s="1"/>
  <c r="I235" i="14" s="1"/>
  <c r="J235" i="14" s="1"/>
  <c r="K235" i="14" s="1"/>
  <c r="L235" i="14" s="1"/>
  <c r="M235" i="14" s="1"/>
  <c r="N235" i="14" s="1"/>
  <c r="O235" i="14" s="1"/>
  <c r="P235" i="14" s="1"/>
  <c r="Q235" i="14" s="1"/>
  <c r="R235" i="14" s="1"/>
  <c r="S235" i="14" s="1"/>
  <c r="T235" i="14" s="1"/>
  <c r="U235" i="14" s="1"/>
  <c r="V235" i="14" s="1"/>
  <c r="W235" i="14" s="1"/>
  <c r="X235" i="14" s="1"/>
  <c r="K71" i="14"/>
  <c r="N72" i="14"/>
  <c r="N61" i="14" s="1"/>
  <c r="N71" i="14"/>
  <c r="L72" i="14"/>
  <c r="L61" i="14" s="1"/>
  <c r="O72" i="14"/>
  <c r="H72" i="14"/>
  <c r="H61" i="14" s="1"/>
  <c r="D232" i="14"/>
  <c r="E232" i="14" s="1"/>
  <c r="F232" i="14" s="1"/>
  <c r="G232" i="14" s="1"/>
  <c r="H232" i="14" s="1"/>
  <c r="I232" i="14" s="1"/>
  <c r="J232" i="14" s="1"/>
  <c r="K232" i="14" s="1"/>
  <c r="L232" i="14" s="1"/>
  <c r="M232" i="14" s="1"/>
  <c r="N232" i="14" s="1"/>
  <c r="O232" i="14" s="1"/>
  <c r="P232" i="14" s="1"/>
  <c r="Q232" i="14" s="1"/>
  <c r="R232" i="14" s="1"/>
  <c r="S232" i="14" s="1"/>
  <c r="T232" i="14" s="1"/>
  <c r="U232" i="14" s="1"/>
  <c r="V232" i="14" s="1"/>
  <c r="W232" i="14" s="1"/>
  <c r="X232" i="14" s="1"/>
  <c r="D228" i="14"/>
  <c r="E228" i="14" s="1"/>
  <c r="F228" i="14" s="1"/>
  <c r="G228" i="14" s="1"/>
  <c r="H228" i="14" s="1"/>
  <c r="I228" i="14" s="1"/>
  <c r="J228" i="14" s="1"/>
  <c r="K228" i="14" s="1"/>
  <c r="L228" i="14" s="1"/>
  <c r="M228" i="14" s="1"/>
  <c r="N228" i="14" s="1"/>
  <c r="O228" i="14" s="1"/>
  <c r="P228" i="14" s="1"/>
  <c r="Q228" i="14" s="1"/>
  <c r="R228" i="14" s="1"/>
  <c r="S228" i="14" s="1"/>
  <c r="T228" i="14" s="1"/>
  <c r="U228" i="14" s="1"/>
  <c r="V228" i="14" s="1"/>
  <c r="W228" i="14" s="1"/>
  <c r="X228" i="14" s="1"/>
  <c r="L71" i="14"/>
  <c r="K72" i="14"/>
  <c r="Q85" i="1"/>
  <c r="D170" i="1"/>
  <c r="D193" i="1" s="1"/>
  <c r="D216" i="1" s="1"/>
  <c r="O175" i="1"/>
  <c r="O198" i="1" s="1"/>
  <c r="O78" i="1"/>
  <c r="O76" i="1"/>
  <c r="B31" i="1"/>
  <c r="T219" i="1" s="1"/>
  <c r="U219" i="1" s="1"/>
  <c r="V219" i="1" s="1"/>
  <c r="O164" i="1"/>
  <c r="O187" i="1" s="1"/>
  <c r="O159" i="1"/>
  <c r="O182" i="1" s="1"/>
  <c r="O84" i="1"/>
  <c r="O74" i="1"/>
  <c r="O81" i="1"/>
  <c r="O85" i="1"/>
  <c r="O87" i="1"/>
  <c r="D172" i="1"/>
  <c r="D195" i="1" s="1"/>
  <c r="D218" i="1" s="1"/>
  <c r="X164" i="1"/>
  <c r="X165" i="1" s="1"/>
  <c r="O160" i="1"/>
  <c r="O183" i="1" s="1"/>
  <c r="O162" i="1"/>
  <c r="O185" i="1" s="1"/>
  <c r="O171" i="1"/>
  <c r="O194" i="1" s="1"/>
  <c r="O165" i="1"/>
  <c r="O188" i="1" s="1"/>
  <c r="O88" i="1"/>
  <c r="O80" i="1"/>
  <c r="O79" i="1"/>
  <c r="O83" i="1"/>
  <c r="H186" i="1"/>
  <c r="H209" i="1" s="1"/>
  <c r="E82" i="23"/>
  <c r="D162" i="1"/>
  <c r="D185" i="1" s="1"/>
  <c r="D208" i="1" s="1"/>
  <c r="D165" i="1"/>
  <c r="D188" i="1" s="1"/>
  <c r="D211" i="1" s="1"/>
  <c r="D171" i="1"/>
  <c r="D194" i="1" s="1"/>
  <c r="D217" i="1" s="1"/>
  <c r="M129" i="1"/>
  <c r="N129" i="1" s="1"/>
  <c r="D131" i="1" s="1"/>
  <c r="O221" i="1" s="1"/>
  <c r="H173" i="1"/>
  <c r="H196" i="1" s="1"/>
  <c r="H219" i="1" s="1"/>
  <c r="O174" i="1"/>
  <c r="O197" i="1" s="1"/>
  <c r="O173" i="1"/>
  <c r="O196" i="1" s="1"/>
  <c r="D169" i="1"/>
  <c r="D192" i="1" s="1"/>
  <c r="D215" i="1" s="1"/>
  <c r="D164" i="1"/>
  <c r="D187" i="1" s="1"/>
  <c r="D210" i="1" s="1"/>
  <c r="D167" i="1"/>
  <c r="D190" i="1" s="1"/>
  <c r="D213" i="1" s="1"/>
  <c r="C15" i="1"/>
  <c r="D161" i="1"/>
  <c r="D184" i="1" s="1"/>
  <c r="D207" i="1" s="1"/>
  <c r="D168" i="1"/>
  <c r="D191" i="1" s="1"/>
  <c r="D214" i="1" s="1"/>
  <c r="D175" i="1"/>
  <c r="D198" i="1" s="1"/>
  <c r="D221" i="1" s="1"/>
  <c r="X160" i="1"/>
  <c r="X183" i="1" s="1"/>
  <c r="X182" i="1"/>
  <c r="G52" i="23"/>
  <c r="G78" i="23" s="1"/>
  <c r="E78" i="23"/>
  <c r="G57" i="23"/>
  <c r="D169" i="23"/>
  <c r="G169" i="23" s="1"/>
  <c r="G172" i="23" s="1"/>
  <c r="Q89" i="1"/>
  <c r="P79" i="1"/>
  <c r="P88" i="1"/>
  <c r="P91" i="1"/>
  <c r="P84" i="1"/>
  <c r="M94" i="1"/>
  <c r="K95" i="1" s="1"/>
  <c r="Q88" i="1"/>
  <c r="Q86" i="1"/>
  <c r="P77" i="1"/>
  <c r="P73" i="1"/>
  <c r="Q73" i="1"/>
  <c r="N96" i="1" s="1"/>
  <c r="Q79" i="1"/>
  <c r="P80" i="1"/>
  <c r="N113" i="1"/>
  <c r="N114" i="1" s="1"/>
  <c r="E109" i="1" s="1"/>
  <c r="D130" i="1" s="1"/>
  <c r="Q83" i="1"/>
  <c r="H165" i="1"/>
  <c r="O168" i="1"/>
  <c r="O191" i="1" s="1"/>
  <c r="O176" i="1"/>
  <c r="O199" i="1" s="1"/>
  <c r="O172" i="1"/>
  <c r="O195" i="1" s="1"/>
  <c r="O163" i="1"/>
  <c r="O186" i="1" s="1"/>
  <c r="O166" i="1"/>
  <c r="O189" i="1" s="1"/>
  <c r="O167" i="1"/>
  <c r="O190" i="1" s="1"/>
  <c r="O170" i="1"/>
  <c r="O193" i="1" s="1"/>
  <c r="O158" i="1"/>
  <c r="O181" i="1" s="1"/>
  <c r="O169" i="1"/>
  <c r="O192" i="1" s="1"/>
  <c r="J18" i="1"/>
  <c r="J19" i="1" s="1"/>
  <c r="D166" i="1"/>
  <c r="D189" i="1" s="1"/>
  <c r="D212" i="1" s="1"/>
  <c r="D173" i="1"/>
  <c r="D196" i="1" s="1"/>
  <c r="D219" i="1" s="1"/>
  <c r="P197" i="1"/>
  <c r="P196" i="1"/>
  <c r="C68" i="18"/>
  <c r="G72" i="18" s="1"/>
  <c r="X216" i="1"/>
  <c r="D54" i="1"/>
  <c r="E54" i="1" s="1"/>
  <c r="B32" i="1"/>
  <c r="I219" i="1" s="1"/>
  <c r="J219" i="1" s="1"/>
  <c r="K219" i="1" s="1"/>
  <c r="O210" i="1"/>
  <c r="O205" i="1"/>
  <c r="O219" i="1"/>
  <c r="O213" i="1"/>
  <c r="O206" i="1"/>
  <c r="O211" i="1"/>
  <c r="O218" i="1"/>
  <c r="J31" i="14"/>
  <c r="X210" i="1"/>
  <c r="P75" i="1"/>
  <c r="Q80" i="1"/>
  <c r="Q77" i="1"/>
  <c r="Q74" i="1"/>
  <c r="Q90" i="1"/>
  <c r="Q87" i="1"/>
  <c r="P82" i="1"/>
  <c r="P74" i="1"/>
  <c r="P86" i="1"/>
  <c r="P76" i="1"/>
  <c r="P89" i="1"/>
  <c r="Q84" i="1"/>
  <c r="Q81" i="1"/>
  <c r="Q78" i="1"/>
  <c r="Q75" i="1"/>
  <c r="Q91" i="1"/>
  <c r="P87" i="1"/>
  <c r="P85" i="1"/>
  <c r="P78" i="1"/>
  <c r="X220" i="1"/>
  <c r="N18" i="14"/>
  <c r="P83" i="1"/>
  <c r="P90" i="1"/>
  <c r="Q82" i="1"/>
  <c r="Q76" i="1"/>
  <c r="J274" i="1"/>
  <c r="L102" i="13"/>
  <c r="D158" i="1"/>
  <c r="D181" i="1" s="1"/>
  <c r="D204" i="1" s="1"/>
  <c r="D163" i="1"/>
  <c r="D186" i="1" s="1"/>
  <c r="D209" i="1" s="1"/>
  <c r="D160" i="1"/>
  <c r="D183" i="1" s="1"/>
  <c r="D206" i="1" s="1"/>
  <c r="D176" i="1"/>
  <c r="D199" i="1" s="1"/>
  <c r="D222" i="1" s="1"/>
  <c r="D174" i="1"/>
  <c r="D197" i="1" s="1"/>
  <c r="D220" i="1" s="1"/>
  <c r="P164" i="1"/>
  <c r="G161" i="13"/>
  <c r="G175" i="13"/>
  <c r="G182" i="13" s="1"/>
  <c r="G163" i="13"/>
  <c r="G164" i="13"/>
  <c r="F168" i="13"/>
  <c r="F156" i="13"/>
  <c r="F151" i="13"/>
  <c r="F155" i="13"/>
  <c r="F163" i="13"/>
  <c r="F159" i="13"/>
  <c r="F164" i="13"/>
  <c r="F169" i="13"/>
  <c r="F165" i="13"/>
  <c r="F154" i="13"/>
  <c r="O27" i="13"/>
  <c r="D87" i="13"/>
  <c r="C92" i="13" s="1"/>
  <c r="C88" i="13"/>
  <c r="D88" i="13" s="1"/>
  <c r="C93" i="13" s="1"/>
  <c r="D93" i="13" s="1"/>
  <c r="G195" i="13"/>
  <c r="G156" i="13"/>
  <c r="G159" i="13"/>
  <c r="G155" i="13"/>
  <c r="G165" i="13"/>
  <c r="F48" i="13"/>
  <c r="F46" i="13" s="1"/>
  <c r="N43" i="13"/>
  <c r="N44" i="13" s="1"/>
  <c r="N45" i="13" s="1"/>
  <c r="G179" i="13"/>
  <c r="G178" i="13"/>
  <c r="G169" i="13"/>
  <c r="G167" i="13"/>
  <c r="G160" i="13"/>
  <c r="G153" i="13"/>
  <c r="G191" i="13"/>
  <c r="G166" i="13"/>
  <c r="G162" i="13"/>
  <c r="G192" i="13"/>
  <c r="G154" i="13"/>
  <c r="E151" i="13"/>
  <c r="E169" i="13"/>
  <c r="E170" i="13"/>
  <c r="E157" i="13"/>
  <c r="E168" i="13"/>
  <c r="E165" i="13"/>
  <c r="E160" i="13"/>
  <c r="E152" i="13"/>
  <c r="E167" i="13"/>
  <c r="E161" i="13"/>
  <c r="E158" i="13"/>
  <c r="E163" i="13"/>
  <c r="E162" i="13"/>
  <c r="E154" i="13"/>
  <c r="E159" i="13"/>
  <c r="E155" i="13"/>
  <c r="E175" i="13"/>
  <c r="E166" i="13"/>
  <c r="E156" i="13"/>
  <c r="E164" i="13"/>
  <c r="G170" i="13"/>
  <c r="F170" i="13"/>
  <c r="F158" i="13"/>
  <c r="G158" i="13"/>
  <c r="H150" i="13"/>
  <c r="I96" i="13"/>
  <c r="G186" i="13"/>
  <c r="G189" i="13"/>
  <c r="G193" i="13"/>
  <c r="G181" i="13"/>
  <c r="G185" i="13"/>
  <c r="G190" i="13"/>
  <c r="G188" i="13"/>
  <c r="G194" i="13"/>
  <c r="G180" i="13"/>
  <c r="G177" i="13"/>
  <c r="G187" i="13"/>
  <c r="G183" i="13"/>
  <c r="K140" i="13"/>
  <c r="L140" i="13" s="1"/>
  <c r="M140" i="13" s="1"/>
  <c r="N140" i="13" s="1"/>
  <c r="O140" i="13" s="1"/>
  <c r="P140" i="13" s="1"/>
  <c r="Q140" i="13" s="1"/>
  <c r="R140" i="13" s="1"/>
  <c r="S140" i="13" s="1"/>
  <c r="T140" i="13" s="1"/>
  <c r="U140" i="13" s="1"/>
  <c r="V140" i="13" s="1"/>
  <c r="W140" i="13" s="1"/>
  <c r="X140" i="13" s="1"/>
  <c r="Y140" i="13" s="1"/>
  <c r="Z140" i="13" s="1"/>
  <c r="AA140" i="13" s="1"/>
  <c r="AB140" i="13" s="1"/>
  <c r="AC140" i="13" s="1"/>
  <c r="AD140" i="13" s="1"/>
  <c r="AE140" i="13" s="1"/>
  <c r="AF140" i="13" s="1"/>
  <c r="AG140" i="13" s="1"/>
  <c r="AH140" i="13" s="1"/>
  <c r="AI140" i="13" s="1"/>
  <c r="AJ140" i="13" s="1"/>
  <c r="AK140" i="13" s="1"/>
  <c r="AL140" i="13" s="1"/>
  <c r="AM140" i="13" s="1"/>
  <c r="AN140" i="13" s="1"/>
  <c r="AO140" i="13" s="1"/>
  <c r="AP140" i="13" s="1"/>
  <c r="AQ140" i="13" s="1"/>
  <c r="AR140" i="13" s="1"/>
  <c r="AS140" i="13" s="1"/>
  <c r="AT140" i="13" s="1"/>
  <c r="AU140" i="13" s="1"/>
  <c r="AV140" i="13" s="1"/>
  <c r="AW140" i="13" s="1"/>
  <c r="AX140" i="13" s="1"/>
  <c r="AY140" i="13" s="1"/>
  <c r="AZ140" i="13" s="1"/>
  <c r="BA140" i="13" s="1"/>
  <c r="BB140" i="13" s="1"/>
  <c r="F175" i="13"/>
  <c r="F162" i="13"/>
  <c r="F152" i="13"/>
  <c r="F167" i="13"/>
  <c r="O25" i="13"/>
  <c r="O29" i="13" s="1"/>
  <c r="E22" i="13" s="1"/>
  <c r="F157" i="13"/>
  <c r="F166" i="13"/>
  <c r="G168" i="13"/>
  <c r="G157" i="13"/>
  <c r="G152" i="13"/>
  <c r="G151" i="13"/>
  <c r="E49" i="13"/>
  <c r="K6" i="19"/>
  <c r="L6" i="19" s="1"/>
  <c r="M6" i="19" s="1"/>
  <c r="N6" i="19" s="1"/>
  <c r="O6" i="19" s="1"/>
  <c r="P6" i="19" s="1"/>
  <c r="Q6" i="19" s="1"/>
  <c r="R6" i="19" s="1"/>
  <c r="S6" i="19" s="1"/>
  <c r="T6" i="19" s="1"/>
  <c r="U6" i="19" s="1"/>
  <c r="V6" i="19" s="1"/>
  <c r="W6" i="19" s="1"/>
  <c r="X6" i="19" s="1"/>
  <c r="F32" i="19"/>
  <c r="I18" i="19"/>
  <c r="H19" i="19"/>
  <c r="H22" i="19" s="1"/>
  <c r="H25" i="19" s="1"/>
  <c r="D56" i="19"/>
  <c r="K33" i="19"/>
  <c r="K36" i="19" s="1"/>
  <c r="K39" i="19" s="1"/>
  <c r="K34" i="19"/>
  <c r="K37" i="19" s="1"/>
  <c r="J33" i="19"/>
  <c r="J36" i="19" s="1"/>
  <c r="J39" i="19" s="1"/>
  <c r="J35" i="19"/>
  <c r="J40" i="19" s="1"/>
  <c r="G21" i="19"/>
  <c r="G26" i="19" s="1"/>
  <c r="G20" i="19"/>
  <c r="G23" i="19" s="1"/>
  <c r="L32" i="19"/>
  <c r="H21" i="19"/>
  <c r="H26" i="19" s="1"/>
  <c r="J34" i="19"/>
  <c r="J37" i="19" s="1"/>
  <c r="G19" i="19"/>
  <c r="G22" i="19" s="1"/>
  <c r="G25" i="19" s="1"/>
  <c r="I21" i="19"/>
  <c r="I26" i="19" s="1"/>
  <c r="J16" i="19"/>
  <c r="K35" i="19"/>
  <c r="K40" i="19" s="1"/>
  <c r="O30" i="19"/>
  <c r="C100" i="15"/>
  <c r="O18" i="14"/>
  <c r="E139" i="23"/>
  <c r="E142" i="23" s="1"/>
  <c r="F139" i="23"/>
  <c r="F142" i="23" s="1"/>
  <c r="G139" i="23"/>
  <c r="G142" i="23" s="1"/>
  <c r="J182" i="18"/>
  <c r="H159" i="23"/>
  <c r="H162" i="23" s="1"/>
  <c r="G159" i="23"/>
  <c r="G162" i="23" s="1"/>
  <c r="F159" i="23"/>
  <c r="F162" i="23" s="1"/>
  <c r="I31" i="14"/>
  <c r="D109" i="23"/>
  <c r="F24" i="20"/>
  <c r="X15" i="20"/>
  <c r="W83" i="15" s="1"/>
  <c r="D15" i="20"/>
  <c r="D22" i="20" s="1"/>
  <c r="J20" i="14"/>
  <c r="V24" i="20"/>
  <c r="R24" i="20"/>
  <c r="N24" i="20"/>
  <c r="J24" i="20"/>
  <c r="E24" i="20"/>
  <c r="W24" i="20"/>
  <c r="S24" i="20"/>
  <c r="O24" i="20"/>
  <c r="K24" i="20"/>
  <c r="G24" i="20"/>
  <c r="N15" i="20"/>
  <c r="N10" i="20" s="1"/>
  <c r="N18" i="20" s="1"/>
  <c r="D24" i="20"/>
  <c r="U24" i="20"/>
  <c r="Q24" i="20"/>
  <c r="M24" i="20"/>
  <c r="I24" i="20"/>
  <c r="W15" i="20"/>
  <c r="Y20" i="14" s="1"/>
  <c r="X24" i="20"/>
  <c r="T24" i="20"/>
  <c r="P24" i="20"/>
  <c r="L24" i="20"/>
  <c r="E113" i="1"/>
  <c r="Q221" i="1"/>
  <c r="F175" i="18"/>
  <c r="E203" i="23"/>
  <c r="F202" i="23"/>
  <c r="G96" i="23"/>
  <c r="F96" i="23"/>
  <c r="H96" i="23"/>
  <c r="F178" i="18"/>
  <c r="E48" i="1"/>
  <c r="E96" i="23"/>
  <c r="M29" i="15"/>
  <c r="K2" i="15" s="1"/>
  <c r="G53" i="23"/>
  <c r="D129" i="23"/>
  <c r="G15" i="20"/>
  <c r="V15" i="20"/>
  <c r="F15" i="20"/>
  <c r="I15" i="20"/>
  <c r="L15" i="20"/>
  <c r="O15" i="20"/>
  <c r="U15" i="20"/>
  <c r="T15" i="20"/>
  <c r="S15" i="20"/>
  <c r="R15" i="20"/>
  <c r="Q15" i="20"/>
  <c r="P15" i="20"/>
  <c r="K15" i="20"/>
  <c r="M15" i="20"/>
  <c r="E214" i="14" l="1"/>
  <c r="D213" i="14"/>
  <c r="D226" i="14"/>
  <c r="K90" i="18"/>
  <c r="D179" i="18" s="1"/>
  <c r="K92" i="18"/>
  <c r="D180" i="18" s="1"/>
  <c r="D245" i="14"/>
  <c r="P242" i="14"/>
  <c r="D233" i="14"/>
  <c r="E233" i="14" s="1"/>
  <c r="F233" i="14" s="1"/>
  <c r="G233" i="14" s="1"/>
  <c r="H233" i="14" s="1"/>
  <c r="I233" i="14" s="1"/>
  <c r="J233" i="14" s="1"/>
  <c r="K233" i="14" s="1"/>
  <c r="L233" i="14" s="1"/>
  <c r="M233" i="14" s="1"/>
  <c r="N233" i="14" s="1"/>
  <c r="O233" i="14" s="1"/>
  <c r="P233" i="14" s="1"/>
  <c r="Q233" i="14" s="1"/>
  <c r="R233" i="14" s="1"/>
  <c r="S233" i="14" s="1"/>
  <c r="T233" i="14" s="1"/>
  <c r="U233" i="14" s="1"/>
  <c r="V233" i="14" s="1"/>
  <c r="W233" i="14" s="1"/>
  <c r="X233" i="14" s="1"/>
  <c r="I242" i="14"/>
  <c r="N242" i="14"/>
  <c r="D118" i="23"/>
  <c r="F85" i="23"/>
  <c r="F220" i="14"/>
  <c r="E245" i="14"/>
  <c r="H52" i="14"/>
  <c r="J52" i="14"/>
  <c r="F52" i="14"/>
  <c r="L52" i="14" s="1"/>
  <c r="R247" i="14" s="1"/>
  <c r="M241" i="14"/>
  <c r="K242" i="14"/>
  <c r="J242" i="14"/>
  <c r="F82" i="23"/>
  <c r="H158" i="23"/>
  <c r="G158" i="23"/>
  <c r="D158" i="23"/>
  <c r="D218" i="14"/>
  <c r="E219" i="14"/>
  <c r="J121" i="18"/>
  <c r="J116" i="18"/>
  <c r="I121" i="18"/>
  <c r="K121" i="18" s="1"/>
  <c r="B66" i="22"/>
  <c r="D201" i="14"/>
  <c r="D252" i="14" s="1"/>
  <c r="J51" i="14"/>
  <c r="F51" i="14"/>
  <c r="H51" i="14"/>
  <c r="H108" i="23"/>
  <c r="G184" i="13"/>
  <c r="O209" i="1"/>
  <c r="H241" i="14"/>
  <c r="F242" i="14"/>
  <c r="L37" i="22"/>
  <c r="F51" i="22"/>
  <c r="L36" i="22"/>
  <c r="F50" i="22"/>
  <c r="F78" i="23"/>
  <c r="G108" i="23"/>
  <c r="Q242" i="14"/>
  <c r="L242" i="14"/>
  <c r="J136" i="18"/>
  <c r="J131" i="18" s="1"/>
  <c r="H176" i="18" s="1"/>
  <c r="I154" i="18"/>
  <c r="F49" i="22"/>
  <c r="L35" i="22"/>
  <c r="H240" i="14"/>
  <c r="I215" i="14"/>
  <c r="G240" i="14"/>
  <c r="D240" i="14"/>
  <c r="G48" i="13"/>
  <c r="G46" i="13" s="1"/>
  <c r="Q211" i="1"/>
  <c r="D242" i="14"/>
  <c r="R242" i="14"/>
  <c r="H242" i="14"/>
  <c r="G52" i="22"/>
  <c r="M38" i="22"/>
  <c r="F240" i="14"/>
  <c r="E242" i="14"/>
  <c r="T242" i="14"/>
  <c r="E53" i="22"/>
  <c r="E90" i="22" s="1"/>
  <c r="M30" i="22"/>
  <c r="G44" i="22"/>
  <c r="L39" i="22"/>
  <c r="L34" i="22"/>
  <c r="F48" i="22"/>
  <c r="H168" i="23"/>
  <c r="G168" i="23"/>
  <c r="I73" i="14"/>
  <c r="F46" i="22"/>
  <c r="L32" i="22"/>
  <c r="K40" i="22"/>
  <c r="K41" i="22" s="1"/>
  <c r="M33" i="22"/>
  <c r="G47" i="22"/>
  <c r="L31" i="22"/>
  <c r="F45" i="22"/>
  <c r="F53" i="22" s="1"/>
  <c r="F90" i="22" s="1"/>
  <c r="F93" i="22" s="1"/>
  <c r="J34" i="14"/>
  <c r="L34" i="14" s="1"/>
  <c r="J30" i="1"/>
  <c r="B30" i="1"/>
  <c r="T191" i="1"/>
  <c r="U191" i="1" s="1"/>
  <c r="V191" i="1" s="1"/>
  <c r="I196" i="1"/>
  <c r="J196" i="1" s="1"/>
  <c r="K196" i="1" s="1"/>
  <c r="T192" i="1"/>
  <c r="U192" i="1" s="1"/>
  <c r="V192" i="1" s="1"/>
  <c r="T218" i="1"/>
  <c r="U218" i="1" s="1"/>
  <c r="V218" i="1" s="1"/>
  <c r="T209" i="1"/>
  <c r="U209" i="1" s="1"/>
  <c r="V209" i="1" s="1"/>
  <c r="T214" i="1"/>
  <c r="U214" i="1" s="1"/>
  <c r="V214" i="1" s="1"/>
  <c r="T204" i="1"/>
  <c r="U204" i="1" s="1"/>
  <c r="T208" i="1"/>
  <c r="U208" i="1" s="1"/>
  <c r="V208" i="1" s="1"/>
  <c r="Q186" i="1"/>
  <c r="R186" i="1" s="1"/>
  <c r="S186" i="1" s="1"/>
  <c r="T195" i="1"/>
  <c r="U195" i="1" s="1"/>
  <c r="V195" i="1" s="1"/>
  <c r="T213" i="1"/>
  <c r="U213" i="1" s="1"/>
  <c r="V213" i="1" s="1"/>
  <c r="T222" i="1"/>
  <c r="U222" i="1" s="1"/>
  <c r="V222" i="1" s="1"/>
  <c r="C144" i="15"/>
  <c r="T216" i="1"/>
  <c r="U216" i="1" s="1"/>
  <c r="V216" i="1" s="1"/>
  <c r="T220" i="1"/>
  <c r="U220" i="1" s="1"/>
  <c r="V220" i="1" s="1"/>
  <c r="I184" i="1"/>
  <c r="J184" i="1" s="1"/>
  <c r="K184" i="1" s="1"/>
  <c r="T206" i="1"/>
  <c r="U206" i="1" s="1"/>
  <c r="V206" i="1" s="1"/>
  <c r="C154" i="15"/>
  <c r="T187" i="1"/>
  <c r="U187" i="1" s="1"/>
  <c r="V187" i="1" s="1"/>
  <c r="I194" i="1"/>
  <c r="J194" i="1" s="1"/>
  <c r="K194" i="1" s="1"/>
  <c r="K95" i="18"/>
  <c r="J96" i="18"/>
  <c r="J91" i="18"/>
  <c r="D176" i="18" s="1"/>
  <c r="H179" i="18"/>
  <c r="G19" i="18"/>
  <c r="F204" i="18"/>
  <c r="K140" i="18"/>
  <c r="J94" i="18"/>
  <c r="D177" i="18" s="1"/>
  <c r="G115" i="18"/>
  <c r="I120" i="18"/>
  <c r="K120" i="18" s="1"/>
  <c r="J120" i="18"/>
  <c r="K116" i="18"/>
  <c r="K110" i="18" s="1"/>
  <c r="F179" i="18" s="1"/>
  <c r="I113" i="18"/>
  <c r="I136" i="18"/>
  <c r="I131" i="18"/>
  <c r="I132" i="18"/>
  <c r="I130" i="18"/>
  <c r="H141" i="18"/>
  <c r="I134" i="18"/>
  <c r="I141" i="18"/>
  <c r="J134" i="18"/>
  <c r="H177" i="18" s="1"/>
  <c r="J141" i="18"/>
  <c r="K93" i="18"/>
  <c r="D181" i="18" s="1"/>
  <c r="I152" i="18"/>
  <c r="I153" i="18"/>
  <c r="I157" i="18"/>
  <c r="I151" i="18"/>
  <c r="K151" i="18"/>
  <c r="K153" i="18"/>
  <c r="J180" i="18" s="1"/>
  <c r="J152" i="18"/>
  <c r="J155" i="18"/>
  <c r="J177" i="18" s="1"/>
  <c r="I133" i="18"/>
  <c r="G95" i="18"/>
  <c r="I93" i="18" s="1"/>
  <c r="G186" i="18"/>
  <c r="H6" i="18"/>
  <c r="N25" i="20"/>
  <c r="J10" i="20"/>
  <c r="J18" i="20" s="1"/>
  <c r="K9" i="15" s="1"/>
  <c r="H8" i="38" s="1"/>
  <c r="H5" i="41" s="1"/>
  <c r="I83" i="15"/>
  <c r="J22" i="20"/>
  <c r="J25" i="20"/>
  <c r="E244" i="14"/>
  <c r="D244" i="14"/>
  <c r="E241" i="14"/>
  <c r="G241" i="14"/>
  <c r="N241" i="14"/>
  <c r="D241" i="14"/>
  <c r="L241" i="14"/>
  <c r="U241" i="14"/>
  <c r="V241" i="14"/>
  <c r="K241" i="14"/>
  <c r="T241" i="14"/>
  <c r="X241" i="14"/>
  <c r="S241" i="14"/>
  <c r="W241" i="14"/>
  <c r="I241" i="14"/>
  <c r="O241" i="14"/>
  <c r="N247" i="14"/>
  <c r="H247" i="14"/>
  <c r="W247" i="14"/>
  <c r="M242" i="14"/>
  <c r="U242" i="14"/>
  <c r="G242" i="14"/>
  <c r="X242" i="14"/>
  <c r="O242" i="14"/>
  <c r="W242" i="14"/>
  <c r="V242" i="14"/>
  <c r="O9" i="15"/>
  <c r="L8" i="38" s="1"/>
  <c r="L5" i="41" s="1"/>
  <c r="Q205" i="1"/>
  <c r="R205" i="1" s="1"/>
  <c r="S205" i="1" s="1"/>
  <c r="L194" i="1"/>
  <c r="M194" i="1" s="1"/>
  <c r="N194" i="1" s="1"/>
  <c r="Q218" i="1"/>
  <c r="R218" i="1" s="1"/>
  <c r="S218" i="1" s="1"/>
  <c r="L190" i="1"/>
  <c r="M190" i="1" s="1"/>
  <c r="N190" i="1" s="1"/>
  <c r="T189" i="1"/>
  <c r="U189" i="1" s="1"/>
  <c r="V189" i="1" s="1"/>
  <c r="T198" i="1"/>
  <c r="U198" i="1" s="1"/>
  <c r="V198" i="1" s="1"/>
  <c r="O222" i="1"/>
  <c r="T215" i="1"/>
  <c r="U215" i="1" s="1"/>
  <c r="V215" i="1" s="1"/>
  <c r="T193" i="1"/>
  <c r="U193" i="1" s="1"/>
  <c r="V193" i="1" s="1"/>
  <c r="O220" i="1"/>
  <c r="O204" i="1"/>
  <c r="O215" i="1"/>
  <c r="O207" i="1"/>
  <c r="T205" i="1"/>
  <c r="U205" i="1" s="1"/>
  <c r="V205" i="1" s="1"/>
  <c r="L193" i="1"/>
  <c r="M193" i="1" s="1"/>
  <c r="N193" i="1" s="1"/>
  <c r="T212" i="1"/>
  <c r="U212" i="1" s="1"/>
  <c r="V212" i="1" s="1"/>
  <c r="C96" i="15"/>
  <c r="C108" i="15" s="1"/>
  <c r="Q197" i="1"/>
  <c r="R197" i="1" s="1"/>
  <c r="S197" i="1" s="1"/>
  <c r="L196" i="1"/>
  <c r="M196" i="1" s="1"/>
  <c r="N196" i="1" s="1"/>
  <c r="Q215" i="1"/>
  <c r="R215" i="1" s="1"/>
  <c r="S215" i="1" s="1"/>
  <c r="I183" i="1"/>
  <c r="J183" i="1" s="1"/>
  <c r="K183" i="1" s="1"/>
  <c r="I185" i="1"/>
  <c r="J185" i="1" s="1"/>
  <c r="K185" i="1" s="1"/>
  <c r="T211" i="1"/>
  <c r="U211" i="1" s="1"/>
  <c r="V211" i="1" s="1"/>
  <c r="T221" i="1"/>
  <c r="U221" i="1" s="1"/>
  <c r="V221" i="1" s="1"/>
  <c r="O216" i="1"/>
  <c r="O208" i="1"/>
  <c r="O214" i="1"/>
  <c r="O212" i="1"/>
  <c r="T210" i="1"/>
  <c r="U210" i="1" s="1"/>
  <c r="V210" i="1" s="1"/>
  <c r="T207" i="1"/>
  <c r="U207" i="1" s="1"/>
  <c r="V207" i="1" s="1"/>
  <c r="T217" i="1"/>
  <c r="U217" i="1" s="1"/>
  <c r="V217" i="1" s="1"/>
  <c r="T197" i="1"/>
  <c r="U197" i="1" s="1"/>
  <c r="V197" i="1" s="1"/>
  <c r="O217" i="1"/>
  <c r="I71" i="14"/>
  <c r="D152" i="14" s="1"/>
  <c r="E226" i="14"/>
  <c r="D225" i="14"/>
  <c r="K61" i="14"/>
  <c r="I72" i="14"/>
  <c r="E231" i="14"/>
  <c r="D71" i="14"/>
  <c r="D151" i="14" s="1"/>
  <c r="D72" i="14"/>
  <c r="D61" i="14" s="1"/>
  <c r="E61" i="14"/>
  <c r="Q219" i="1"/>
  <c r="R219" i="1" s="1"/>
  <c r="S219" i="1" s="1"/>
  <c r="T196" i="1"/>
  <c r="U196" i="1" s="1"/>
  <c r="V196" i="1" s="1"/>
  <c r="Y219" i="1"/>
  <c r="Z219" i="1" s="1"/>
  <c r="AA219" i="1" s="1"/>
  <c r="H174" i="1"/>
  <c r="H197" i="1" s="1"/>
  <c r="T181" i="1"/>
  <c r="U181" i="1" s="1"/>
  <c r="V181" i="1" s="1"/>
  <c r="X187" i="1"/>
  <c r="Y187" i="1" s="1"/>
  <c r="O92" i="1"/>
  <c r="Q207" i="1"/>
  <c r="R207" i="1" s="1"/>
  <c r="S207" i="1" s="1"/>
  <c r="Q220" i="1"/>
  <c r="I181" i="1"/>
  <c r="J181" i="1" s="1"/>
  <c r="K181" i="1" s="1"/>
  <c r="L197" i="1"/>
  <c r="M197" i="1" s="1"/>
  <c r="N197" i="1" s="1"/>
  <c r="Q181" i="1"/>
  <c r="R181" i="1" s="1"/>
  <c r="S181" i="1" s="1"/>
  <c r="Q196" i="1"/>
  <c r="R196" i="1" s="1"/>
  <c r="S196" i="1" s="1"/>
  <c r="W169" i="1"/>
  <c r="W192" i="1" s="1"/>
  <c r="W161" i="1"/>
  <c r="W184" i="1" s="1"/>
  <c r="R211" i="1"/>
  <c r="S211" i="1" s="1"/>
  <c r="T194" i="1"/>
  <c r="U194" i="1" s="1"/>
  <c r="V194" i="1" s="1"/>
  <c r="Q198" i="1"/>
  <c r="R198" i="1" s="1"/>
  <c r="S198" i="1" s="1"/>
  <c r="Q194" i="1"/>
  <c r="R194" i="1" s="1"/>
  <c r="S194" i="1" s="1"/>
  <c r="L185" i="1"/>
  <c r="M185" i="1" s="1"/>
  <c r="N185" i="1" s="1"/>
  <c r="W172" i="1"/>
  <c r="W195" i="1" s="1"/>
  <c r="W162" i="1"/>
  <c r="W185" i="1" s="1"/>
  <c r="W159" i="1"/>
  <c r="W182" i="1" s="1"/>
  <c r="W175" i="1"/>
  <c r="W198" i="1" s="1"/>
  <c r="W166" i="1"/>
  <c r="W189" i="1" s="1"/>
  <c r="W173" i="1"/>
  <c r="W196" i="1" s="1"/>
  <c r="W171" i="1"/>
  <c r="W194" i="1" s="1"/>
  <c r="W160" i="1"/>
  <c r="W183" i="1" s="1"/>
  <c r="W170" i="1"/>
  <c r="W193" i="1" s="1"/>
  <c r="W164" i="1"/>
  <c r="W187" i="1" s="1"/>
  <c r="W165" i="1"/>
  <c r="W188" i="1" s="1"/>
  <c r="W163" i="1"/>
  <c r="W186" i="1" s="1"/>
  <c r="F169" i="23"/>
  <c r="F172" i="23" s="1"/>
  <c r="E169" i="23"/>
  <c r="E172" i="23" s="1"/>
  <c r="R221" i="1"/>
  <c r="S221" i="1" s="1"/>
  <c r="W168" i="1"/>
  <c r="W191" i="1" s="1"/>
  <c r="W176" i="1"/>
  <c r="W199" i="1" s="1"/>
  <c r="Y185" i="1"/>
  <c r="Q212" i="1"/>
  <c r="Q206" i="1"/>
  <c r="R206" i="1" s="1"/>
  <c r="S206" i="1" s="1"/>
  <c r="Q213" i="1"/>
  <c r="R213" i="1" s="1"/>
  <c r="S213" i="1" s="1"/>
  <c r="Q216" i="1"/>
  <c r="X161" i="1"/>
  <c r="X184" i="1" s="1"/>
  <c r="W167" i="1"/>
  <c r="W190" i="1" s="1"/>
  <c r="W158" i="1"/>
  <c r="W181" i="1" s="1"/>
  <c r="Q185" i="1"/>
  <c r="R185" i="1" s="1"/>
  <c r="S185" i="1" s="1"/>
  <c r="L187" i="1"/>
  <c r="M187" i="1" s="1"/>
  <c r="N187" i="1" s="1"/>
  <c r="L191" i="1"/>
  <c r="M191" i="1" s="1"/>
  <c r="N191" i="1" s="1"/>
  <c r="B18" i="1"/>
  <c r="X188" i="1"/>
  <c r="Y188" i="1" s="1"/>
  <c r="X166" i="1"/>
  <c r="Q209" i="1"/>
  <c r="R209" i="1" s="1"/>
  <c r="S209" i="1" s="1"/>
  <c r="Q217" i="1"/>
  <c r="R217" i="1" s="1"/>
  <c r="S217" i="1" s="1"/>
  <c r="H169" i="23"/>
  <c r="H172" i="23" s="1"/>
  <c r="P92" i="1"/>
  <c r="W174" i="1"/>
  <c r="W197" i="1" s="1"/>
  <c r="Y181" i="1"/>
  <c r="Z181" i="1" s="1"/>
  <c r="I187" i="1"/>
  <c r="J187" i="1" s="1"/>
  <c r="K187" i="1" s="1"/>
  <c r="L189" i="1"/>
  <c r="M189" i="1" s="1"/>
  <c r="N189" i="1" s="1"/>
  <c r="L181" i="1"/>
  <c r="M181" i="1" s="1"/>
  <c r="N181" i="1" s="1"/>
  <c r="H166" i="1"/>
  <c r="H188" i="1"/>
  <c r="H211" i="1" s="1"/>
  <c r="I211" i="1" s="1"/>
  <c r="J211" i="1" s="1"/>
  <c r="K211" i="1" s="1"/>
  <c r="L95" i="1"/>
  <c r="Y183" i="1"/>
  <c r="Q92" i="1"/>
  <c r="K97" i="1"/>
  <c r="N97" i="1"/>
  <c r="I182" i="1"/>
  <c r="J182" i="1" s="1"/>
  <c r="K182" i="1" s="1"/>
  <c r="Q182" i="1"/>
  <c r="R182" i="1" s="1"/>
  <c r="S182" i="1" s="1"/>
  <c r="L192" i="1"/>
  <c r="M192" i="1" s="1"/>
  <c r="N192" i="1" s="1"/>
  <c r="I218" i="1"/>
  <c r="J218" i="1" s="1"/>
  <c r="K218" i="1" s="1"/>
  <c r="Y205" i="1"/>
  <c r="Z205" i="1" s="1"/>
  <c r="AA205" i="1" s="1"/>
  <c r="Y218" i="1"/>
  <c r="Z218" i="1" s="1"/>
  <c r="AA218" i="1" s="1"/>
  <c r="Y204" i="1"/>
  <c r="Z204" i="1" s="1"/>
  <c r="Y208" i="1"/>
  <c r="Z208" i="1" s="1"/>
  <c r="AA208" i="1" s="1"/>
  <c r="Y217" i="1"/>
  <c r="Z217" i="1" s="1"/>
  <c r="AA217" i="1" s="1"/>
  <c r="I208" i="1"/>
  <c r="J208" i="1" s="1"/>
  <c r="K208" i="1" s="1"/>
  <c r="I209" i="1"/>
  <c r="J209" i="1" s="1"/>
  <c r="K209" i="1" s="1"/>
  <c r="Y207" i="1"/>
  <c r="Z207" i="1" s="1"/>
  <c r="AA207" i="1" s="1"/>
  <c r="I205" i="1"/>
  <c r="J205" i="1" s="1"/>
  <c r="K205" i="1" s="1"/>
  <c r="I206" i="1"/>
  <c r="J206" i="1" s="1"/>
  <c r="K206" i="1" s="1"/>
  <c r="C97" i="15"/>
  <c r="Y206" i="1"/>
  <c r="Z206" i="1" s="1"/>
  <c r="AA206" i="1" s="1"/>
  <c r="Y214" i="1"/>
  <c r="Z214" i="1" s="1"/>
  <c r="AA214" i="1" s="1"/>
  <c r="T188" i="1"/>
  <c r="U188" i="1" s="1"/>
  <c r="V188" i="1" s="1"/>
  <c r="T199" i="1"/>
  <c r="U199" i="1" s="1"/>
  <c r="V199" i="1" s="1"/>
  <c r="I195" i="1"/>
  <c r="J195" i="1" s="1"/>
  <c r="K195" i="1" s="1"/>
  <c r="T182" i="1"/>
  <c r="U182" i="1" s="1"/>
  <c r="V182" i="1" s="1"/>
  <c r="Y216" i="1"/>
  <c r="Z216" i="1" s="1"/>
  <c r="AA216" i="1" s="1"/>
  <c r="L182" i="1"/>
  <c r="M182" i="1" s="1"/>
  <c r="N182" i="1" s="1"/>
  <c r="T84" i="1"/>
  <c r="C22" i="13" s="1"/>
  <c r="V204" i="1"/>
  <c r="T185" i="1"/>
  <c r="U185" i="1" s="1"/>
  <c r="V185" i="1" s="1"/>
  <c r="L198" i="1"/>
  <c r="M198" i="1" s="1"/>
  <c r="N198" i="1" s="1"/>
  <c r="Y209" i="1"/>
  <c r="Z209" i="1" s="1"/>
  <c r="AA209" i="1" s="1"/>
  <c r="L199" i="1"/>
  <c r="M199" i="1" s="1"/>
  <c r="N199" i="1" s="1"/>
  <c r="Q183" i="1"/>
  <c r="R183" i="1" s="1"/>
  <c r="S183" i="1" s="1"/>
  <c r="M102" i="13"/>
  <c r="K274" i="1"/>
  <c r="P165" i="1"/>
  <c r="P187" i="1"/>
  <c r="Q187" i="1" s="1"/>
  <c r="R187" i="1" s="1"/>
  <c r="S187" i="1" s="1"/>
  <c r="D162" i="14"/>
  <c r="T184" i="1"/>
  <c r="U184" i="1" s="1"/>
  <c r="V184" i="1" s="1"/>
  <c r="L184" i="1"/>
  <c r="M184" i="1" s="1"/>
  <c r="N184" i="1" s="1"/>
  <c r="X221" i="1"/>
  <c r="Y220" i="1"/>
  <c r="Z220" i="1" s="1"/>
  <c r="AA220" i="1" s="1"/>
  <c r="X211" i="1"/>
  <c r="Y210" i="1"/>
  <c r="Z210" i="1" s="1"/>
  <c r="AA210" i="1" s="1"/>
  <c r="I207" i="1"/>
  <c r="J207" i="1" s="1"/>
  <c r="K207" i="1" s="1"/>
  <c r="L195" i="1"/>
  <c r="M195" i="1" s="1"/>
  <c r="N195" i="1" s="1"/>
  <c r="Q199" i="1"/>
  <c r="R199" i="1" s="1"/>
  <c r="S199" i="1" s="1"/>
  <c r="I210" i="1"/>
  <c r="J210" i="1" s="1"/>
  <c r="K210" i="1" s="1"/>
  <c r="Y186" i="1"/>
  <c r="Q184" i="1"/>
  <c r="R184" i="1" s="1"/>
  <c r="S184" i="1" s="1"/>
  <c r="L183" i="1"/>
  <c r="M183" i="1" s="1"/>
  <c r="N183" i="1" s="1"/>
  <c r="Q204" i="1"/>
  <c r="R204" i="1" s="1"/>
  <c r="S204" i="1" s="1"/>
  <c r="Q210" i="1"/>
  <c r="R210" i="1" s="1"/>
  <c r="S210" i="1" s="1"/>
  <c r="Q214" i="1"/>
  <c r="Q222" i="1"/>
  <c r="Q208" i="1"/>
  <c r="I204" i="1"/>
  <c r="J204" i="1" s="1"/>
  <c r="K204" i="1" s="1"/>
  <c r="T190" i="1"/>
  <c r="U190" i="1" s="1"/>
  <c r="V190" i="1" s="1"/>
  <c r="Y184" i="1"/>
  <c r="Q195" i="1"/>
  <c r="R195" i="1" s="1"/>
  <c r="S195" i="1" s="1"/>
  <c r="T183" i="1"/>
  <c r="U183" i="1" s="1"/>
  <c r="V183" i="1" s="1"/>
  <c r="I217" i="1"/>
  <c r="J217" i="1" s="1"/>
  <c r="K217" i="1" s="1"/>
  <c r="I186" i="1"/>
  <c r="J186" i="1" s="1"/>
  <c r="K186" i="1" s="1"/>
  <c r="L186" i="1"/>
  <c r="M186" i="1" s="1"/>
  <c r="N186" i="1" s="1"/>
  <c r="Y215" i="1"/>
  <c r="Z215" i="1" s="1"/>
  <c r="AA215" i="1" s="1"/>
  <c r="L188" i="1"/>
  <c r="M188" i="1" s="1"/>
  <c r="N188" i="1" s="1"/>
  <c r="T186" i="1"/>
  <c r="U186" i="1" s="1"/>
  <c r="V186" i="1" s="1"/>
  <c r="Y182" i="1"/>
  <c r="G171" i="13"/>
  <c r="G173" i="13" s="1"/>
  <c r="G200" i="13"/>
  <c r="G176" i="13"/>
  <c r="G196" i="13" s="1"/>
  <c r="G198" i="13" s="1"/>
  <c r="E171" i="13"/>
  <c r="E173" i="13" s="1"/>
  <c r="F171" i="13"/>
  <c r="F173" i="13" s="1"/>
  <c r="I140" i="13"/>
  <c r="I143" i="13" s="1"/>
  <c r="F49" i="13"/>
  <c r="E24" i="13"/>
  <c r="F24" i="13" s="1"/>
  <c r="F22" i="13"/>
  <c r="H156" i="13"/>
  <c r="H168" i="13"/>
  <c r="H170" i="13"/>
  <c r="H153" i="13"/>
  <c r="H154" i="13"/>
  <c r="H169" i="13"/>
  <c r="H158" i="13"/>
  <c r="H163" i="13"/>
  <c r="H166" i="13"/>
  <c r="H162" i="13"/>
  <c r="H164" i="13"/>
  <c r="H167" i="13"/>
  <c r="H161" i="13"/>
  <c r="H152" i="13"/>
  <c r="H175" i="13"/>
  <c r="H160" i="13"/>
  <c r="H155" i="13"/>
  <c r="H151" i="13"/>
  <c r="H159" i="13"/>
  <c r="H165" i="13"/>
  <c r="H157" i="13"/>
  <c r="E194" i="13"/>
  <c r="E195" i="13"/>
  <c r="E200" i="13"/>
  <c r="E177" i="13"/>
  <c r="E185" i="13"/>
  <c r="E189" i="13"/>
  <c r="E191" i="13"/>
  <c r="E184" i="13"/>
  <c r="E192" i="13"/>
  <c r="E180" i="13"/>
  <c r="E190" i="13"/>
  <c r="E178" i="13"/>
  <c r="E183" i="13"/>
  <c r="E181" i="13"/>
  <c r="E187" i="13"/>
  <c r="E182" i="13"/>
  <c r="E186" i="13"/>
  <c r="E176" i="13"/>
  <c r="E193" i="13"/>
  <c r="E188" i="13"/>
  <c r="E179" i="13"/>
  <c r="F186" i="13"/>
  <c r="F182" i="13"/>
  <c r="F194" i="13"/>
  <c r="F190" i="13"/>
  <c r="F180" i="13"/>
  <c r="F195" i="13"/>
  <c r="F191" i="13"/>
  <c r="F181" i="13"/>
  <c r="F192" i="13"/>
  <c r="F200" i="13"/>
  <c r="F177" i="13"/>
  <c r="F193" i="13"/>
  <c r="F176" i="13"/>
  <c r="F185" i="13"/>
  <c r="F188" i="13"/>
  <c r="F189" i="13"/>
  <c r="F183" i="13"/>
  <c r="F179" i="13"/>
  <c r="F178" i="13"/>
  <c r="F184" i="13"/>
  <c r="F187" i="13"/>
  <c r="D92" i="13"/>
  <c r="D51" i="13"/>
  <c r="C96" i="13" s="1"/>
  <c r="J96" i="13"/>
  <c r="I150" i="13"/>
  <c r="H48" i="13"/>
  <c r="I20" i="19"/>
  <c r="I23" i="19" s="1"/>
  <c r="I19" i="19"/>
  <c r="I22" i="19" s="1"/>
  <c r="I25" i="19" s="1"/>
  <c r="J18" i="19"/>
  <c r="J21" i="19" s="1"/>
  <c r="J26" i="19" s="1"/>
  <c r="K16" i="19"/>
  <c r="F33" i="19"/>
  <c r="F36" i="19" s="1"/>
  <c r="F39" i="19" s="1"/>
  <c r="F35" i="19"/>
  <c r="F40" i="19" s="1"/>
  <c r="F231" i="18" s="1"/>
  <c r="F232" i="18" s="1"/>
  <c r="G32" i="19"/>
  <c r="F34" i="19"/>
  <c r="F37" i="19" s="1"/>
  <c r="P30" i="19"/>
  <c r="M32" i="19"/>
  <c r="L35" i="19"/>
  <c r="L40" i="19" s="1"/>
  <c r="L33" i="19"/>
  <c r="L36" i="19" s="1"/>
  <c r="L39" i="19" s="1"/>
  <c r="L34" i="19"/>
  <c r="L37" i="19" s="1"/>
  <c r="H22" i="20"/>
  <c r="P18" i="14"/>
  <c r="D162" i="23"/>
  <c r="E163" i="23" s="1"/>
  <c r="D142" i="23"/>
  <c r="E109" i="23"/>
  <c r="E112" i="23" s="1"/>
  <c r="H109" i="23"/>
  <c r="H112" i="23" s="1"/>
  <c r="F109" i="23"/>
  <c r="F112" i="23" s="1"/>
  <c r="G109" i="23"/>
  <c r="G112" i="23" s="1"/>
  <c r="G83" i="15"/>
  <c r="M83" i="15"/>
  <c r="D25" i="20"/>
  <c r="V25" i="20"/>
  <c r="W10" i="20"/>
  <c r="W18" i="20" s="1"/>
  <c r="X22" i="20"/>
  <c r="H10" i="20"/>
  <c r="H18" i="20" s="1"/>
  <c r="W22" i="20"/>
  <c r="Z20" i="14"/>
  <c r="X10" i="20"/>
  <c r="X18" i="20" s="1"/>
  <c r="X25" i="20"/>
  <c r="P20" i="14"/>
  <c r="N22" i="20"/>
  <c r="W25" i="20"/>
  <c r="V83" i="15"/>
  <c r="H25" i="20"/>
  <c r="P22" i="20"/>
  <c r="P25" i="20"/>
  <c r="P10" i="20"/>
  <c r="P18" i="20" s="1"/>
  <c r="R20" i="14"/>
  <c r="O83" i="15"/>
  <c r="T22" i="20"/>
  <c r="T25" i="20"/>
  <c r="T10" i="20"/>
  <c r="T18" i="20" s="1"/>
  <c r="S83" i="15"/>
  <c r="V20" i="14"/>
  <c r="K83" i="15"/>
  <c r="L22" i="20"/>
  <c r="L10" i="20"/>
  <c r="L18" i="20" s="1"/>
  <c r="L25" i="20"/>
  <c r="N20" i="14"/>
  <c r="G22" i="20"/>
  <c r="F83" i="15"/>
  <c r="G25" i="20"/>
  <c r="G10" i="20"/>
  <c r="G18" i="20" s="1"/>
  <c r="I20" i="14"/>
  <c r="L175" i="18"/>
  <c r="F182" i="18"/>
  <c r="L83" i="15"/>
  <c r="M10" i="20"/>
  <c r="M18" i="20" s="1"/>
  <c r="M25" i="20"/>
  <c r="M22" i="20"/>
  <c r="O20" i="14"/>
  <c r="Q22" i="20"/>
  <c r="P83" i="15"/>
  <c r="Q10" i="20"/>
  <c r="Q18" i="20" s="1"/>
  <c r="Q25" i="20"/>
  <c r="S20" i="14"/>
  <c r="U10" i="20"/>
  <c r="U18" i="20" s="1"/>
  <c r="U22" i="20"/>
  <c r="T83" i="15"/>
  <c r="U25" i="20"/>
  <c r="W20" i="14"/>
  <c r="I22" i="20"/>
  <c r="I10" i="20"/>
  <c r="I18" i="20" s="1"/>
  <c r="I25" i="20"/>
  <c r="H83" i="15"/>
  <c r="K20" i="14"/>
  <c r="E129" i="23"/>
  <c r="H129" i="23"/>
  <c r="G129" i="23"/>
  <c r="F129" i="23"/>
  <c r="F150" i="23" s="1"/>
  <c r="I114" i="1"/>
  <c r="I115" i="1"/>
  <c r="L205" i="1" s="1"/>
  <c r="M205" i="1" s="1"/>
  <c r="N205" i="1" s="1"/>
  <c r="E10" i="20"/>
  <c r="E22" i="20"/>
  <c r="E25" i="20"/>
  <c r="D83" i="15"/>
  <c r="G20" i="14"/>
  <c r="R22" i="20"/>
  <c r="Q83" i="15"/>
  <c r="R10" i="20"/>
  <c r="R18" i="20" s="1"/>
  <c r="T20" i="14"/>
  <c r="D10" i="20"/>
  <c r="C15" i="20"/>
  <c r="C83" i="15"/>
  <c r="E83" i="15"/>
  <c r="F22" i="20"/>
  <c r="F10" i="20"/>
  <c r="H20" i="14"/>
  <c r="L178" i="18"/>
  <c r="F25" i="20"/>
  <c r="K22" i="20"/>
  <c r="K10" i="20"/>
  <c r="K18" i="20" s="1"/>
  <c r="K25" i="20"/>
  <c r="J83" i="15"/>
  <c r="M20" i="14"/>
  <c r="S25" i="20"/>
  <c r="R83" i="15"/>
  <c r="S10" i="20"/>
  <c r="S18" i="20" s="1"/>
  <c r="S22" i="20"/>
  <c r="U20" i="14"/>
  <c r="O22" i="20"/>
  <c r="O25" i="20"/>
  <c r="O10" i="20"/>
  <c r="O18" i="20" s="1"/>
  <c r="N83" i="15"/>
  <c r="Q20" i="14"/>
  <c r="V22" i="20"/>
  <c r="U83" i="15"/>
  <c r="V10" i="20"/>
  <c r="V18" i="20" s="1"/>
  <c r="X20" i="14"/>
  <c r="E50" i="1"/>
  <c r="E51" i="1" s="1"/>
  <c r="C135" i="15"/>
  <c r="E135" i="15" s="1"/>
  <c r="C130" i="15"/>
  <c r="R25" i="20"/>
  <c r="D239" i="14" l="1"/>
  <c r="M37" i="22"/>
  <c r="G51" i="22"/>
  <c r="G137" i="22"/>
  <c r="G149" i="22" s="1"/>
  <c r="E252" i="14"/>
  <c r="F16" i="14"/>
  <c r="D30" i="17" s="1"/>
  <c r="H47" i="22"/>
  <c r="N33" i="22"/>
  <c r="M34" i="22"/>
  <c r="G48" i="22"/>
  <c r="D247" i="14"/>
  <c r="S247" i="14"/>
  <c r="K247" i="14"/>
  <c r="L247" i="14"/>
  <c r="P247" i="14"/>
  <c r="Q247" i="14"/>
  <c r="U247" i="14"/>
  <c r="G247" i="14"/>
  <c r="F247" i="14"/>
  <c r="D230" i="14"/>
  <c r="M247" i="14"/>
  <c r="M32" i="22"/>
  <c r="G46" i="22"/>
  <c r="L40" i="22"/>
  <c r="L41" i="22" s="1"/>
  <c r="N38" i="22"/>
  <c r="H52" i="22"/>
  <c r="B117" i="22"/>
  <c r="B69" i="22"/>
  <c r="G49" i="13"/>
  <c r="X247" i="14"/>
  <c r="D238" i="14"/>
  <c r="N30" i="22"/>
  <c r="H44" i="22"/>
  <c r="M39" i="22"/>
  <c r="J111" i="18"/>
  <c r="F176" i="18" s="1"/>
  <c r="J114" i="18"/>
  <c r="G178" i="23"/>
  <c r="Z188" i="1"/>
  <c r="AA188" i="1" s="1"/>
  <c r="T247" i="14"/>
  <c r="O247" i="14"/>
  <c r="I94" i="18"/>
  <c r="G49" i="22"/>
  <c r="G79" i="22" s="1"/>
  <c r="M35" i="22"/>
  <c r="H178" i="23"/>
  <c r="F245" i="14"/>
  <c r="G220" i="14"/>
  <c r="R220" i="1"/>
  <c r="S220" i="1" s="1"/>
  <c r="J247" i="14"/>
  <c r="I247" i="14"/>
  <c r="M31" i="22"/>
  <c r="G45" i="22"/>
  <c r="G53" i="22" s="1"/>
  <c r="G90" i="22" s="1"/>
  <c r="G93" i="22" s="1"/>
  <c r="M36" i="22"/>
  <c r="G50" i="22"/>
  <c r="F219" i="14"/>
  <c r="E218" i="14"/>
  <c r="J215" i="14"/>
  <c r="I240" i="14"/>
  <c r="E247" i="14"/>
  <c r="V247" i="14"/>
  <c r="L51" i="14"/>
  <c r="H118" i="23"/>
  <c r="G118" i="23"/>
  <c r="E213" i="14"/>
  <c r="E239" i="14"/>
  <c r="E238" i="14" s="1"/>
  <c r="F214" i="14"/>
  <c r="Z187" i="1"/>
  <c r="AA187" i="1" s="1"/>
  <c r="K156" i="18"/>
  <c r="J179" i="18"/>
  <c r="D196" i="18" s="1"/>
  <c r="I135" i="18"/>
  <c r="I110" i="18"/>
  <c r="I112" i="18"/>
  <c r="I116" i="18"/>
  <c r="I111" i="18"/>
  <c r="I114" i="18"/>
  <c r="I6" i="18"/>
  <c r="H186" i="18"/>
  <c r="I156" i="18"/>
  <c r="K133" i="18"/>
  <c r="K112" i="18"/>
  <c r="F180" i="18" s="1"/>
  <c r="D197" i="18" s="1"/>
  <c r="K113" i="18"/>
  <c r="F181" i="18" s="1"/>
  <c r="J135" i="18"/>
  <c r="J156" i="18"/>
  <c r="J176" i="18"/>
  <c r="H19" i="18"/>
  <c r="G204" i="18"/>
  <c r="I96" i="18"/>
  <c r="I90" i="18"/>
  <c r="I92" i="18"/>
  <c r="K141" i="18"/>
  <c r="I91" i="18"/>
  <c r="J9" i="15"/>
  <c r="G8" i="38" s="1"/>
  <c r="G5" i="41" s="1"/>
  <c r="T9" i="15"/>
  <c r="Q8" i="38" s="1"/>
  <c r="Q5" i="41" s="1"/>
  <c r="V9" i="15"/>
  <c r="S8" i="38" s="1"/>
  <c r="S5" i="41" s="1"/>
  <c r="U9" i="15"/>
  <c r="R8" i="38" s="1"/>
  <c r="R5" i="41" s="1"/>
  <c r="X9" i="15"/>
  <c r="U8" i="38" s="1"/>
  <c r="U5" i="41" s="1"/>
  <c r="S9" i="15"/>
  <c r="P8" i="38" s="1"/>
  <c r="P5" i="41" s="1"/>
  <c r="N9" i="15"/>
  <c r="K8" i="38" s="1"/>
  <c r="K5" i="41" s="1"/>
  <c r="H9" i="15"/>
  <c r="E8" i="38" s="1"/>
  <c r="E5" i="41" s="1"/>
  <c r="Q9" i="15"/>
  <c r="N8" i="38" s="1"/>
  <c r="N5" i="41" s="1"/>
  <c r="W9" i="15"/>
  <c r="T8" i="38" s="1"/>
  <c r="T5" i="41" s="1"/>
  <c r="L9" i="15"/>
  <c r="I8" i="38" s="1"/>
  <c r="I5" i="41" s="1"/>
  <c r="I9" i="15"/>
  <c r="F8" i="38" s="1"/>
  <c r="F5" i="41" s="1"/>
  <c r="P9" i="15"/>
  <c r="M8" i="38" s="1"/>
  <c r="M5" i="41" s="1"/>
  <c r="R9" i="15"/>
  <c r="O8" i="38" s="1"/>
  <c r="O5" i="41" s="1"/>
  <c r="M9" i="15"/>
  <c r="J8" i="38" s="1"/>
  <c r="J5" i="41" s="1"/>
  <c r="Y9" i="15"/>
  <c r="V8" i="38" s="1"/>
  <c r="V5" i="41" s="1"/>
  <c r="R222" i="1"/>
  <c r="S222" i="1" s="1"/>
  <c r="V223" i="1"/>
  <c r="R214" i="1"/>
  <c r="S214" i="1" s="1"/>
  <c r="R212" i="1"/>
  <c r="S212" i="1" s="1"/>
  <c r="R208" i="1"/>
  <c r="S208" i="1" s="1"/>
  <c r="C107" i="15"/>
  <c r="U223" i="1"/>
  <c r="R216" i="1"/>
  <c r="S216" i="1" s="1"/>
  <c r="E230" i="14"/>
  <c r="F231" i="14"/>
  <c r="E225" i="14"/>
  <c r="F226" i="14"/>
  <c r="I61" i="14"/>
  <c r="M82" i="14"/>
  <c r="J85" i="14" s="1"/>
  <c r="J59" i="23" s="1"/>
  <c r="H175" i="1"/>
  <c r="H198" i="1" s="1"/>
  <c r="Z185" i="1"/>
  <c r="AA185" i="1" s="1"/>
  <c r="D172" i="23"/>
  <c r="Z184" i="1"/>
  <c r="AA184" i="1" s="1"/>
  <c r="I188" i="1"/>
  <c r="J188" i="1" s="1"/>
  <c r="K188" i="1" s="1"/>
  <c r="H167" i="1"/>
  <c r="I167" i="1" s="1"/>
  <c r="J167" i="1" s="1"/>
  <c r="K167" i="1" s="1"/>
  <c r="H189" i="1"/>
  <c r="Z186" i="1"/>
  <c r="AA186" i="1" s="1"/>
  <c r="Z183" i="1"/>
  <c r="AA183" i="1" s="1"/>
  <c r="D69" i="18"/>
  <c r="C104" i="13"/>
  <c r="C105" i="13" s="1"/>
  <c r="B19" i="1"/>
  <c r="Z182" i="1"/>
  <c r="AA182" i="1" s="1"/>
  <c r="X189" i="1"/>
  <c r="Y189" i="1" s="1"/>
  <c r="Z189" i="1" s="1"/>
  <c r="AA189" i="1" s="1"/>
  <c r="X167" i="1"/>
  <c r="Y167" i="1" s="1"/>
  <c r="Z167" i="1" s="1"/>
  <c r="AA167" i="1" s="1"/>
  <c r="H176" i="1"/>
  <c r="H199" i="1" s="1"/>
  <c r="D165" i="14"/>
  <c r="B57" i="22"/>
  <c r="B59" i="22" s="1"/>
  <c r="M200" i="1"/>
  <c r="V200" i="1"/>
  <c r="D22" i="13"/>
  <c r="C27" i="13" s="1"/>
  <c r="C24" i="13"/>
  <c r="D24" i="13" s="1"/>
  <c r="C28" i="13" s="1"/>
  <c r="K98" i="1"/>
  <c r="H220" i="1"/>
  <c r="I220" i="1" s="1"/>
  <c r="J220" i="1" s="1"/>
  <c r="K220" i="1" s="1"/>
  <c r="I197" i="1"/>
  <c r="J197" i="1" s="1"/>
  <c r="K197" i="1" s="1"/>
  <c r="X222" i="1"/>
  <c r="Y222" i="1" s="1"/>
  <c r="Z222" i="1" s="1"/>
  <c r="AA222" i="1" s="1"/>
  <c r="Y221" i="1"/>
  <c r="Z221" i="1" s="1"/>
  <c r="AA221" i="1" s="1"/>
  <c r="P166" i="1"/>
  <c r="Q166" i="1" s="1"/>
  <c r="R166" i="1" s="1"/>
  <c r="S166" i="1" s="1"/>
  <c r="P188" i="1"/>
  <c r="Q188" i="1" s="1"/>
  <c r="R188" i="1" s="1"/>
  <c r="S188" i="1" s="1"/>
  <c r="AA204" i="1"/>
  <c r="AA181" i="1"/>
  <c r="X212" i="1"/>
  <c r="Y211" i="1"/>
  <c r="Z211" i="1" s="1"/>
  <c r="AA211" i="1" s="1"/>
  <c r="L274" i="1"/>
  <c r="M274" i="1" s="1"/>
  <c r="N274" i="1" s="1"/>
  <c r="O274" i="1" s="1"/>
  <c r="P274" i="1" s="1"/>
  <c r="Q274" i="1" s="1"/>
  <c r="R274" i="1" s="1"/>
  <c r="S274" i="1" s="1"/>
  <c r="T274" i="1" s="1"/>
  <c r="U274" i="1" s="1"/>
  <c r="V274" i="1" s="1"/>
  <c r="N102" i="13"/>
  <c r="O102" i="13" s="1"/>
  <c r="P102" i="13" s="1"/>
  <c r="Q102" i="13" s="1"/>
  <c r="N200" i="1"/>
  <c r="U200" i="1"/>
  <c r="G219" i="13"/>
  <c r="G202" i="13"/>
  <c r="G208" i="13"/>
  <c r="G212" i="13"/>
  <c r="G210" i="13"/>
  <c r="G206" i="13"/>
  <c r="G213" i="13"/>
  <c r="G217" i="13"/>
  <c r="G207" i="13"/>
  <c r="G205" i="13"/>
  <c r="G209" i="13"/>
  <c r="G204" i="13"/>
  <c r="G203" i="13"/>
  <c r="G214" i="13"/>
  <c r="G220" i="13"/>
  <c r="G211" i="13"/>
  <c r="G218" i="13"/>
  <c r="G201" i="13"/>
  <c r="G216" i="13"/>
  <c r="G215" i="13"/>
  <c r="H171" i="13"/>
  <c r="H173" i="13" s="1"/>
  <c r="E114" i="13"/>
  <c r="E112" i="13"/>
  <c r="I166" i="13"/>
  <c r="I162" i="13"/>
  <c r="I158" i="13"/>
  <c r="I165" i="13"/>
  <c r="I157" i="13"/>
  <c r="I153" i="13"/>
  <c r="I155" i="13"/>
  <c r="I152" i="13"/>
  <c r="I175" i="13"/>
  <c r="I170" i="13"/>
  <c r="I159" i="13"/>
  <c r="I161" i="13"/>
  <c r="I164" i="13"/>
  <c r="I163" i="13"/>
  <c r="I160" i="13"/>
  <c r="I168" i="13"/>
  <c r="I156" i="13"/>
  <c r="I169" i="13"/>
  <c r="I167" i="13"/>
  <c r="I151" i="13"/>
  <c r="I154" i="13"/>
  <c r="F210" i="13"/>
  <c r="F217" i="13"/>
  <c r="F218" i="13"/>
  <c r="F215" i="13"/>
  <c r="F212" i="13"/>
  <c r="F205" i="13"/>
  <c r="F203" i="13"/>
  <c r="F220" i="13"/>
  <c r="F201" i="13"/>
  <c r="F213" i="13"/>
  <c r="F202" i="13"/>
  <c r="F207" i="13"/>
  <c r="F219" i="13"/>
  <c r="F206" i="13"/>
  <c r="F216" i="13"/>
  <c r="F209" i="13"/>
  <c r="F208" i="13"/>
  <c r="F214" i="13"/>
  <c r="F211" i="13"/>
  <c r="F204" i="13"/>
  <c r="E201" i="13"/>
  <c r="E206" i="13"/>
  <c r="E210" i="13"/>
  <c r="E208" i="13"/>
  <c r="E220" i="13"/>
  <c r="E203" i="13"/>
  <c r="E218" i="13"/>
  <c r="E205" i="13"/>
  <c r="E213" i="13"/>
  <c r="E207" i="13"/>
  <c r="E219" i="13"/>
  <c r="E204" i="13"/>
  <c r="E215" i="13"/>
  <c r="E212" i="13"/>
  <c r="E214" i="13"/>
  <c r="E209" i="13"/>
  <c r="E211" i="13"/>
  <c r="E216" i="13"/>
  <c r="E202" i="13"/>
  <c r="E217" i="13"/>
  <c r="H49" i="13"/>
  <c r="H46" i="13"/>
  <c r="I48" i="13"/>
  <c r="K96" i="13"/>
  <c r="J150" i="13"/>
  <c r="F196" i="13"/>
  <c r="F198" i="13" s="1"/>
  <c r="E196" i="13"/>
  <c r="E198" i="13" s="1"/>
  <c r="H188" i="13"/>
  <c r="H181" i="13"/>
  <c r="H195" i="13"/>
  <c r="H184" i="13"/>
  <c r="H182" i="13"/>
  <c r="H200" i="13"/>
  <c r="H194" i="13"/>
  <c r="H189" i="13"/>
  <c r="H179" i="13"/>
  <c r="H177" i="13"/>
  <c r="H176" i="13"/>
  <c r="H190" i="13"/>
  <c r="H185" i="13"/>
  <c r="H186" i="13"/>
  <c r="H187" i="13"/>
  <c r="H191" i="13"/>
  <c r="H192" i="13"/>
  <c r="H193" i="13"/>
  <c r="H183" i="13"/>
  <c r="H178" i="13"/>
  <c r="H180" i="13"/>
  <c r="N32" i="19"/>
  <c r="M35" i="19"/>
  <c r="M40" i="19" s="1"/>
  <c r="M34" i="19"/>
  <c r="M37" i="19" s="1"/>
  <c r="M33" i="19"/>
  <c r="M36" i="19" s="1"/>
  <c r="M39" i="19" s="1"/>
  <c r="G34" i="19"/>
  <c r="G37" i="19" s="1"/>
  <c r="G35" i="19"/>
  <c r="G40" i="19" s="1"/>
  <c r="G231" i="18" s="1"/>
  <c r="G232" i="18" s="1"/>
  <c r="H32" i="19"/>
  <c r="G33" i="19"/>
  <c r="G36" i="19" s="1"/>
  <c r="G39" i="19" s="1"/>
  <c r="J19" i="19"/>
  <c r="J22" i="19" s="1"/>
  <c r="J25" i="19" s="1"/>
  <c r="K18" i="19"/>
  <c r="K21" i="19" s="1"/>
  <c r="K26" i="19" s="1"/>
  <c r="J20" i="19"/>
  <c r="J23" i="19" s="1"/>
  <c r="Q30" i="19"/>
  <c r="L16" i="19"/>
  <c r="D112" i="23"/>
  <c r="F163" i="23"/>
  <c r="F164" i="23" s="1"/>
  <c r="E164" i="23"/>
  <c r="D164" i="23" s="1"/>
  <c r="D163" i="23"/>
  <c r="Q18" i="14"/>
  <c r="B29" i="1"/>
  <c r="F18" i="20"/>
  <c r="E18" i="20"/>
  <c r="C152" i="15"/>
  <c r="C153" i="15"/>
  <c r="E149" i="23"/>
  <c r="E150" i="23"/>
  <c r="E132" i="23"/>
  <c r="F149" i="23"/>
  <c r="F132" i="23"/>
  <c r="F151" i="23"/>
  <c r="D3" i="20"/>
  <c r="D18" i="20"/>
  <c r="E9" i="15" s="1"/>
  <c r="C10" i="20"/>
  <c r="C29" i="20" s="1"/>
  <c r="I4" i="17"/>
  <c r="C95" i="15"/>
  <c r="C106" i="15" s="1"/>
  <c r="T163" i="1"/>
  <c r="U163" i="1" s="1"/>
  <c r="V163" i="1" s="1"/>
  <c r="L172" i="1"/>
  <c r="M172" i="1" s="1"/>
  <c r="N172" i="1" s="1"/>
  <c r="L168" i="1"/>
  <c r="M168" i="1" s="1"/>
  <c r="N168" i="1" s="1"/>
  <c r="L175" i="1"/>
  <c r="M175" i="1" s="1"/>
  <c r="N175" i="1" s="1"/>
  <c r="T169" i="1"/>
  <c r="U169" i="1" s="1"/>
  <c r="V169" i="1" s="1"/>
  <c r="L171" i="1"/>
  <c r="M171" i="1" s="1"/>
  <c r="N171" i="1" s="1"/>
  <c r="T175" i="1"/>
  <c r="U175" i="1" s="1"/>
  <c r="V175" i="1" s="1"/>
  <c r="T164" i="1"/>
  <c r="U164" i="1" s="1"/>
  <c r="V164" i="1" s="1"/>
  <c r="L170" i="1"/>
  <c r="M170" i="1" s="1"/>
  <c r="N170" i="1" s="1"/>
  <c r="L176" i="1"/>
  <c r="M176" i="1" s="1"/>
  <c r="N176" i="1" s="1"/>
  <c r="T162" i="1"/>
  <c r="U162" i="1" s="1"/>
  <c r="V162" i="1" s="1"/>
  <c r="Y165" i="1"/>
  <c r="Z165" i="1" s="1"/>
  <c r="AA165" i="1" s="1"/>
  <c r="Q163" i="1"/>
  <c r="R163" i="1" s="1"/>
  <c r="S163" i="1" s="1"/>
  <c r="Q164" i="1"/>
  <c r="R164" i="1" s="1"/>
  <c r="S164" i="1" s="1"/>
  <c r="Q176" i="1"/>
  <c r="R176" i="1" s="1"/>
  <c r="S176" i="1" s="1"/>
  <c r="I172" i="1"/>
  <c r="J172" i="1" s="1"/>
  <c r="K172" i="1" s="1"/>
  <c r="I163" i="1"/>
  <c r="J163" i="1" s="1"/>
  <c r="K163" i="1" s="1"/>
  <c r="I160" i="1"/>
  <c r="J160" i="1" s="1"/>
  <c r="K160" i="1" s="1"/>
  <c r="C136" i="15"/>
  <c r="E110" i="13"/>
  <c r="Q158" i="1"/>
  <c r="R158" i="1" s="1"/>
  <c r="T167" i="1"/>
  <c r="U167" i="1" s="1"/>
  <c r="V167" i="1" s="1"/>
  <c r="T165" i="1"/>
  <c r="U165" i="1" s="1"/>
  <c r="V165" i="1" s="1"/>
  <c r="T166" i="1"/>
  <c r="U166" i="1" s="1"/>
  <c r="V166" i="1" s="1"/>
  <c r="Y166" i="1"/>
  <c r="Z166" i="1" s="1"/>
  <c r="AA166" i="1" s="1"/>
  <c r="Q161" i="1"/>
  <c r="R161" i="1" s="1"/>
  <c r="S161" i="1" s="1"/>
  <c r="Q159" i="1"/>
  <c r="R159" i="1" s="1"/>
  <c r="S159" i="1" s="1"/>
  <c r="I159" i="1"/>
  <c r="J159" i="1" s="1"/>
  <c r="K159" i="1" s="1"/>
  <c r="I158" i="1"/>
  <c r="J158" i="1" s="1"/>
  <c r="I174" i="1"/>
  <c r="J174" i="1" s="1"/>
  <c r="K174" i="1" s="1"/>
  <c r="B33" i="1"/>
  <c r="C33" i="1" s="1"/>
  <c r="T158" i="1"/>
  <c r="U158" i="1" s="1"/>
  <c r="L159" i="1"/>
  <c r="M159" i="1" s="1"/>
  <c r="N159" i="1" s="1"/>
  <c r="L165" i="1"/>
  <c r="M165" i="1" s="1"/>
  <c r="N165" i="1" s="1"/>
  <c r="T172" i="1"/>
  <c r="U172" i="1" s="1"/>
  <c r="V172" i="1" s="1"/>
  <c r="T168" i="1"/>
  <c r="U168" i="1" s="1"/>
  <c r="V168" i="1" s="1"/>
  <c r="L161" i="1"/>
  <c r="M161" i="1" s="1"/>
  <c r="N161" i="1" s="1"/>
  <c r="L164" i="1"/>
  <c r="M164" i="1" s="1"/>
  <c r="N164" i="1" s="1"/>
  <c r="L167" i="1"/>
  <c r="M167" i="1" s="1"/>
  <c r="N167" i="1" s="1"/>
  <c r="L160" i="1"/>
  <c r="M160" i="1" s="1"/>
  <c r="N160" i="1" s="1"/>
  <c r="L158" i="1"/>
  <c r="M158" i="1" s="1"/>
  <c r="Y159" i="1"/>
  <c r="Z159" i="1" s="1"/>
  <c r="AA159" i="1" s="1"/>
  <c r="Y161" i="1"/>
  <c r="Z161" i="1" s="1"/>
  <c r="AA161" i="1" s="1"/>
  <c r="Q173" i="1"/>
  <c r="R173" i="1" s="1"/>
  <c r="S173" i="1" s="1"/>
  <c r="Q162" i="1"/>
  <c r="R162" i="1" s="1"/>
  <c r="S162" i="1" s="1"/>
  <c r="Q165" i="1"/>
  <c r="R165" i="1" s="1"/>
  <c r="S165" i="1" s="1"/>
  <c r="I162" i="1"/>
  <c r="J162" i="1" s="1"/>
  <c r="K162" i="1" s="1"/>
  <c r="I161" i="1"/>
  <c r="J161" i="1" s="1"/>
  <c r="K161" i="1" s="1"/>
  <c r="I171" i="1"/>
  <c r="J171" i="1" s="1"/>
  <c r="K171" i="1" s="1"/>
  <c r="H31" i="1"/>
  <c r="T160" i="1"/>
  <c r="U160" i="1" s="1"/>
  <c r="V160" i="1" s="1"/>
  <c r="L169" i="1"/>
  <c r="M169" i="1" s="1"/>
  <c r="N169" i="1" s="1"/>
  <c r="T173" i="1"/>
  <c r="U173" i="1" s="1"/>
  <c r="V173" i="1" s="1"/>
  <c r="L162" i="1"/>
  <c r="M162" i="1" s="1"/>
  <c r="N162" i="1" s="1"/>
  <c r="Y158" i="1"/>
  <c r="Z158" i="1" s="1"/>
  <c r="L166" i="1"/>
  <c r="M166" i="1" s="1"/>
  <c r="N166" i="1" s="1"/>
  <c r="T174" i="1"/>
  <c r="U174" i="1" s="1"/>
  <c r="V174" i="1" s="1"/>
  <c r="T170" i="1"/>
  <c r="U170" i="1" s="1"/>
  <c r="V170" i="1" s="1"/>
  <c r="T171" i="1"/>
  <c r="U171" i="1" s="1"/>
  <c r="V171" i="1" s="1"/>
  <c r="Q175" i="1"/>
  <c r="R175" i="1" s="1"/>
  <c r="S175" i="1" s="1"/>
  <c r="I173" i="1"/>
  <c r="J173" i="1" s="1"/>
  <c r="K173" i="1" s="1"/>
  <c r="I175" i="1"/>
  <c r="J175" i="1" s="1"/>
  <c r="K175" i="1" s="1"/>
  <c r="T159" i="1"/>
  <c r="U159" i="1" s="1"/>
  <c r="V159" i="1" s="1"/>
  <c r="L173" i="1"/>
  <c r="M173" i="1" s="1"/>
  <c r="N173" i="1" s="1"/>
  <c r="Y164" i="1"/>
  <c r="Z164" i="1" s="1"/>
  <c r="AA164" i="1" s="1"/>
  <c r="Y162" i="1"/>
  <c r="Z162" i="1" s="1"/>
  <c r="AA162" i="1" s="1"/>
  <c r="Y163" i="1"/>
  <c r="Z163" i="1" s="1"/>
  <c r="AA163" i="1" s="1"/>
  <c r="Q160" i="1"/>
  <c r="R160" i="1" s="1"/>
  <c r="S160" i="1" s="1"/>
  <c r="Q172" i="1"/>
  <c r="R172" i="1" s="1"/>
  <c r="S172" i="1" s="1"/>
  <c r="I164" i="1"/>
  <c r="J164" i="1" s="1"/>
  <c r="K164" i="1" s="1"/>
  <c r="T176" i="1"/>
  <c r="U176" i="1" s="1"/>
  <c r="V176" i="1" s="1"/>
  <c r="Q174" i="1"/>
  <c r="R174" i="1" s="1"/>
  <c r="S174" i="1" s="1"/>
  <c r="I165" i="1"/>
  <c r="J165" i="1" s="1"/>
  <c r="K165" i="1" s="1"/>
  <c r="Q171" i="1"/>
  <c r="R171" i="1" s="1"/>
  <c r="S171" i="1" s="1"/>
  <c r="I166" i="1"/>
  <c r="J166" i="1" s="1"/>
  <c r="K166" i="1" s="1"/>
  <c r="L163" i="1"/>
  <c r="M163" i="1" s="1"/>
  <c r="N163" i="1" s="1"/>
  <c r="L174" i="1"/>
  <c r="M174" i="1" s="1"/>
  <c r="N174" i="1" s="1"/>
  <c r="T161" i="1"/>
  <c r="U161" i="1" s="1"/>
  <c r="V161" i="1" s="1"/>
  <c r="Y160" i="1"/>
  <c r="Z160" i="1" s="1"/>
  <c r="AA160" i="1" s="1"/>
  <c r="B8" i="27"/>
  <c r="C103" i="15"/>
  <c r="C109" i="15" s="1"/>
  <c r="L176" i="18"/>
  <c r="N176" i="18" s="1"/>
  <c r="L204" i="1"/>
  <c r="M204" i="1" s="1"/>
  <c r="G150" i="23"/>
  <c r="G151" i="23" s="1"/>
  <c r="G149" i="23"/>
  <c r="G132" i="23"/>
  <c r="H150" i="23"/>
  <c r="H151" i="23" s="1"/>
  <c r="H132" i="23"/>
  <c r="H149" i="23"/>
  <c r="H30" i="1"/>
  <c r="J115" i="18" l="1"/>
  <c r="F177" i="18"/>
  <c r="O33" i="22"/>
  <c r="I47" i="22"/>
  <c r="H49" i="22"/>
  <c r="H79" i="22" s="1"/>
  <c r="N35" i="22"/>
  <c r="H135" i="22"/>
  <c r="I176" i="1"/>
  <c r="J176" i="1" s="1"/>
  <c r="K176" i="1" s="1"/>
  <c r="K215" i="14"/>
  <c r="J240" i="14"/>
  <c r="D193" i="18"/>
  <c r="G81" i="22"/>
  <c r="F213" i="14"/>
  <c r="G214" i="14"/>
  <c r="F239" i="14"/>
  <c r="F238" i="14" s="1"/>
  <c r="F81" i="22"/>
  <c r="E81" i="22"/>
  <c r="E79" i="22"/>
  <c r="F80" i="22"/>
  <c r="E80" i="22"/>
  <c r="F79" i="22"/>
  <c r="N32" i="22"/>
  <c r="M40" i="22"/>
  <c r="M41" i="22" s="1"/>
  <c r="H46" i="22"/>
  <c r="H51" i="22"/>
  <c r="H81" i="22" s="1"/>
  <c r="N37" i="22"/>
  <c r="H137" i="22"/>
  <c r="H149" i="22" s="1"/>
  <c r="N34" i="22"/>
  <c r="H48" i="22"/>
  <c r="P246" i="14"/>
  <c r="U246" i="14"/>
  <c r="S246" i="14"/>
  <c r="W246" i="14"/>
  <c r="H246" i="14"/>
  <c r="X246" i="14"/>
  <c r="D246" i="14"/>
  <c r="D243" i="14" s="1"/>
  <c r="F15" i="14" s="1"/>
  <c r="D28" i="17" s="1"/>
  <c r="E246" i="14"/>
  <c r="E243" i="14" s="1"/>
  <c r="G15" i="14" s="1"/>
  <c r="E28" i="17" s="1"/>
  <c r="F246" i="14"/>
  <c r="Q246" i="14"/>
  <c r="G246" i="14"/>
  <c r="I246" i="14"/>
  <c r="V246" i="14"/>
  <c r="O246" i="14"/>
  <c r="M246" i="14"/>
  <c r="T246" i="14"/>
  <c r="K246" i="14"/>
  <c r="J246" i="14"/>
  <c r="L246" i="14"/>
  <c r="R246" i="14"/>
  <c r="N246" i="14"/>
  <c r="F218" i="14"/>
  <c r="G219" i="14"/>
  <c r="F244" i="14"/>
  <c r="F243" i="14" s="1"/>
  <c r="H15" i="14" s="1"/>
  <c r="F28" i="17" s="1"/>
  <c r="F136" i="22"/>
  <c r="F148" i="22" s="1"/>
  <c r="E137" i="22"/>
  <c r="E149" i="22" s="1"/>
  <c r="E136" i="22"/>
  <c r="E148" i="22" s="1"/>
  <c r="E129" i="22"/>
  <c r="F129" i="22" s="1"/>
  <c r="G129" i="22" s="1"/>
  <c r="H129" i="22" s="1"/>
  <c r="I129" i="22" s="1"/>
  <c r="J129" i="22" s="1"/>
  <c r="K129" i="22" s="1"/>
  <c r="L129" i="22" s="1"/>
  <c r="M129" i="22" s="1"/>
  <c r="N129" i="22" s="1"/>
  <c r="O129" i="22" s="1"/>
  <c r="P129" i="22" s="1"/>
  <c r="Q129" i="22" s="1"/>
  <c r="R129" i="22" s="1"/>
  <c r="S129" i="22" s="1"/>
  <c r="T129" i="22" s="1"/>
  <c r="U129" i="22" s="1"/>
  <c r="V129" i="22" s="1"/>
  <c r="W129" i="22" s="1"/>
  <c r="X129" i="22" s="1"/>
  <c r="E128" i="22"/>
  <c r="G135" i="22"/>
  <c r="E130" i="22"/>
  <c r="F130" i="22" s="1"/>
  <c r="G130" i="22" s="1"/>
  <c r="H130" i="22" s="1"/>
  <c r="I130" i="22" s="1"/>
  <c r="J130" i="22" s="1"/>
  <c r="K130" i="22" s="1"/>
  <c r="L130" i="22" s="1"/>
  <c r="M130" i="22" s="1"/>
  <c r="N130" i="22" s="1"/>
  <c r="O130" i="22" s="1"/>
  <c r="P130" i="22" s="1"/>
  <c r="Q130" i="22" s="1"/>
  <c r="R130" i="22" s="1"/>
  <c r="S130" i="22" s="1"/>
  <c r="T130" i="22" s="1"/>
  <c r="U130" i="22" s="1"/>
  <c r="V130" i="22" s="1"/>
  <c r="W130" i="22" s="1"/>
  <c r="X130" i="22" s="1"/>
  <c r="F135" i="22"/>
  <c r="F137" i="22"/>
  <c r="F149" i="22" s="1"/>
  <c r="G136" i="22"/>
  <c r="G148" i="22" s="1"/>
  <c r="E135" i="22"/>
  <c r="I52" i="22"/>
  <c r="O38" i="22"/>
  <c r="G80" i="22"/>
  <c r="H220" i="14"/>
  <c r="G245" i="14"/>
  <c r="I44" i="22"/>
  <c r="O30" i="22"/>
  <c r="N39" i="22"/>
  <c r="F252" i="14"/>
  <c r="G16" i="14"/>
  <c r="E30" i="17" s="1"/>
  <c r="N31" i="22"/>
  <c r="H45" i="22"/>
  <c r="H53" i="22" s="1"/>
  <c r="H90" i="22" s="1"/>
  <c r="H93" i="22" s="1"/>
  <c r="N36" i="22"/>
  <c r="H50" i="22"/>
  <c r="H80" i="22" s="1"/>
  <c r="H136" i="22"/>
  <c r="H148" i="22" s="1"/>
  <c r="J6" i="18"/>
  <c r="I186" i="18"/>
  <c r="L180" i="18"/>
  <c r="N180" i="18" s="1"/>
  <c r="H181" i="18"/>
  <c r="K135" i="18"/>
  <c r="I115" i="18"/>
  <c r="H204" i="18"/>
  <c r="I19" i="18"/>
  <c r="I95" i="18"/>
  <c r="K115" i="18"/>
  <c r="F9" i="15"/>
  <c r="C8" i="38" s="1"/>
  <c r="C5" i="41" s="1"/>
  <c r="S223" i="1"/>
  <c r="G9" i="15"/>
  <c r="D8" i="38" s="1"/>
  <c r="D5" i="41" s="1"/>
  <c r="R223" i="1"/>
  <c r="C249" i="1" s="1"/>
  <c r="F230" i="14"/>
  <c r="G231" i="14"/>
  <c r="G226" i="14"/>
  <c r="F225" i="14"/>
  <c r="C30" i="13"/>
  <c r="E106" i="13"/>
  <c r="F106" i="13" s="1"/>
  <c r="G106" i="13" s="1"/>
  <c r="H106" i="13" s="1"/>
  <c r="I106" i="13" s="1"/>
  <c r="J106" i="13" s="1"/>
  <c r="K106" i="13" s="1"/>
  <c r="L106" i="13" s="1"/>
  <c r="M106" i="13" s="1"/>
  <c r="N106" i="13" s="1"/>
  <c r="O106" i="13" s="1"/>
  <c r="P106" i="13" s="1"/>
  <c r="Q106" i="13" s="1"/>
  <c r="R106" i="13" s="1"/>
  <c r="S106" i="13" s="1"/>
  <c r="T106" i="13" s="1"/>
  <c r="U106" i="13" s="1"/>
  <c r="V106" i="13" s="1"/>
  <c r="D156" i="14"/>
  <c r="H212" i="1"/>
  <c r="I212" i="1" s="1"/>
  <c r="J212" i="1" s="1"/>
  <c r="K212" i="1" s="1"/>
  <c r="I189" i="1"/>
  <c r="J189" i="1" s="1"/>
  <c r="K189" i="1" s="1"/>
  <c r="H72" i="18"/>
  <c r="D71" i="18" s="1"/>
  <c r="D189" i="18" s="1"/>
  <c r="F17" i="23"/>
  <c r="H168" i="1"/>
  <c r="H190" i="1"/>
  <c r="B245" i="1"/>
  <c r="X168" i="1"/>
  <c r="X190" i="1"/>
  <c r="Y190" i="1" s="1"/>
  <c r="Z190" i="1" s="1"/>
  <c r="AA190" i="1" s="1"/>
  <c r="X337" i="1"/>
  <c r="X360" i="1"/>
  <c r="B256" i="1"/>
  <c r="X339" i="1"/>
  <c r="X267" i="1"/>
  <c r="X333" i="1"/>
  <c r="X262" i="1"/>
  <c r="X355" i="1"/>
  <c r="X261" i="1"/>
  <c r="X356" i="1"/>
  <c r="X266" i="1"/>
  <c r="X332" i="1"/>
  <c r="X260" i="1"/>
  <c r="X352" i="1"/>
  <c r="X328" i="1"/>
  <c r="X272" i="1"/>
  <c r="X338" i="1"/>
  <c r="X351" i="1"/>
  <c r="X361" i="1"/>
  <c r="X362" i="1"/>
  <c r="X271" i="1"/>
  <c r="X327" i="1"/>
  <c r="X357" i="1"/>
  <c r="X329" i="1"/>
  <c r="X350" i="1"/>
  <c r="X265" i="1"/>
  <c r="X334" i="1"/>
  <c r="X270" i="1"/>
  <c r="G91" i="1"/>
  <c r="E91" i="1" s="1"/>
  <c r="E90" i="1" s="1"/>
  <c r="N98" i="1"/>
  <c r="G88" i="1"/>
  <c r="E88" i="1" s="1"/>
  <c r="I116" i="1"/>
  <c r="X213" i="1"/>
  <c r="Y213" i="1" s="1"/>
  <c r="Z213" i="1" s="1"/>
  <c r="AA213" i="1" s="1"/>
  <c r="Y212" i="1"/>
  <c r="Z212" i="1" s="1"/>
  <c r="AA212" i="1" s="1"/>
  <c r="B73" i="1"/>
  <c r="B244" i="1"/>
  <c r="H222" i="1"/>
  <c r="I222" i="1" s="1"/>
  <c r="J222" i="1" s="1"/>
  <c r="K222" i="1" s="1"/>
  <c r="I199" i="1"/>
  <c r="J199" i="1" s="1"/>
  <c r="K199" i="1" s="1"/>
  <c r="C77" i="22"/>
  <c r="C75" i="22"/>
  <c r="C82" i="22"/>
  <c r="C74" i="22"/>
  <c r="C76" i="22"/>
  <c r="C78" i="22"/>
  <c r="H221" i="1"/>
  <c r="I221" i="1" s="1"/>
  <c r="J221" i="1" s="1"/>
  <c r="K221" i="1" s="1"/>
  <c r="I198" i="1"/>
  <c r="J198" i="1" s="1"/>
  <c r="K198" i="1" s="1"/>
  <c r="P189" i="1"/>
  <c r="Q189" i="1" s="1"/>
  <c r="R189" i="1" s="1"/>
  <c r="P167" i="1"/>
  <c r="F86" i="1"/>
  <c r="G221" i="13"/>
  <c r="G223" i="13" s="1"/>
  <c r="F63" i="17" s="1"/>
  <c r="H196" i="13"/>
  <c r="H198" i="13" s="1"/>
  <c r="E120" i="13"/>
  <c r="F112" i="13"/>
  <c r="G112" i="13" s="1"/>
  <c r="H112" i="13" s="1"/>
  <c r="I112" i="13" s="1"/>
  <c r="J112" i="13" s="1"/>
  <c r="K112" i="13" s="1"/>
  <c r="L112" i="13" s="1"/>
  <c r="M112" i="13" s="1"/>
  <c r="N112" i="13" s="1"/>
  <c r="O112" i="13" s="1"/>
  <c r="P112" i="13" s="1"/>
  <c r="Q112" i="13" s="1"/>
  <c r="R112" i="13" s="1"/>
  <c r="S112" i="13" s="1"/>
  <c r="T112" i="13" s="1"/>
  <c r="U112" i="13" s="1"/>
  <c r="V112" i="13" s="1"/>
  <c r="W112" i="13" s="1"/>
  <c r="X112" i="13" s="1"/>
  <c r="Y112" i="13" s="1"/>
  <c r="Z112" i="13" s="1"/>
  <c r="AA112" i="13" s="1"/>
  <c r="AB112" i="13" s="1"/>
  <c r="AC112" i="13" s="1"/>
  <c r="AD112" i="13" s="1"/>
  <c r="AE112" i="13" s="1"/>
  <c r="AF112" i="13" s="1"/>
  <c r="AG112" i="13" s="1"/>
  <c r="AH112" i="13" s="1"/>
  <c r="AI112" i="13" s="1"/>
  <c r="AJ112" i="13" s="1"/>
  <c r="AK112" i="13" s="1"/>
  <c r="AL112" i="13" s="1"/>
  <c r="AM112" i="13" s="1"/>
  <c r="AN112" i="13" s="1"/>
  <c r="AO112" i="13" s="1"/>
  <c r="AP112" i="13" s="1"/>
  <c r="AQ112" i="13" s="1"/>
  <c r="AR112" i="13" s="1"/>
  <c r="AS112" i="13" s="1"/>
  <c r="AT112" i="13" s="1"/>
  <c r="AU112" i="13" s="1"/>
  <c r="AV112" i="13" s="1"/>
  <c r="AW112" i="13" s="1"/>
  <c r="AX112" i="13" s="1"/>
  <c r="AY112" i="13" s="1"/>
  <c r="AZ112" i="13" s="1"/>
  <c r="BA112" i="13" s="1"/>
  <c r="BB112" i="13" s="1"/>
  <c r="BC112" i="13" s="1"/>
  <c r="BD112" i="13" s="1"/>
  <c r="BE112" i="13" s="1"/>
  <c r="BF112" i="13" s="1"/>
  <c r="BG112" i="13" s="1"/>
  <c r="BH112" i="13" s="1"/>
  <c r="BI112" i="13" s="1"/>
  <c r="BJ112" i="13" s="1"/>
  <c r="BK112" i="13" s="1"/>
  <c r="BL112" i="13" s="1"/>
  <c r="BM112" i="13" s="1"/>
  <c r="BN112" i="13" s="1"/>
  <c r="BO112" i="13" s="1"/>
  <c r="BP112" i="13" s="1"/>
  <c r="BQ112" i="13" s="1"/>
  <c r="BR112" i="13" s="1"/>
  <c r="BS112" i="13" s="1"/>
  <c r="BT112" i="13" s="1"/>
  <c r="BU112" i="13" s="1"/>
  <c r="BV112" i="13" s="1"/>
  <c r="BW112" i="13" s="1"/>
  <c r="BX112" i="13" s="1"/>
  <c r="BY112" i="13" s="1"/>
  <c r="BZ112" i="13" s="1"/>
  <c r="CA112" i="13" s="1"/>
  <c r="CB112" i="13" s="1"/>
  <c r="L96" i="13"/>
  <c r="K150" i="13"/>
  <c r="I184" i="13"/>
  <c r="I191" i="13"/>
  <c r="I188" i="13"/>
  <c r="I182" i="13"/>
  <c r="I180" i="13"/>
  <c r="I192" i="13"/>
  <c r="I176" i="13"/>
  <c r="I200" i="13"/>
  <c r="I179" i="13"/>
  <c r="I186" i="13"/>
  <c r="I183" i="13"/>
  <c r="I195" i="13"/>
  <c r="I193" i="13"/>
  <c r="I178" i="13"/>
  <c r="I177" i="13"/>
  <c r="I190" i="13"/>
  <c r="I185" i="13"/>
  <c r="I194" i="13"/>
  <c r="I189" i="13"/>
  <c r="I187" i="13"/>
  <c r="I181" i="13"/>
  <c r="I46" i="13"/>
  <c r="I49" i="13"/>
  <c r="J48" i="13"/>
  <c r="I171" i="13"/>
  <c r="I173" i="13" s="1"/>
  <c r="H203" i="13"/>
  <c r="H217" i="13"/>
  <c r="H214" i="13"/>
  <c r="H215" i="13"/>
  <c r="H208" i="13"/>
  <c r="H201" i="13"/>
  <c r="H204" i="13"/>
  <c r="H219" i="13"/>
  <c r="H206" i="13"/>
  <c r="H220" i="13"/>
  <c r="H216" i="13"/>
  <c r="H205" i="13"/>
  <c r="H210" i="13"/>
  <c r="H202" i="13"/>
  <c r="H218" i="13"/>
  <c r="H212" i="13"/>
  <c r="H209" i="13"/>
  <c r="H207" i="13"/>
  <c r="H213" i="13"/>
  <c r="H211" i="13"/>
  <c r="J165" i="13"/>
  <c r="J169" i="13"/>
  <c r="J160" i="13"/>
  <c r="J161" i="13"/>
  <c r="J152" i="13"/>
  <c r="J170" i="13"/>
  <c r="J153" i="13"/>
  <c r="J155" i="13"/>
  <c r="J163" i="13"/>
  <c r="J167" i="13"/>
  <c r="J159" i="13"/>
  <c r="J166" i="13"/>
  <c r="J164" i="13"/>
  <c r="J168" i="13"/>
  <c r="J158" i="13"/>
  <c r="J175" i="13"/>
  <c r="J154" i="13"/>
  <c r="J156" i="13"/>
  <c r="J162" i="13"/>
  <c r="J157" i="13"/>
  <c r="J151" i="13"/>
  <c r="E221" i="13"/>
  <c r="E223" i="13" s="1"/>
  <c r="D63" i="17" s="1"/>
  <c r="F221" i="13"/>
  <c r="F223" i="13" s="1"/>
  <c r="E63" i="17" s="1"/>
  <c r="E122" i="13"/>
  <c r="R30" i="19"/>
  <c r="H34" i="19"/>
  <c r="H37" i="19" s="1"/>
  <c r="H33" i="19"/>
  <c r="H36" i="19" s="1"/>
  <c r="H39" i="19" s="1"/>
  <c r="H35" i="19"/>
  <c r="H40" i="19" s="1"/>
  <c r="H231" i="18" s="1"/>
  <c r="H232" i="18" s="1"/>
  <c r="M16" i="19"/>
  <c r="L18" i="19"/>
  <c r="K20" i="19"/>
  <c r="K23" i="19" s="1"/>
  <c r="K19" i="19"/>
  <c r="K22" i="19" s="1"/>
  <c r="K25" i="19" s="1"/>
  <c r="N33" i="19"/>
  <c r="N36" i="19" s="1"/>
  <c r="N39" i="19" s="1"/>
  <c r="O32" i="19"/>
  <c r="N34" i="19"/>
  <c r="N37" i="19" s="1"/>
  <c r="N35" i="19"/>
  <c r="N40" i="19" s="1"/>
  <c r="R102" i="13"/>
  <c r="R18" i="14"/>
  <c r="H152" i="23"/>
  <c r="B8" i="38"/>
  <c r="B5" i="41" s="1"/>
  <c r="C18" i="20"/>
  <c r="N204" i="1"/>
  <c r="D50" i="18"/>
  <c r="E197" i="18"/>
  <c r="D29" i="18"/>
  <c r="D212" i="18"/>
  <c r="K158" i="1"/>
  <c r="E151" i="23"/>
  <c r="D150" i="23"/>
  <c r="U177" i="1"/>
  <c r="V158" i="1"/>
  <c r="V177" i="1" s="1"/>
  <c r="D149" i="23"/>
  <c r="G152" i="23"/>
  <c r="D208" i="18"/>
  <c r="D25" i="18"/>
  <c r="D46" i="18"/>
  <c r="E193" i="18"/>
  <c r="M177" i="1"/>
  <c r="N158" i="1"/>
  <c r="N177" i="1" s="1"/>
  <c r="S158" i="1"/>
  <c r="AA158" i="1"/>
  <c r="E118" i="13"/>
  <c r="F110" i="13"/>
  <c r="G110" i="13" s="1"/>
  <c r="H110" i="13" s="1"/>
  <c r="I110" i="13" s="1"/>
  <c r="J110" i="13" s="1"/>
  <c r="K110" i="13" s="1"/>
  <c r="L110" i="13" s="1"/>
  <c r="M110" i="13" s="1"/>
  <c r="N110" i="13" s="1"/>
  <c r="O110" i="13" s="1"/>
  <c r="P110" i="13" s="1"/>
  <c r="Q110" i="13" s="1"/>
  <c r="R110" i="13" s="1"/>
  <c r="S110" i="13" s="1"/>
  <c r="T110" i="13" s="1"/>
  <c r="U110" i="13" s="1"/>
  <c r="V110" i="13" s="1"/>
  <c r="W110" i="13" s="1"/>
  <c r="X110" i="13" s="1"/>
  <c r="Y110" i="13" s="1"/>
  <c r="Z110" i="13" s="1"/>
  <c r="AA110" i="13" s="1"/>
  <c r="AB110" i="13" s="1"/>
  <c r="AC110" i="13" s="1"/>
  <c r="AD110" i="13" s="1"/>
  <c r="AE110" i="13" s="1"/>
  <c r="AF110" i="13" s="1"/>
  <c r="AG110" i="13" s="1"/>
  <c r="AH110" i="13" s="1"/>
  <c r="AI110" i="13" s="1"/>
  <c r="AJ110" i="13" s="1"/>
  <c r="AK110" i="13" s="1"/>
  <c r="AL110" i="13" s="1"/>
  <c r="AM110" i="13" s="1"/>
  <c r="AN110" i="13" s="1"/>
  <c r="AO110" i="13" s="1"/>
  <c r="AP110" i="13" s="1"/>
  <c r="AQ110" i="13" s="1"/>
  <c r="AR110" i="13" s="1"/>
  <c r="AS110" i="13" s="1"/>
  <c r="AT110" i="13" s="1"/>
  <c r="AU110" i="13" s="1"/>
  <c r="AV110" i="13" s="1"/>
  <c r="AW110" i="13" s="1"/>
  <c r="AX110" i="13" s="1"/>
  <c r="AY110" i="13" s="1"/>
  <c r="AZ110" i="13" s="1"/>
  <c r="BA110" i="13" s="1"/>
  <c r="BB110" i="13" s="1"/>
  <c r="BC110" i="13" s="1"/>
  <c r="BD110" i="13" s="1"/>
  <c r="BE110" i="13" s="1"/>
  <c r="BF110" i="13" s="1"/>
  <c r="BG110" i="13" s="1"/>
  <c r="BH110" i="13" s="1"/>
  <c r="BI110" i="13" s="1"/>
  <c r="BJ110" i="13" s="1"/>
  <c r="BK110" i="13" s="1"/>
  <c r="BL110" i="13" s="1"/>
  <c r="BM110" i="13" s="1"/>
  <c r="BN110" i="13" s="1"/>
  <c r="BO110" i="13" s="1"/>
  <c r="BP110" i="13" s="1"/>
  <c r="BQ110" i="13" s="1"/>
  <c r="BR110" i="13" s="1"/>
  <c r="BS110" i="13" s="1"/>
  <c r="BT110" i="13" s="1"/>
  <c r="BU110" i="13" s="1"/>
  <c r="BV110" i="13" s="1"/>
  <c r="BW110" i="13" s="1"/>
  <c r="BX110" i="13" s="1"/>
  <c r="BY110" i="13" s="1"/>
  <c r="BZ110" i="13" s="1"/>
  <c r="CA110" i="13" s="1"/>
  <c r="CB110" i="13" s="1"/>
  <c r="D19" i="20"/>
  <c r="C19" i="20" s="1"/>
  <c r="F152" i="23"/>
  <c r="D132" i="23"/>
  <c r="O36" i="22" l="1"/>
  <c r="I50" i="22"/>
  <c r="I80" i="22" s="1"/>
  <c r="I136" i="22"/>
  <c r="I148" i="22" s="1"/>
  <c r="H147" i="22"/>
  <c r="H150" i="22" s="1"/>
  <c r="H10" i="22" s="1"/>
  <c r="H138" i="22"/>
  <c r="O31" i="22"/>
  <c r="I45" i="22"/>
  <c r="I220" i="14"/>
  <c r="H245" i="14"/>
  <c r="F138" i="22"/>
  <c r="F147" i="22"/>
  <c r="F150" i="22" s="1"/>
  <c r="F10" i="22" s="1"/>
  <c r="N40" i="22"/>
  <c r="N41" i="22" s="1"/>
  <c r="O32" i="22"/>
  <c r="I46" i="22"/>
  <c r="H214" i="14"/>
  <c r="G213" i="14"/>
  <c r="G239" i="14"/>
  <c r="G238" i="14" s="1"/>
  <c r="I49" i="22"/>
  <c r="I79" i="22" s="1"/>
  <c r="O35" i="22"/>
  <c r="I135" i="22"/>
  <c r="G252" i="14"/>
  <c r="H16" i="14"/>
  <c r="F30" i="17" s="1"/>
  <c r="J52" i="22"/>
  <c r="P38" i="22"/>
  <c r="G138" i="22"/>
  <c r="G147" i="22"/>
  <c r="G150" i="22" s="1"/>
  <c r="G10" i="22" s="1"/>
  <c r="H219" i="14"/>
  <c r="G218" i="14"/>
  <c r="G244" i="14"/>
  <c r="G243" i="14" s="1"/>
  <c r="I15" i="14" s="1"/>
  <c r="G28" i="17" s="1"/>
  <c r="O34" i="22"/>
  <c r="I48" i="22"/>
  <c r="F128" i="22"/>
  <c r="E131" i="22"/>
  <c r="E9" i="22" s="1"/>
  <c r="J47" i="22"/>
  <c r="P33" i="22"/>
  <c r="J44" i="22"/>
  <c r="P30" i="22"/>
  <c r="O39" i="22"/>
  <c r="I51" i="22"/>
  <c r="I81" i="22" s="1"/>
  <c r="O37" i="22"/>
  <c r="I137" i="22"/>
  <c r="I149" i="22" s="1"/>
  <c r="D194" i="18"/>
  <c r="L177" i="18"/>
  <c r="N177" i="18" s="1"/>
  <c r="E138" i="22"/>
  <c r="E147" i="22"/>
  <c r="E150" i="22" s="1"/>
  <c r="E10" i="22" s="1"/>
  <c r="L215" i="14"/>
  <c r="K240" i="14"/>
  <c r="K6" i="18"/>
  <c r="J186" i="18"/>
  <c r="J19" i="18"/>
  <c r="I204" i="18"/>
  <c r="D198" i="18"/>
  <c r="D195" i="18" s="1"/>
  <c r="L181" i="18"/>
  <c r="N181" i="18" s="1"/>
  <c r="L179" i="18"/>
  <c r="N179" i="18" s="1"/>
  <c r="N182" i="18" s="1"/>
  <c r="H42" i="19" s="1"/>
  <c r="H9" i="19" s="1"/>
  <c r="C229" i="1"/>
  <c r="B9" i="27"/>
  <c r="B18" i="38"/>
  <c r="H226" i="14"/>
  <c r="G225" i="14"/>
  <c r="H231" i="14"/>
  <c r="G230" i="14"/>
  <c r="AA223" i="1"/>
  <c r="C256" i="1"/>
  <c r="B339" i="1"/>
  <c r="X191" i="1"/>
  <c r="Y191" i="1" s="1"/>
  <c r="Z191" i="1" s="1"/>
  <c r="AA191" i="1" s="1"/>
  <c r="Y168" i="1"/>
  <c r="Z168" i="1" s="1"/>
  <c r="AA168" i="1" s="1"/>
  <c r="X169" i="1"/>
  <c r="D29" i="23"/>
  <c r="F21" i="23"/>
  <c r="D158" i="14"/>
  <c r="D210" i="14"/>
  <c r="E210" i="14" s="1"/>
  <c r="F210" i="14" s="1"/>
  <c r="G210" i="14" s="1"/>
  <c r="H210" i="14" s="1"/>
  <c r="I210" i="14" s="1"/>
  <c r="J210" i="14" s="1"/>
  <c r="K210" i="14" s="1"/>
  <c r="L210" i="14" s="1"/>
  <c r="M210" i="14" s="1"/>
  <c r="N210" i="14" s="1"/>
  <c r="O210" i="14" s="1"/>
  <c r="P210" i="14" s="1"/>
  <c r="Q210" i="14" s="1"/>
  <c r="R210" i="14" s="1"/>
  <c r="S210" i="14" s="1"/>
  <c r="T210" i="14" s="1"/>
  <c r="U210" i="14" s="1"/>
  <c r="V210" i="14" s="1"/>
  <c r="W210" i="14" s="1"/>
  <c r="X210" i="14" s="1"/>
  <c r="D160" i="14"/>
  <c r="B334" i="1"/>
  <c r="D53" i="18"/>
  <c r="E189" i="18"/>
  <c r="D32" i="18"/>
  <c r="H213" i="1"/>
  <c r="I213" i="1" s="1"/>
  <c r="J213" i="1" s="1"/>
  <c r="K213" i="1" s="1"/>
  <c r="I190" i="1"/>
  <c r="J190" i="1" s="1"/>
  <c r="K190" i="1" s="1"/>
  <c r="B361" i="1"/>
  <c r="I117" i="1"/>
  <c r="H169" i="1"/>
  <c r="H191" i="1"/>
  <c r="I168" i="1"/>
  <c r="J168" i="1" s="1"/>
  <c r="B88" i="1"/>
  <c r="F91" i="1" s="1"/>
  <c r="F94" i="1" s="1"/>
  <c r="B98" i="1" s="1"/>
  <c r="E87" i="1"/>
  <c r="B87" i="1" s="1"/>
  <c r="F90" i="1" s="1"/>
  <c r="F93" i="1" s="1"/>
  <c r="B97" i="1" s="1"/>
  <c r="E158" i="1" s="1"/>
  <c r="F158" i="1" s="1"/>
  <c r="G76" i="22"/>
  <c r="F76" i="22"/>
  <c r="B87" i="22"/>
  <c r="I76" i="22"/>
  <c r="E76" i="22"/>
  <c r="H76" i="22"/>
  <c r="H77" i="22"/>
  <c r="J77" i="22"/>
  <c r="E77" i="22"/>
  <c r="G77" i="22"/>
  <c r="F77" i="22"/>
  <c r="I77" i="22"/>
  <c r="P190" i="1"/>
  <c r="Q190" i="1" s="1"/>
  <c r="R190" i="1" s="1"/>
  <c r="S190" i="1" s="1"/>
  <c r="P168" i="1"/>
  <c r="Q167" i="1"/>
  <c r="R167" i="1" s="1"/>
  <c r="E82" i="22"/>
  <c r="F82" i="22"/>
  <c r="J82" i="22"/>
  <c r="G82" i="22"/>
  <c r="I82" i="22"/>
  <c r="H82" i="22"/>
  <c r="S189" i="1"/>
  <c r="E78" i="22"/>
  <c r="I78" i="22"/>
  <c r="H78" i="22"/>
  <c r="G78" i="22"/>
  <c r="F78" i="22"/>
  <c r="H75" i="22"/>
  <c r="I75" i="22"/>
  <c r="E75" i="22"/>
  <c r="G75" i="22"/>
  <c r="F75" i="22"/>
  <c r="Z223" i="1"/>
  <c r="G74" i="22"/>
  <c r="I74" i="22"/>
  <c r="F74" i="22"/>
  <c r="E74" i="22"/>
  <c r="J74" i="22"/>
  <c r="H74" i="22"/>
  <c r="B333" i="1"/>
  <c r="L218" i="1"/>
  <c r="M218" i="1" s="1"/>
  <c r="N218" i="1" s="1"/>
  <c r="L214" i="1"/>
  <c r="M214" i="1" s="1"/>
  <c r="N214" i="1" s="1"/>
  <c r="L222" i="1"/>
  <c r="M222" i="1" s="1"/>
  <c r="N222" i="1" s="1"/>
  <c r="L210" i="1"/>
  <c r="M210" i="1" s="1"/>
  <c r="N210" i="1" s="1"/>
  <c r="L215" i="1"/>
  <c r="M215" i="1" s="1"/>
  <c r="N215" i="1" s="1"/>
  <c r="L221" i="1"/>
  <c r="M221" i="1" s="1"/>
  <c r="N221" i="1" s="1"/>
  <c r="L212" i="1"/>
  <c r="M212" i="1" s="1"/>
  <c r="N212" i="1" s="1"/>
  <c r="L211" i="1"/>
  <c r="M211" i="1" s="1"/>
  <c r="N211" i="1" s="1"/>
  <c r="L217" i="1"/>
  <c r="M217" i="1" s="1"/>
  <c r="N217" i="1" s="1"/>
  <c r="L207" i="1"/>
  <c r="M207" i="1" s="1"/>
  <c r="N207" i="1" s="1"/>
  <c r="L219" i="1"/>
  <c r="M219" i="1" s="1"/>
  <c r="N219" i="1" s="1"/>
  <c r="L209" i="1"/>
  <c r="M209" i="1" s="1"/>
  <c r="N209" i="1" s="1"/>
  <c r="L213" i="1"/>
  <c r="M213" i="1" s="1"/>
  <c r="N213" i="1" s="1"/>
  <c r="L216" i="1"/>
  <c r="M216" i="1" s="1"/>
  <c r="N216" i="1" s="1"/>
  <c r="L206" i="1"/>
  <c r="M206" i="1" s="1"/>
  <c r="L220" i="1"/>
  <c r="M220" i="1" s="1"/>
  <c r="N220" i="1" s="1"/>
  <c r="L208" i="1"/>
  <c r="M208" i="1" s="1"/>
  <c r="N208" i="1" s="1"/>
  <c r="I196" i="13"/>
  <c r="I198" i="13" s="1"/>
  <c r="L150" i="13"/>
  <c r="M96" i="13"/>
  <c r="E127" i="13"/>
  <c r="E132" i="13" s="1"/>
  <c r="E137" i="13" s="1"/>
  <c r="J179" i="13"/>
  <c r="J191" i="13"/>
  <c r="J176" i="13"/>
  <c r="J181" i="13"/>
  <c r="J182" i="13"/>
  <c r="J177" i="13"/>
  <c r="J180" i="13"/>
  <c r="J184" i="13"/>
  <c r="J193" i="13"/>
  <c r="J178" i="13"/>
  <c r="J183" i="13"/>
  <c r="J187" i="13"/>
  <c r="J186" i="13"/>
  <c r="J188" i="13"/>
  <c r="J192" i="13"/>
  <c r="J194" i="13"/>
  <c r="J195" i="13"/>
  <c r="J189" i="13"/>
  <c r="J200" i="13"/>
  <c r="J190" i="13"/>
  <c r="J185" i="13"/>
  <c r="F120" i="13"/>
  <c r="E126" i="13"/>
  <c r="E131" i="13" s="1"/>
  <c r="D137" i="13" s="1"/>
  <c r="H221" i="13"/>
  <c r="H223" i="13" s="1"/>
  <c r="G63" i="17" s="1"/>
  <c r="J171" i="13"/>
  <c r="J173" i="13" s="1"/>
  <c r="K48" i="13"/>
  <c r="J49" i="13"/>
  <c r="I203" i="13"/>
  <c r="I217" i="13"/>
  <c r="I218" i="13"/>
  <c r="I211" i="13"/>
  <c r="I205" i="13"/>
  <c r="I219" i="13"/>
  <c r="I210" i="13"/>
  <c r="I212" i="13"/>
  <c r="I207" i="13"/>
  <c r="I214" i="13"/>
  <c r="I202" i="13"/>
  <c r="I201" i="13"/>
  <c r="I206" i="13"/>
  <c r="I209" i="13"/>
  <c r="I220" i="13"/>
  <c r="I215" i="13"/>
  <c r="I213" i="13"/>
  <c r="I216" i="13"/>
  <c r="I204" i="13"/>
  <c r="I208" i="13"/>
  <c r="K163" i="13"/>
  <c r="K161" i="13"/>
  <c r="K159" i="13"/>
  <c r="K152" i="13"/>
  <c r="K156" i="13"/>
  <c r="K153" i="13"/>
  <c r="K157" i="13"/>
  <c r="K165" i="13"/>
  <c r="K166" i="13"/>
  <c r="K155" i="13"/>
  <c r="K162" i="13"/>
  <c r="K168" i="13"/>
  <c r="K170" i="13"/>
  <c r="K167" i="13"/>
  <c r="K154" i="13"/>
  <c r="K175" i="13"/>
  <c r="K169" i="13"/>
  <c r="K160" i="13"/>
  <c r="K164" i="13"/>
  <c r="K158" i="13"/>
  <c r="K151" i="13"/>
  <c r="O34" i="19"/>
  <c r="O37" i="19" s="1"/>
  <c r="O33" i="19"/>
  <c r="O36" i="19" s="1"/>
  <c r="O39" i="19" s="1"/>
  <c r="P32" i="19"/>
  <c r="O35" i="19"/>
  <c r="O40" i="19" s="1"/>
  <c r="M18" i="19"/>
  <c r="M21" i="19" s="1"/>
  <c r="M26" i="19" s="1"/>
  <c r="L19" i="19"/>
  <c r="L22" i="19" s="1"/>
  <c r="L25" i="19" s="1"/>
  <c r="L20" i="19"/>
  <c r="L23" i="19" s="1"/>
  <c r="N16" i="19"/>
  <c r="L21" i="19"/>
  <c r="L26" i="19" s="1"/>
  <c r="S30" i="19"/>
  <c r="S102" i="13"/>
  <c r="S18" i="14"/>
  <c r="D9" i="15"/>
  <c r="E25" i="18"/>
  <c r="F193" i="18"/>
  <c r="E46" i="18"/>
  <c r="E50" i="18"/>
  <c r="F197" i="18"/>
  <c r="E29" i="18"/>
  <c r="F118" i="13"/>
  <c r="E125" i="13"/>
  <c r="E130" i="13" s="1"/>
  <c r="C137" i="13" s="1"/>
  <c r="B239" i="1"/>
  <c r="B227" i="1"/>
  <c r="W106" i="13"/>
  <c r="B228" i="1"/>
  <c r="B240" i="1"/>
  <c r="E152" i="23"/>
  <c r="D151" i="23"/>
  <c r="P32" i="22" l="1"/>
  <c r="O40" i="22"/>
  <c r="O41" i="22" s="1"/>
  <c r="J46" i="22"/>
  <c r="J76" i="22" s="1"/>
  <c r="D209" i="18"/>
  <c r="C225" i="18" s="1"/>
  <c r="D26" i="18"/>
  <c r="D24" i="18" s="1"/>
  <c r="D192" i="18"/>
  <c r="E194" i="18"/>
  <c r="D47" i="18"/>
  <c r="D45" i="18" s="1"/>
  <c r="Q33" i="22"/>
  <c r="K47" i="22"/>
  <c r="K77" i="22" s="1"/>
  <c r="I219" i="14"/>
  <c r="H218" i="14"/>
  <c r="H244" i="14"/>
  <c r="H243" i="14" s="1"/>
  <c r="J15" i="14" s="1"/>
  <c r="H28" i="17" s="1"/>
  <c r="I147" i="22"/>
  <c r="I150" i="22" s="1"/>
  <c r="I10" i="22" s="1"/>
  <c r="I138" i="22"/>
  <c r="I53" i="22"/>
  <c r="I90" i="22" s="1"/>
  <c r="I93" i="22" s="1"/>
  <c r="P31" i="22"/>
  <c r="J45" i="22"/>
  <c r="J75" i="22" s="1"/>
  <c r="J83" i="22" s="1"/>
  <c r="J7" i="22" s="1"/>
  <c r="P35" i="22"/>
  <c r="J49" i="22"/>
  <c r="J79" i="22" s="1"/>
  <c r="J135" i="22"/>
  <c r="J51" i="22"/>
  <c r="J81" i="22" s="1"/>
  <c r="P37" i="22"/>
  <c r="J137" i="22"/>
  <c r="J149" i="22" s="1"/>
  <c r="M215" i="14"/>
  <c r="L240" i="14"/>
  <c r="G128" i="22"/>
  <c r="F131" i="22"/>
  <c r="F9" i="22" s="1"/>
  <c r="J48" i="22"/>
  <c r="J78" i="22" s="1"/>
  <c r="P34" i="22"/>
  <c r="H213" i="14"/>
  <c r="I214" i="14"/>
  <c r="H239" i="14"/>
  <c r="H238" i="14" s="1"/>
  <c r="J220" i="14"/>
  <c r="I245" i="14"/>
  <c r="P36" i="22"/>
  <c r="J50" i="22"/>
  <c r="J80" i="22" s="1"/>
  <c r="J136" i="22"/>
  <c r="J148" i="22" s="1"/>
  <c r="K52" i="22"/>
  <c r="K82" i="22" s="1"/>
  <c r="Q38" i="22"/>
  <c r="P39" i="22"/>
  <c r="Q30" i="22"/>
  <c r="K44" i="22"/>
  <c r="H252" i="14"/>
  <c r="I16" i="14"/>
  <c r="G30" i="17" s="1"/>
  <c r="E42" i="19"/>
  <c r="E9" i="19" s="1"/>
  <c r="E26" i="17" s="1"/>
  <c r="Z4" i="40"/>
  <c r="Z7" i="40" s="1"/>
  <c r="P5" i="40"/>
  <c r="D28" i="34"/>
  <c r="P7" i="40"/>
  <c r="H26" i="17"/>
  <c r="G69" i="15" s="1"/>
  <c r="I42" i="19"/>
  <c r="I9" i="19" s="1"/>
  <c r="G42" i="19"/>
  <c r="G9" i="19" s="1"/>
  <c r="G26" i="17" s="1"/>
  <c r="F69" i="15" s="1"/>
  <c r="F42" i="19"/>
  <c r="F9" i="19" s="1"/>
  <c r="D213" i="18"/>
  <c r="C226" i="18" s="1"/>
  <c r="C227" i="18" s="1"/>
  <c r="I227" i="18" s="1"/>
  <c r="I229" i="18" s="1"/>
  <c r="E198" i="18"/>
  <c r="D30" i="18"/>
  <c r="D51" i="18"/>
  <c r="D62" i="18" s="1"/>
  <c r="K186" i="18"/>
  <c r="L6" i="18"/>
  <c r="D28" i="18"/>
  <c r="D27" i="18" s="1"/>
  <c r="D23" i="18" s="1"/>
  <c r="E196" i="18"/>
  <c r="D191" i="18"/>
  <c r="D49" i="18"/>
  <c r="D60" i="18" s="1"/>
  <c r="D211" i="18"/>
  <c r="K19" i="18"/>
  <c r="J204" i="18"/>
  <c r="D42" i="19"/>
  <c r="D9" i="19" s="1"/>
  <c r="D39" i="18"/>
  <c r="D57" i="18"/>
  <c r="I83" i="22"/>
  <c r="I7" i="22" s="1"/>
  <c r="H230" i="14"/>
  <c r="I231" i="14"/>
  <c r="H225" i="14"/>
  <c r="I226" i="14"/>
  <c r="D37" i="18"/>
  <c r="D41" i="18"/>
  <c r="I169" i="1"/>
  <c r="J169" i="1" s="1"/>
  <c r="K169" i="1" s="1"/>
  <c r="H170" i="1"/>
  <c r="H192" i="1"/>
  <c r="D35" i="23"/>
  <c r="D36" i="23"/>
  <c r="C29" i="23"/>
  <c r="Y169" i="1"/>
  <c r="Z169" i="1" s="1"/>
  <c r="AA169" i="1" s="1"/>
  <c r="X192" i="1"/>
  <c r="Y192" i="1" s="1"/>
  <c r="Z192" i="1" s="1"/>
  <c r="AA192" i="1" s="1"/>
  <c r="X170" i="1"/>
  <c r="C333" i="1"/>
  <c r="C339" i="1"/>
  <c r="C361" i="1"/>
  <c r="C334" i="1"/>
  <c r="D256" i="1"/>
  <c r="D329" i="1" s="1"/>
  <c r="K168" i="1"/>
  <c r="D61" i="18"/>
  <c r="D40" i="18"/>
  <c r="D36" i="18"/>
  <c r="H214" i="1"/>
  <c r="I214" i="1" s="1"/>
  <c r="J214" i="1" s="1"/>
  <c r="I191" i="1"/>
  <c r="J191" i="1" s="1"/>
  <c r="E53" i="18"/>
  <c r="F189" i="18"/>
  <c r="E32" i="18"/>
  <c r="E83" i="22"/>
  <c r="E7" i="22" s="1"/>
  <c r="G83" i="22"/>
  <c r="G7" i="22" s="1"/>
  <c r="S167" i="1"/>
  <c r="G91" i="22"/>
  <c r="G92" i="22" s="1"/>
  <c r="G8" i="22" s="1"/>
  <c r="L91" i="22"/>
  <c r="O91" i="22"/>
  <c r="V91" i="22"/>
  <c r="J91" i="22"/>
  <c r="S91" i="22"/>
  <c r="I91" i="22"/>
  <c r="I92" i="22" s="1"/>
  <c r="I8" i="22" s="1"/>
  <c r="T91" i="22"/>
  <c r="U91" i="22"/>
  <c r="X91" i="22"/>
  <c r="K91" i="22"/>
  <c r="W91" i="22"/>
  <c r="E91" i="22"/>
  <c r="E92" i="22" s="1"/>
  <c r="E8" i="22" s="1"/>
  <c r="H91" i="22"/>
  <c r="H92" i="22" s="1"/>
  <c r="H8" i="22" s="1"/>
  <c r="F91" i="22"/>
  <c r="F92" i="22" s="1"/>
  <c r="F8" i="22" s="1"/>
  <c r="R91" i="22"/>
  <c r="Q91" i="22"/>
  <c r="N91" i="22"/>
  <c r="M91" i="22"/>
  <c r="P91" i="22"/>
  <c r="H83" i="22"/>
  <c r="H7" i="22" s="1"/>
  <c r="F83" i="22"/>
  <c r="F7" i="22" s="1"/>
  <c r="P191" i="1"/>
  <c r="Q191" i="1" s="1"/>
  <c r="R191" i="1" s="1"/>
  <c r="S191" i="1" s="1"/>
  <c r="P169" i="1"/>
  <c r="Q168" i="1"/>
  <c r="R168" i="1" s="1"/>
  <c r="S168" i="1" s="1"/>
  <c r="N206" i="1"/>
  <c r="N223" i="1" s="1"/>
  <c r="M223" i="1"/>
  <c r="C250" i="1"/>
  <c r="C230" i="1"/>
  <c r="D230" i="1" s="1"/>
  <c r="E204" i="1"/>
  <c r="F204" i="1" s="1"/>
  <c r="E182" i="1"/>
  <c r="F182" i="1" s="1"/>
  <c r="G182" i="1" s="1"/>
  <c r="E181" i="1"/>
  <c r="F181" i="1" s="1"/>
  <c r="E205" i="1"/>
  <c r="F205" i="1" s="1"/>
  <c r="G205" i="1" s="1"/>
  <c r="B99" i="1"/>
  <c r="D99" i="1" s="1"/>
  <c r="E159" i="1"/>
  <c r="F159" i="1" s="1"/>
  <c r="E191" i="1"/>
  <c r="F191" i="1" s="1"/>
  <c r="G191" i="1" s="1"/>
  <c r="E196" i="1"/>
  <c r="F196" i="1" s="1"/>
  <c r="G196" i="1" s="1"/>
  <c r="E190" i="1"/>
  <c r="F190" i="1" s="1"/>
  <c r="G190" i="1" s="1"/>
  <c r="E221" i="1"/>
  <c r="F221" i="1" s="1"/>
  <c r="G221" i="1" s="1"/>
  <c r="E187" i="1"/>
  <c r="F187" i="1" s="1"/>
  <c r="G187" i="1" s="1"/>
  <c r="E188" i="1"/>
  <c r="F188" i="1" s="1"/>
  <c r="G188" i="1" s="1"/>
  <c r="E189" i="1"/>
  <c r="F189" i="1" s="1"/>
  <c r="G189" i="1" s="1"/>
  <c r="E195" i="1"/>
  <c r="F195" i="1" s="1"/>
  <c r="G195" i="1" s="1"/>
  <c r="E217" i="1"/>
  <c r="F217" i="1" s="1"/>
  <c r="G217" i="1" s="1"/>
  <c r="E198" i="1"/>
  <c r="F198" i="1" s="1"/>
  <c r="G198" i="1" s="1"/>
  <c r="E222" i="1"/>
  <c r="F222" i="1" s="1"/>
  <c r="G222" i="1" s="1"/>
  <c r="E185" i="1"/>
  <c r="F185" i="1" s="1"/>
  <c r="G185" i="1" s="1"/>
  <c r="E218" i="1"/>
  <c r="F218" i="1" s="1"/>
  <c r="G218" i="1" s="1"/>
  <c r="E192" i="1"/>
  <c r="F192" i="1" s="1"/>
  <c r="G192" i="1" s="1"/>
  <c r="E207" i="1"/>
  <c r="F207" i="1" s="1"/>
  <c r="G207" i="1" s="1"/>
  <c r="E213" i="1"/>
  <c r="F213" i="1" s="1"/>
  <c r="G213" i="1" s="1"/>
  <c r="E184" i="1"/>
  <c r="F184" i="1" s="1"/>
  <c r="G184" i="1" s="1"/>
  <c r="E214" i="1"/>
  <c r="F214" i="1" s="1"/>
  <c r="G214" i="1" s="1"/>
  <c r="E210" i="1"/>
  <c r="F210" i="1" s="1"/>
  <c r="G210" i="1" s="1"/>
  <c r="E194" i="1"/>
  <c r="F194" i="1" s="1"/>
  <c r="G194" i="1" s="1"/>
  <c r="E219" i="1"/>
  <c r="F219" i="1" s="1"/>
  <c r="G219" i="1" s="1"/>
  <c r="E197" i="1"/>
  <c r="F197" i="1" s="1"/>
  <c r="G197" i="1" s="1"/>
  <c r="E215" i="1"/>
  <c r="F215" i="1" s="1"/>
  <c r="G215" i="1" s="1"/>
  <c r="E208" i="1"/>
  <c r="F208" i="1" s="1"/>
  <c r="G208" i="1" s="1"/>
  <c r="E193" i="1"/>
  <c r="F193" i="1" s="1"/>
  <c r="G193" i="1" s="1"/>
  <c r="E211" i="1"/>
  <c r="F211" i="1" s="1"/>
  <c r="G211" i="1" s="1"/>
  <c r="E206" i="1"/>
  <c r="F206" i="1" s="1"/>
  <c r="G206" i="1" s="1"/>
  <c r="E212" i="1"/>
  <c r="F212" i="1" s="1"/>
  <c r="G212" i="1" s="1"/>
  <c r="E199" i="1"/>
  <c r="F199" i="1" s="1"/>
  <c r="G199" i="1" s="1"/>
  <c r="E216" i="1"/>
  <c r="F216" i="1" s="1"/>
  <c r="G216" i="1" s="1"/>
  <c r="E186" i="1"/>
  <c r="F186" i="1" s="1"/>
  <c r="G186" i="1" s="1"/>
  <c r="E209" i="1"/>
  <c r="F209" i="1" s="1"/>
  <c r="G209" i="1" s="1"/>
  <c r="E183" i="1"/>
  <c r="F183" i="1" s="1"/>
  <c r="G183" i="1" s="1"/>
  <c r="E220" i="1"/>
  <c r="F220" i="1" s="1"/>
  <c r="G220" i="1" s="1"/>
  <c r="E169" i="1"/>
  <c r="F169" i="1" s="1"/>
  <c r="G169" i="1" s="1"/>
  <c r="E161" i="1"/>
  <c r="F161" i="1" s="1"/>
  <c r="G161" i="1" s="1"/>
  <c r="E166" i="1"/>
  <c r="F166" i="1" s="1"/>
  <c r="G166" i="1" s="1"/>
  <c r="E171" i="1"/>
  <c r="F171" i="1" s="1"/>
  <c r="G171" i="1" s="1"/>
  <c r="E165" i="1"/>
  <c r="F165" i="1" s="1"/>
  <c r="G165" i="1" s="1"/>
  <c r="E173" i="1"/>
  <c r="F173" i="1" s="1"/>
  <c r="G173" i="1" s="1"/>
  <c r="E175" i="1"/>
  <c r="F175" i="1" s="1"/>
  <c r="G175" i="1" s="1"/>
  <c r="E170" i="1"/>
  <c r="F170" i="1" s="1"/>
  <c r="G170" i="1" s="1"/>
  <c r="E162" i="1"/>
  <c r="F162" i="1" s="1"/>
  <c r="G162" i="1" s="1"/>
  <c r="E174" i="1"/>
  <c r="F174" i="1" s="1"/>
  <c r="G174" i="1" s="1"/>
  <c r="E176" i="1"/>
  <c r="F176" i="1" s="1"/>
  <c r="G176" i="1" s="1"/>
  <c r="E172" i="1"/>
  <c r="F172" i="1" s="1"/>
  <c r="G172" i="1" s="1"/>
  <c r="E163" i="1"/>
  <c r="F163" i="1" s="1"/>
  <c r="G163" i="1" s="1"/>
  <c r="E167" i="1"/>
  <c r="F167" i="1" s="1"/>
  <c r="G167" i="1" s="1"/>
  <c r="E160" i="1"/>
  <c r="F160" i="1" s="1"/>
  <c r="G160" i="1" s="1"/>
  <c r="E168" i="1"/>
  <c r="F168" i="1" s="1"/>
  <c r="G168" i="1" s="1"/>
  <c r="E164" i="1"/>
  <c r="F164" i="1" s="1"/>
  <c r="G164" i="1" s="1"/>
  <c r="K191" i="13"/>
  <c r="K190" i="13"/>
  <c r="K182" i="13"/>
  <c r="K176" i="13"/>
  <c r="K180" i="13"/>
  <c r="K187" i="13"/>
  <c r="K188" i="13"/>
  <c r="K189" i="13"/>
  <c r="K186" i="13"/>
  <c r="K181" i="13"/>
  <c r="K200" i="13"/>
  <c r="K185" i="13"/>
  <c r="K194" i="13"/>
  <c r="K179" i="13"/>
  <c r="K193" i="13"/>
  <c r="K195" i="13"/>
  <c r="K177" i="13"/>
  <c r="K183" i="13"/>
  <c r="K184" i="13"/>
  <c r="K178" i="13"/>
  <c r="K192" i="13"/>
  <c r="I221" i="13"/>
  <c r="I223" i="13" s="1"/>
  <c r="H63" i="17" s="1"/>
  <c r="J214" i="13"/>
  <c r="J211" i="13"/>
  <c r="J208" i="13"/>
  <c r="J207" i="13"/>
  <c r="J213" i="13"/>
  <c r="J205" i="13"/>
  <c r="J215" i="13"/>
  <c r="J216" i="13"/>
  <c r="J218" i="13"/>
  <c r="J217" i="13"/>
  <c r="J212" i="13"/>
  <c r="J220" i="13"/>
  <c r="J204" i="13"/>
  <c r="J209" i="13"/>
  <c r="J201" i="13"/>
  <c r="J202" i="13"/>
  <c r="J219" i="13"/>
  <c r="J206" i="13"/>
  <c r="J203" i="13"/>
  <c r="J210" i="13"/>
  <c r="J196" i="13"/>
  <c r="J198" i="13" s="1"/>
  <c r="K49" i="13"/>
  <c r="L48" i="13"/>
  <c r="G120" i="13"/>
  <c r="F126" i="13"/>
  <c r="F131" i="13" s="1"/>
  <c r="D138" i="13" s="1"/>
  <c r="M150" i="13"/>
  <c r="N96" i="13"/>
  <c r="L169" i="13"/>
  <c r="L155" i="13"/>
  <c r="L159" i="13"/>
  <c r="L158" i="13"/>
  <c r="L166" i="13"/>
  <c r="L160" i="13"/>
  <c r="L151" i="13"/>
  <c r="L156" i="13"/>
  <c r="L168" i="13"/>
  <c r="L162" i="13"/>
  <c r="L170" i="13"/>
  <c r="L152" i="13"/>
  <c r="L164" i="13"/>
  <c r="L165" i="13"/>
  <c r="L175" i="13"/>
  <c r="L161" i="13"/>
  <c r="L153" i="13"/>
  <c r="L163" i="13"/>
  <c r="L157" i="13"/>
  <c r="L154" i="13"/>
  <c r="L167" i="13"/>
  <c r="K171" i="13"/>
  <c r="K173" i="13" s="1"/>
  <c r="T30" i="19"/>
  <c r="N21" i="19"/>
  <c r="O16" i="19"/>
  <c r="N26" i="19"/>
  <c r="P33" i="19"/>
  <c r="P36" i="19" s="1"/>
  <c r="P39" i="19" s="1"/>
  <c r="P34" i="19"/>
  <c r="P37" i="19" s="1"/>
  <c r="Q32" i="19"/>
  <c r="P35" i="19"/>
  <c r="P40" i="19" s="1"/>
  <c r="N18" i="19"/>
  <c r="M19" i="19"/>
  <c r="M22" i="19" s="1"/>
  <c r="M25" i="19" s="1"/>
  <c r="M20" i="19"/>
  <c r="M23" i="19" s="1"/>
  <c r="T18" i="14"/>
  <c r="T102" i="13"/>
  <c r="C9" i="15"/>
  <c r="D69" i="15"/>
  <c r="D152" i="23"/>
  <c r="X106" i="13"/>
  <c r="F50" i="18"/>
  <c r="G197" i="18"/>
  <c r="F29" i="18"/>
  <c r="B329" i="1"/>
  <c r="C329" i="1"/>
  <c r="C328" i="1"/>
  <c r="B328" i="1"/>
  <c r="F46" i="18"/>
  <c r="G193" i="18"/>
  <c r="F25" i="18"/>
  <c r="G118" i="13"/>
  <c r="F125" i="13"/>
  <c r="F130" i="13" s="1"/>
  <c r="C138" i="13" s="1"/>
  <c r="J219" i="14" l="1"/>
  <c r="I218" i="14"/>
  <c r="I244" i="14"/>
  <c r="I243" i="14" s="1"/>
  <c r="K15" i="14" s="1"/>
  <c r="I28" i="17" s="1"/>
  <c r="C29" i="17" s="1"/>
  <c r="K74" i="22"/>
  <c r="K50" i="22"/>
  <c r="K80" i="22" s="1"/>
  <c r="Q36" i="22"/>
  <c r="K136" i="22"/>
  <c r="K148" i="22" s="1"/>
  <c r="J138" i="22"/>
  <c r="J147" i="22"/>
  <c r="J150" i="22" s="1"/>
  <c r="J10" i="22" s="1"/>
  <c r="H128" i="22"/>
  <c r="G131" i="22"/>
  <c r="G9" i="22" s="1"/>
  <c r="N215" i="14"/>
  <c r="M240" i="14"/>
  <c r="R30" i="22"/>
  <c r="L44" i="22"/>
  <c r="J245" i="14"/>
  <c r="K220" i="14"/>
  <c r="Q35" i="22"/>
  <c r="K49" i="22"/>
  <c r="K79" i="22" s="1"/>
  <c r="K135" i="22"/>
  <c r="Q37" i="22"/>
  <c r="K51" i="22"/>
  <c r="K81" i="22" s="1"/>
  <c r="K137" i="22"/>
  <c r="K149" i="22" s="1"/>
  <c r="L47" i="22"/>
  <c r="L77" i="22" s="1"/>
  <c r="R33" i="22"/>
  <c r="K46" i="22"/>
  <c r="K76" i="22" s="1"/>
  <c r="P40" i="22"/>
  <c r="P41" i="22" s="1"/>
  <c r="Q32" i="22"/>
  <c r="D56" i="18"/>
  <c r="R38" i="22"/>
  <c r="L52" i="22"/>
  <c r="L82" i="22" s="1"/>
  <c r="I213" i="14"/>
  <c r="J214" i="14"/>
  <c r="I239" i="14"/>
  <c r="I238" i="14" s="1"/>
  <c r="K45" i="22"/>
  <c r="K75" i="22" s="1"/>
  <c r="Q31" i="22"/>
  <c r="I252" i="14"/>
  <c r="J16" i="14"/>
  <c r="H30" i="17" s="1"/>
  <c r="K48" i="22"/>
  <c r="K78" i="22" s="1"/>
  <c r="Q34" i="22"/>
  <c r="J53" i="22"/>
  <c r="J90" i="22" s="1"/>
  <c r="J93" i="22" s="1"/>
  <c r="D58" i="18"/>
  <c r="D12" i="18" s="1"/>
  <c r="J92" i="22"/>
  <c r="J8" i="22" s="1"/>
  <c r="E192" i="18"/>
  <c r="F194" i="18"/>
  <c r="E47" i="18"/>
  <c r="E45" i="18" s="1"/>
  <c r="E26" i="18"/>
  <c r="E24" i="18" s="1"/>
  <c r="B9" i="40"/>
  <c r="R35" i="17"/>
  <c r="C35" i="17" s="1"/>
  <c r="G159" i="1"/>
  <c r="F177" i="1"/>
  <c r="F26" i="17"/>
  <c r="E69" i="15" s="1"/>
  <c r="D26" i="17"/>
  <c r="C69" i="15" s="1"/>
  <c r="D14" i="18"/>
  <c r="I26" i="17"/>
  <c r="H69" i="15" s="1"/>
  <c r="H227" i="18"/>
  <c r="H229" i="18" s="1"/>
  <c r="D227" i="18"/>
  <c r="D229" i="18" s="1"/>
  <c r="E227" i="18"/>
  <c r="E229" i="18" s="1"/>
  <c r="K204" i="18"/>
  <c r="L19" i="18"/>
  <c r="J42" i="19"/>
  <c r="J9" i="19" s="1"/>
  <c r="E49" i="18"/>
  <c r="E60" i="18" s="1"/>
  <c r="E28" i="18"/>
  <c r="F196" i="18"/>
  <c r="E195" i="18"/>
  <c r="E191" i="18" s="1"/>
  <c r="G227" i="18"/>
  <c r="G229" i="18" s="1"/>
  <c r="D214" i="18"/>
  <c r="F214" i="18" s="1"/>
  <c r="C217" i="18" s="1"/>
  <c r="C220" i="18"/>
  <c r="F227" i="18"/>
  <c r="F229" i="18" s="1"/>
  <c r="D48" i="18"/>
  <c r="D44" i="18" s="1"/>
  <c r="D42" i="18" s="1"/>
  <c r="D43" i="18" s="1"/>
  <c r="M6" i="18"/>
  <c r="L186" i="18"/>
  <c r="E30" i="18"/>
  <c r="E41" i="18" s="1"/>
  <c r="E51" i="18"/>
  <c r="E62" i="18" s="1"/>
  <c r="F198" i="18"/>
  <c r="D16" i="18"/>
  <c r="E36" i="18"/>
  <c r="D38" i="18"/>
  <c r="J226" i="14"/>
  <c r="I225" i="14"/>
  <c r="D59" i="18"/>
  <c r="J231" i="14"/>
  <c r="I230" i="14"/>
  <c r="D35" i="18"/>
  <c r="D328" i="1"/>
  <c r="E40" i="18"/>
  <c r="E61" i="18"/>
  <c r="Y170" i="1"/>
  <c r="Z170" i="1" s="1"/>
  <c r="AA170" i="1" s="1"/>
  <c r="X171" i="1"/>
  <c r="X193" i="1"/>
  <c r="Y193" i="1" s="1"/>
  <c r="Z193" i="1" s="1"/>
  <c r="AA193" i="1" s="1"/>
  <c r="G36" i="23"/>
  <c r="M91" i="14" s="1"/>
  <c r="K191" i="1"/>
  <c r="G35" i="23"/>
  <c r="M90" i="14" s="1"/>
  <c r="D37" i="23"/>
  <c r="D38" i="23" s="1"/>
  <c r="E57" i="18"/>
  <c r="D11" i="18"/>
  <c r="K214" i="1"/>
  <c r="E58" i="18"/>
  <c r="E37" i="18"/>
  <c r="H215" i="1"/>
  <c r="I215" i="1" s="1"/>
  <c r="J215" i="1" s="1"/>
  <c r="K215" i="1" s="1"/>
  <c r="I192" i="1"/>
  <c r="J192" i="1" s="1"/>
  <c r="K192" i="1" s="1"/>
  <c r="G11" i="22"/>
  <c r="I14" i="14" s="1"/>
  <c r="G22" i="17" s="1"/>
  <c r="F82" i="15" s="1"/>
  <c r="F53" i="18"/>
  <c r="F32" i="18"/>
  <c r="F40" i="18" s="1"/>
  <c r="G189" i="18"/>
  <c r="D15" i="18"/>
  <c r="D361" i="1"/>
  <c r="D333" i="1"/>
  <c r="D334" i="1"/>
  <c r="D339" i="1"/>
  <c r="E256" i="1"/>
  <c r="E362" i="1" s="1"/>
  <c r="H193" i="1"/>
  <c r="I170" i="1"/>
  <c r="J170" i="1" s="1"/>
  <c r="G158" i="1"/>
  <c r="F223" i="1"/>
  <c r="G204" i="1"/>
  <c r="G223" i="1" s="1"/>
  <c r="D250" i="1"/>
  <c r="B362" i="1"/>
  <c r="C362" i="1"/>
  <c r="D362" i="1"/>
  <c r="P170" i="1"/>
  <c r="P192" i="1"/>
  <c r="Q192" i="1" s="1"/>
  <c r="R192" i="1" s="1"/>
  <c r="S192" i="1" s="1"/>
  <c r="Q169" i="1"/>
  <c r="R169" i="1" s="1"/>
  <c r="S169" i="1" s="1"/>
  <c r="E11" i="22"/>
  <c r="G14" i="14" s="1"/>
  <c r="E22" i="17" s="1"/>
  <c r="D82" i="15" s="1"/>
  <c r="B229" i="1"/>
  <c r="D229" i="1" s="1"/>
  <c r="B249" i="1"/>
  <c r="G181" i="1"/>
  <c r="G200" i="1" s="1"/>
  <c r="F200" i="1"/>
  <c r="F11" i="22"/>
  <c r="H14" i="14" s="1"/>
  <c r="F22" i="17" s="1"/>
  <c r="E82" i="15" s="1"/>
  <c r="K196" i="13"/>
  <c r="K198" i="13" s="1"/>
  <c r="L183" i="13"/>
  <c r="L185" i="13"/>
  <c r="L193" i="13"/>
  <c r="L189" i="13"/>
  <c r="L195" i="13"/>
  <c r="L190" i="13"/>
  <c r="L176" i="13"/>
  <c r="L187" i="13"/>
  <c r="L178" i="13"/>
  <c r="L182" i="13"/>
  <c r="L188" i="13"/>
  <c r="L192" i="13"/>
  <c r="L191" i="13"/>
  <c r="L194" i="13"/>
  <c r="L200" i="13"/>
  <c r="L184" i="13"/>
  <c r="L186" i="13"/>
  <c r="L179" i="13"/>
  <c r="L177" i="13"/>
  <c r="L181" i="13"/>
  <c r="L180" i="13"/>
  <c r="K219" i="13"/>
  <c r="K207" i="13"/>
  <c r="K204" i="13"/>
  <c r="K212" i="13"/>
  <c r="K217" i="13"/>
  <c r="K208" i="13"/>
  <c r="K205" i="13"/>
  <c r="K214" i="13"/>
  <c r="K203" i="13"/>
  <c r="K213" i="13"/>
  <c r="K206" i="13"/>
  <c r="K201" i="13"/>
  <c r="K218" i="13"/>
  <c r="K202" i="13"/>
  <c r="K220" i="13"/>
  <c r="K215" i="13"/>
  <c r="K210" i="13"/>
  <c r="K211" i="13"/>
  <c r="K216" i="13"/>
  <c r="K209" i="13"/>
  <c r="H120" i="13"/>
  <c r="G126" i="13"/>
  <c r="G131" i="13" s="1"/>
  <c r="D139" i="13" s="1"/>
  <c r="L171" i="13"/>
  <c r="L173" i="13" s="1"/>
  <c r="M161" i="13"/>
  <c r="M164" i="13"/>
  <c r="M155" i="13"/>
  <c r="M165" i="13"/>
  <c r="M159" i="13"/>
  <c r="M153" i="13"/>
  <c r="M175" i="13"/>
  <c r="M151" i="13"/>
  <c r="M156" i="13"/>
  <c r="M162" i="13"/>
  <c r="M170" i="13"/>
  <c r="M154" i="13"/>
  <c r="M166" i="13"/>
  <c r="M157" i="13"/>
  <c r="M160" i="13"/>
  <c r="M169" i="13"/>
  <c r="M163" i="13"/>
  <c r="M167" i="13"/>
  <c r="M152" i="13"/>
  <c r="M168" i="13"/>
  <c r="M158" i="13"/>
  <c r="N150" i="13"/>
  <c r="O96" i="13"/>
  <c r="M48" i="13"/>
  <c r="L49" i="13"/>
  <c r="J221" i="13"/>
  <c r="J223" i="13" s="1"/>
  <c r="I63" i="17" s="1"/>
  <c r="Q34" i="19"/>
  <c r="Q37" i="19" s="1"/>
  <c r="R32" i="19"/>
  <c r="Q33" i="19"/>
  <c r="Q36" i="19" s="1"/>
  <c r="Q39" i="19" s="1"/>
  <c r="Q35" i="19"/>
  <c r="Q40" i="19" s="1"/>
  <c r="N20" i="19"/>
  <c r="N23" i="19" s="1"/>
  <c r="O18" i="19"/>
  <c r="N19" i="19"/>
  <c r="N22" i="19" s="1"/>
  <c r="N25" i="19" s="1"/>
  <c r="P16" i="19"/>
  <c r="U30" i="19"/>
  <c r="U102" i="13"/>
  <c r="U18" i="14"/>
  <c r="G125" i="13"/>
  <c r="G130" i="13" s="1"/>
  <c r="C139" i="13" s="1"/>
  <c r="H118" i="13"/>
  <c r="H193" i="18"/>
  <c r="G46" i="18"/>
  <c r="G25" i="18"/>
  <c r="G29" i="18"/>
  <c r="H197" i="18"/>
  <c r="G50" i="18"/>
  <c r="Y106" i="13"/>
  <c r="G194" i="18" l="1"/>
  <c r="F26" i="18"/>
  <c r="F24" i="18" s="1"/>
  <c r="F47" i="18"/>
  <c r="F45" i="18" s="1"/>
  <c r="F192" i="18"/>
  <c r="L49" i="22"/>
  <c r="L79" i="22" s="1"/>
  <c r="R35" i="22"/>
  <c r="L135" i="22"/>
  <c r="L147" i="22" s="1"/>
  <c r="G177" i="1"/>
  <c r="J252" i="14"/>
  <c r="K16" i="14"/>
  <c r="I30" i="17" s="1"/>
  <c r="C31" i="17" s="1"/>
  <c r="C38" i="17" s="1"/>
  <c r="S38" i="22"/>
  <c r="M52" i="22"/>
  <c r="M82" i="22" s="1"/>
  <c r="S33" i="22"/>
  <c r="M47" i="22"/>
  <c r="M77" i="22" s="1"/>
  <c r="L220" i="14"/>
  <c r="K245" i="14"/>
  <c r="N240" i="14"/>
  <c r="O215" i="14"/>
  <c r="L45" i="22"/>
  <c r="L75" i="22" s="1"/>
  <c r="R31" i="22"/>
  <c r="L53" i="22"/>
  <c r="L90" i="22" s="1"/>
  <c r="L92" i="22" s="1"/>
  <c r="L8" i="22" s="1"/>
  <c r="L74" i="22"/>
  <c r="L50" i="22"/>
  <c r="L80" i="22" s="1"/>
  <c r="R36" i="22"/>
  <c r="L136" i="22"/>
  <c r="L148" i="22" s="1"/>
  <c r="K219" i="14"/>
  <c r="J218" i="14"/>
  <c r="J244" i="14"/>
  <c r="J243" i="14" s="1"/>
  <c r="L15" i="14" s="1"/>
  <c r="J28" i="17" s="1"/>
  <c r="D10" i="18"/>
  <c r="C71" i="15" s="1"/>
  <c r="D55" i="18"/>
  <c r="M44" i="22"/>
  <c r="S30" i="22"/>
  <c r="I128" i="22"/>
  <c r="H131" i="22"/>
  <c r="H9" i="22" s="1"/>
  <c r="H11" i="22" s="1"/>
  <c r="J14" i="14" s="1"/>
  <c r="H22" i="17" s="1"/>
  <c r="G82" i="15" s="1"/>
  <c r="L51" i="22"/>
  <c r="L81" i="22" s="1"/>
  <c r="R37" i="22"/>
  <c r="L137" i="22"/>
  <c r="L149" i="22" s="1"/>
  <c r="K83" i="22"/>
  <c r="K7" i="22" s="1"/>
  <c r="L48" i="22"/>
  <c r="L78" i="22" s="1"/>
  <c r="R34" i="22"/>
  <c r="J213" i="14"/>
  <c r="K214" i="14"/>
  <c r="J239" i="14"/>
  <c r="J238" i="14" s="1"/>
  <c r="L46" i="22"/>
  <c r="L76" i="22" s="1"/>
  <c r="R32" i="22"/>
  <c r="K138" i="22"/>
  <c r="K147" i="22"/>
  <c r="K150" i="22" s="1"/>
  <c r="K10" i="22" s="1"/>
  <c r="K53" i="22"/>
  <c r="K90" i="22" s="1"/>
  <c r="D13" i="18"/>
  <c r="B238" i="1"/>
  <c r="J26" i="17"/>
  <c r="I69" i="15" s="1"/>
  <c r="E35" i="18"/>
  <c r="E11" i="18"/>
  <c r="E214" i="18"/>
  <c r="C216" i="18" s="1"/>
  <c r="C221" i="18"/>
  <c r="E16" i="18"/>
  <c r="F49" i="18"/>
  <c r="F60" i="18" s="1"/>
  <c r="F28" i="18"/>
  <c r="F195" i="18"/>
  <c r="G196" i="18"/>
  <c r="M19" i="18"/>
  <c r="K42" i="19"/>
  <c r="K9" i="19" s="1"/>
  <c r="E27" i="18"/>
  <c r="E23" i="18" s="1"/>
  <c r="F30" i="18"/>
  <c r="F41" i="18" s="1"/>
  <c r="F51" i="18"/>
  <c r="F62" i="18" s="1"/>
  <c r="G198" i="18"/>
  <c r="N6" i="18"/>
  <c r="M186" i="18"/>
  <c r="E48" i="18"/>
  <c r="E44" i="18" s="1"/>
  <c r="E39" i="18"/>
  <c r="E14" i="18" s="1"/>
  <c r="E59" i="18"/>
  <c r="F57" i="18"/>
  <c r="D9" i="18"/>
  <c r="D34" i="18"/>
  <c r="J230" i="14"/>
  <c r="K231" i="14"/>
  <c r="J225" i="14"/>
  <c r="K226" i="14"/>
  <c r="F61" i="18"/>
  <c r="F15" i="18" s="1"/>
  <c r="G163" i="23"/>
  <c r="G164" i="23" s="1"/>
  <c r="F58" i="18"/>
  <c r="M92" i="14"/>
  <c r="F36" i="18"/>
  <c r="E15" i="18"/>
  <c r="K170" i="1"/>
  <c r="K177" i="1" s="1"/>
  <c r="J177" i="1"/>
  <c r="G53" i="18"/>
  <c r="G57" i="18" s="1"/>
  <c r="G32" i="18"/>
  <c r="H189" i="18"/>
  <c r="X172" i="1"/>
  <c r="Y171" i="1"/>
  <c r="Z171" i="1" s="1"/>
  <c r="AA171" i="1" s="1"/>
  <c r="X194" i="1"/>
  <c r="Y194" i="1" s="1"/>
  <c r="Z194" i="1" s="1"/>
  <c r="AA194" i="1" s="1"/>
  <c r="E56" i="18"/>
  <c r="I193" i="1"/>
  <c r="J193" i="1" s="1"/>
  <c r="K193" i="1" s="1"/>
  <c r="K200" i="1" s="1"/>
  <c r="H216" i="1"/>
  <c r="I216" i="1" s="1"/>
  <c r="J216" i="1" s="1"/>
  <c r="H163" i="23"/>
  <c r="H164" i="23" s="1"/>
  <c r="E333" i="1"/>
  <c r="E339" i="1"/>
  <c r="E328" i="1"/>
  <c r="E334" i="1"/>
  <c r="E361" i="1"/>
  <c r="E329" i="1"/>
  <c r="F256" i="1"/>
  <c r="F338" i="1" s="1"/>
  <c r="E12" i="18"/>
  <c r="E10" i="18" s="1"/>
  <c r="B234" i="1"/>
  <c r="B243" i="1"/>
  <c r="C338" i="1"/>
  <c r="C373" i="1" s="1"/>
  <c r="D338" i="1"/>
  <c r="D373" i="1" s="1"/>
  <c r="E338" i="1"/>
  <c r="D249" i="1"/>
  <c r="B338" i="1"/>
  <c r="B373" i="1" s="1"/>
  <c r="P193" i="1"/>
  <c r="Q193" i="1" s="1"/>
  <c r="R193" i="1" s="1"/>
  <c r="Q170" i="1"/>
  <c r="R170" i="1" s="1"/>
  <c r="E320" i="1"/>
  <c r="F320" i="1" s="1"/>
  <c r="B272" i="1"/>
  <c r="C272" i="1"/>
  <c r="D272" i="1"/>
  <c r="E272" i="1"/>
  <c r="B226" i="1"/>
  <c r="B233" i="1"/>
  <c r="B248" i="1"/>
  <c r="B235" i="1"/>
  <c r="L196" i="13"/>
  <c r="L198" i="13" s="1"/>
  <c r="P96" i="13"/>
  <c r="O150" i="13"/>
  <c r="I120" i="13"/>
  <c r="H126" i="13"/>
  <c r="H131" i="13" s="1"/>
  <c r="D140" i="13" s="1"/>
  <c r="M188" i="13"/>
  <c r="M182" i="13"/>
  <c r="M194" i="13"/>
  <c r="M183" i="13"/>
  <c r="M184" i="13"/>
  <c r="M176" i="13"/>
  <c r="M179" i="13"/>
  <c r="M200" i="13"/>
  <c r="M181" i="13"/>
  <c r="M190" i="13"/>
  <c r="M193" i="13"/>
  <c r="M180" i="13"/>
  <c r="M191" i="13"/>
  <c r="M192" i="13"/>
  <c r="M178" i="13"/>
  <c r="M185" i="13"/>
  <c r="M189" i="13"/>
  <c r="M187" i="13"/>
  <c r="M195" i="13"/>
  <c r="M186" i="13"/>
  <c r="M177" i="13"/>
  <c r="N48" i="13"/>
  <c r="M49" i="13"/>
  <c r="L207" i="13"/>
  <c r="L213" i="13"/>
  <c r="L201" i="13"/>
  <c r="L212" i="13"/>
  <c r="L219" i="13"/>
  <c r="L215" i="13"/>
  <c r="L210" i="13"/>
  <c r="L217" i="13"/>
  <c r="L205" i="13"/>
  <c r="L208" i="13"/>
  <c r="L211" i="13"/>
  <c r="L214" i="13"/>
  <c r="L203" i="13"/>
  <c r="L216" i="13"/>
  <c r="L206" i="13"/>
  <c r="L202" i="13"/>
  <c r="L218" i="13"/>
  <c r="L220" i="13"/>
  <c r="L204" i="13"/>
  <c r="L209" i="13"/>
  <c r="N168" i="13"/>
  <c r="N167" i="13"/>
  <c r="N170" i="13"/>
  <c r="N160" i="13"/>
  <c r="N152" i="13"/>
  <c r="N154" i="13"/>
  <c r="N175" i="13"/>
  <c r="N158" i="13"/>
  <c r="N155" i="13"/>
  <c r="N165" i="13"/>
  <c r="N157" i="13"/>
  <c r="N163" i="13"/>
  <c r="N166" i="13"/>
  <c r="N161" i="13"/>
  <c r="N169" i="13"/>
  <c r="N159" i="13"/>
  <c r="N153" i="13"/>
  <c r="N164" i="13"/>
  <c r="N156" i="13"/>
  <c r="N162" i="13"/>
  <c r="N151" i="13"/>
  <c r="M171" i="13"/>
  <c r="M173" i="13" s="1"/>
  <c r="K221" i="13"/>
  <c r="K223" i="13" s="1"/>
  <c r="J63" i="17" s="1"/>
  <c r="Q16" i="19"/>
  <c r="O19" i="19"/>
  <c r="O22" i="19" s="1"/>
  <c r="O25" i="19" s="1"/>
  <c r="P18" i="19"/>
  <c r="O20" i="19"/>
  <c r="O23" i="19" s="1"/>
  <c r="R33" i="19"/>
  <c r="R36" i="19" s="1"/>
  <c r="R39" i="19" s="1"/>
  <c r="R34" i="19"/>
  <c r="R37" i="19" s="1"/>
  <c r="S32" i="19"/>
  <c r="R35" i="19"/>
  <c r="R40" i="19" s="1"/>
  <c r="O21" i="19"/>
  <c r="O26" i="19" s="1"/>
  <c r="V30" i="19"/>
  <c r="V18" i="14"/>
  <c r="V102" i="13"/>
  <c r="I197" i="18"/>
  <c r="H29" i="18"/>
  <c r="H50" i="18"/>
  <c r="I193" i="18"/>
  <c r="J193" i="18" s="1"/>
  <c r="J25" i="18" s="1"/>
  <c r="H25" i="18"/>
  <c r="H46" i="18"/>
  <c r="H125" i="13"/>
  <c r="H130" i="13" s="1"/>
  <c r="C140" i="13" s="1"/>
  <c r="I118" i="13"/>
  <c r="Z106" i="13"/>
  <c r="F37" i="18" l="1"/>
  <c r="K93" i="22"/>
  <c r="K92" i="22"/>
  <c r="K8" i="22" s="1"/>
  <c r="S34" i="22"/>
  <c r="M48" i="22"/>
  <c r="M78" i="22" s="1"/>
  <c r="T30" i="22"/>
  <c r="N44" i="22"/>
  <c r="M50" i="22"/>
  <c r="M80" i="22" s="1"/>
  <c r="S36" i="22"/>
  <c r="M136" i="22"/>
  <c r="M148" i="22" s="1"/>
  <c r="M74" i="22"/>
  <c r="M220" i="14"/>
  <c r="L245" i="14"/>
  <c r="L150" i="22"/>
  <c r="L10" i="22" s="1"/>
  <c r="L83" i="22"/>
  <c r="L7" i="22" s="1"/>
  <c r="S35" i="22"/>
  <c r="M49" i="22"/>
  <c r="M79" i="22" s="1"/>
  <c r="M135" i="22"/>
  <c r="M147" i="22" s="1"/>
  <c r="S32" i="22"/>
  <c r="M46" i="22"/>
  <c r="M76" i="22" s="1"/>
  <c r="N47" i="22"/>
  <c r="N77" i="22" s="1"/>
  <c r="T33" i="22"/>
  <c r="M51" i="22"/>
  <c r="M81" i="22" s="1"/>
  <c r="S37" i="22"/>
  <c r="M137" i="22"/>
  <c r="M149" i="22" s="1"/>
  <c r="S31" i="22"/>
  <c r="M45" i="22"/>
  <c r="M75" i="22" s="1"/>
  <c r="F191" i="18"/>
  <c r="N52" i="22"/>
  <c r="N82" i="22" s="1"/>
  <c r="T38" i="22"/>
  <c r="K213" i="14"/>
  <c r="L214" i="14"/>
  <c r="K239" i="14"/>
  <c r="K238" i="14" s="1"/>
  <c r="K218" i="14"/>
  <c r="L219" i="14"/>
  <c r="K244" i="14"/>
  <c r="K243" i="14" s="1"/>
  <c r="M15" i="14" s="1"/>
  <c r="K28" i="17" s="1"/>
  <c r="P215" i="14"/>
  <c r="O240" i="14"/>
  <c r="I131" i="22"/>
  <c r="I9" i="22" s="1"/>
  <c r="I11" i="22" s="1"/>
  <c r="K14" i="14" s="1"/>
  <c r="I22" i="17" s="1"/>
  <c r="H82" i="15" s="1"/>
  <c r="J128" i="22"/>
  <c r="K252" i="14"/>
  <c r="L16" i="14"/>
  <c r="J30" i="17" s="1"/>
  <c r="H194" i="18"/>
  <c r="G47" i="18"/>
  <c r="G45" i="18" s="1"/>
  <c r="G26" i="18"/>
  <c r="G24" i="18" s="1"/>
  <c r="G192" i="18"/>
  <c r="E13" i="18"/>
  <c r="E38" i="18"/>
  <c r="E34" i="18" s="1"/>
  <c r="K26" i="17"/>
  <c r="J69" i="15" s="1"/>
  <c r="F16" i="18"/>
  <c r="F11" i="18"/>
  <c r="E42" i="18"/>
  <c r="E43" i="18" s="1"/>
  <c r="E9" i="18"/>
  <c r="D21" i="17" s="1"/>
  <c r="C75" i="15" s="1"/>
  <c r="F27" i="18"/>
  <c r="F23" i="18" s="1"/>
  <c r="F39" i="18"/>
  <c r="F38" i="18" s="1"/>
  <c r="N186" i="18"/>
  <c r="O6" i="18"/>
  <c r="N19" i="18"/>
  <c r="L42" i="19"/>
  <c r="L9" i="19" s="1"/>
  <c r="F48" i="18"/>
  <c r="F44" i="18" s="1"/>
  <c r="G30" i="18"/>
  <c r="G41" i="18" s="1"/>
  <c r="G51" i="18"/>
  <c r="G62" i="18" s="1"/>
  <c r="H198" i="18"/>
  <c r="G49" i="18"/>
  <c r="G195" i="18"/>
  <c r="G28" i="18"/>
  <c r="H196" i="18"/>
  <c r="F56" i="18"/>
  <c r="E55" i="18"/>
  <c r="F12" i="18"/>
  <c r="L226" i="14"/>
  <c r="K225" i="14"/>
  <c r="F59" i="18"/>
  <c r="K230" i="14"/>
  <c r="L231" i="14"/>
  <c r="G39" i="18"/>
  <c r="G40" i="18"/>
  <c r="J200" i="1"/>
  <c r="C243" i="1" s="1"/>
  <c r="D243" i="1" s="1"/>
  <c r="E373" i="1"/>
  <c r="G36" i="18"/>
  <c r="D71" i="15"/>
  <c r="K216" i="1"/>
  <c r="K223" i="1" s="1"/>
  <c r="J223" i="1"/>
  <c r="G58" i="18"/>
  <c r="H32" i="18"/>
  <c r="H53" i="18"/>
  <c r="I189" i="18"/>
  <c r="G61" i="18"/>
  <c r="F329" i="1"/>
  <c r="F362" i="1"/>
  <c r="F333" i="1"/>
  <c r="F272" i="1"/>
  <c r="F328" i="1"/>
  <c r="F361" i="1"/>
  <c r="F373" i="1" s="1"/>
  <c r="G256" i="1"/>
  <c r="F334" i="1"/>
  <c r="F339" i="1"/>
  <c r="Y172" i="1"/>
  <c r="Z172" i="1" s="1"/>
  <c r="AA172" i="1" s="1"/>
  <c r="X173" i="1"/>
  <c r="X195" i="1"/>
  <c r="Y195" i="1" s="1"/>
  <c r="Z195" i="1" s="1"/>
  <c r="AA195" i="1" s="1"/>
  <c r="F35" i="18"/>
  <c r="S170" i="1"/>
  <c r="S177" i="1" s="1"/>
  <c r="R177" i="1"/>
  <c r="B327" i="1"/>
  <c r="D327" i="1"/>
  <c r="C327" i="1"/>
  <c r="E327" i="1"/>
  <c r="F327" i="1"/>
  <c r="S193" i="1"/>
  <c r="S200" i="1" s="1"/>
  <c r="R200" i="1"/>
  <c r="C337" i="1"/>
  <c r="D337" i="1"/>
  <c r="B337" i="1"/>
  <c r="E337" i="1"/>
  <c r="F337" i="1"/>
  <c r="E319" i="1"/>
  <c r="F319" i="1" s="1"/>
  <c r="B271" i="1"/>
  <c r="F271" i="1"/>
  <c r="D271" i="1"/>
  <c r="E271" i="1"/>
  <c r="C271" i="1"/>
  <c r="C332" i="1"/>
  <c r="D332" i="1"/>
  <c r="B332" i="1"/>
  <c r="E332" i="1"/>
  <c r="F332" i="1"/>
  <c r="N171" i="13"/>
  <c r="N173" i="13" s="1"/>
  <c r="Q96" i="13"/>
  <c r="P150" i="13"/>
  <c r="N176" i="13"/>
  <c r="N195" i="13"/>
  <c r="N179" i="13"/>
  <c r="N194" i="13"/>
  <c r="N193" i="13"/>
  <c r="N184" i="13"/>
  <c r="N200" i="13"/>
  <c r="N191" i="13"/>
  <c r="N185" i="13"/>
  <c r="N189" i="13"/>
  <c r="N192" i="13"/>
  <c r="N178" i="13"/>
  <c r="N186" i="13"/>
  <c r="N183" i="13"/>
  <c r="N182" i="13"/>
  <c r="N177" i="13"/>
  <c r="N187" i="13"/>
  <c r="N181" i="13"/>
  <c r="N190" i="13"/>
  <c r="N180" i="13"/>
  <c r="N188" i="13"/>
  <c r="L221" i="13"/>
  <c r="L223" i="13" s="1"/>
  <c r="K63" i="17" s="1"/>
  <c r="O48" i="13"/>
  <c r="N49" i="13"/>
  <c r="M196" i="13"/>
  <c r="M198" i="13" s="1"/>
  <c r="I126" i="13"/>
  <c r="I131" i="13" s="1"/>
  <c r="D141" i="13" s="1"/>
  <c r="J120" i="13"/>
  <c r="M203" i="13"/>
  <c r="M202" i="13"/>
  <c r="M210" i="13"/>
  <c r="M204" i="13"/>
  <c r="M213" i="13"/>
  <c r="M211" i="13"/>
  <c r="M220" i="13"/>
  <c r="M208" i="13"/>
  <c r="M219" i="13"/>
  <c r="M206" i="13"/>
  <c r="M205" i="13"/>
  <c r="M212" i="13"/>
  <c r="M216" i="13"/>
  <c r="M214" i="13"/>
  <c r="M201" i="13"/>
  <c r="M218" i="13"/>
  <c r="M209" i="13"/>
  <c r="M207" i="13"/>
  <c r="M217" i="13"/>
  <c r="M215" i="13"/>
  <c r="O157" i="13"/>
  <c r="O160" i="13"/>
  <c r="O156" i="13"/>
  <c r="O165" i="13"/>
  <c r="O154" i="13"/>
  <c r="O162" i="13"/>
  <c r="O161" i="13"/>
  <c r="O167" i="13"/>
  <c r="O166" i="13"/>
  <c r="O158" i="13"/>
  <c r="O152" i="13"/>
  <c r="O155" i="13"/>
  <c r="O164" i="13"/>
  <c r="O151" i="13"/>
  <c r="O159" i="13"/>
  <c r="O170" i="13"/>
  <c r="O175" i="13"/>
  <c r="O163" i="13"/>
  <c r="O169" i="13"/>
  <c r="O168" i="13"/>
  <c r="O153" i="13"/>
  <c r="T32" i="19"/>
  <c r="S33" i="19"/>
  <c r="S36" i="19" s="1"/>
  <c r="S39" i="19" s="1"/>
  <c r="S34" i="19"/>
  <c r="S37" i="19" s="1"/>
  <c r="S35" i="19"/>
  <c r="S40" i="19" s="1"/>
  <c r="P19" i="19"/>
  <c r="P22" i="19" s="1"/>
  <c r="P25" i="19" s="1"/>
  <c r="Q18" i="19"/>
  <c r="P20" i="19"/>
  <c r="P23" i="19" s="1"/>
  <c r="W30" i="19"/>
  <c r="R16" i="19"/>
  <c r="P21" i="19"/>
  <c r="P26" i="19" s="1"/>
  <c r="W18" i="14"/>
  <c r="W102" i="13"/>
  <c r="I125" i="13"/>
  <c r="I130" i="13" s="1"/>
  <c r="C141" i="13" s="1"/>
  <c r="J118" i="13"/>
  <c r="AA106" i="13"/>
  <c r="I46" i="18"/>
  <c r="I25" i="18"/>
  <c r="I29" i="18"/>
  <c r="J197" i="18"/>
  <c r="I50" i="18"/>
  <c r="T32" i="22" l="1"/>
  <c r="N46" i="22"/>
  <c r="N76" i="22" s="1"/>
  <c r="M83" i="22"/>
  <c r="M7" i="22" s="1"/>
  <c r="T34" i="22"/>
  <c r="N48" i="22"/>
  <c r="N78" i="22" s="1"/>
  <c r="N45" i="22"/>
  <c r="N75" i="22" s="1"/>
  <c r="T31" i="22"/>
  <c r="M150" i="22"/>
  <c r="M10" i="22" s="1"/>
  <c r="M53" i="22"/>
  <c r="M90" i="22" s="1"/>
  <c r="M92" i="22" s="1"/>
  <c r="M8" i="22" s="1"/>
  <c r="N74" i="22"/>
  <c r="N220" i="14"/>
  <c r="M245" i="14"/>
  <c r="G191" i="18"/>
  <c r="L252" i="14"/>
  <c r="M16" i="14"/>
  <c r="K30" i="17" s="1"/>
  <c r="U38" i="22"/>
  <c r="O52" i="22"/>
  <c r="O82" i="22" s="1"/>
  <c r="Q215" i="14"/>
  <c r="P240" i="14"/>
  <c r="O44" i="22"/>
  <c r="U30" i="22"/>
  <c r="L218" i="14"/>
  <c r="M219" i="14"/>
  <c r="L244" i="14"/>
  <c r="L243" i="14" s="1"/>
  <c r="N15" i="14" s="1"/>
  <c r="L28" i="17" s="1"/>
  <c r="G48" i="18"/>
  <c r="G44" i="18" s="1"/>
  <c r="J131" i="22"/>
  <c r="J9" i="22" s="1"/>
  <c r="J11" i="22" s="1"/>
  <c r="L14" i="14" s="1"/>
  <c r="J22" i="17" s="1"/>
  <c r="I82" i="15" s="1"/>
  <c r="K128" i="22"/>
  <c r="M214" i="14"/>
  <c r="L213" i="14"/>
  <c r="L239" i="14"/>
  <c r="L238" i="14" s="1"/>
  <c r="N51" i="22"/>
  <c r="N81" i="22" s="1"/>
  <c r="T37" i="22"/>
  <c r="N137" i="22"/>
  <c r="N149" i="22" s="1"/>
  <c r="N49" i="22"/>
  <c r="N79" i="22" s="1"/>
  <c r="T35" i="22"/>
  <c r="N135" i="22"/>
  <c r="N147" i="22" s="1"/>
  <c r="N50" i="22"/>
  <c r="N80" i="22" s="1"/>
  <c r="T36" i="22"/>
  <c r="N136" i="22"/>
  <c r="N148" i="22" s="1"/>
  <c r="G37" i="18"/>
  <c r="G35" i="18" s="1"/>
  <c r="U33" i="22"/>
  <c r="O47" i="22"/>
  <c r="O77" i="22" s="1"/>
  <c r="G12" i="18"/>
  <c r="H192" i="18"/>
  <c r="H47" i="18"/>
  <c r="H45" i="18" s="1"/>
  <c r="I194" i="18"/>
  <c r="H26" i="18"/>
  <c r="H24" i="18" s="1"/>
  <c r="F42" i="18"/>
  <c r="F43" i="18" s="1"/>
  <c r="F10" i="18"/>
  <c r="F14" i="18"/>
  <c r="L26" i="17"/>
  <c r="K69" i="15" s="1"/>
  <c r="G27" i="18"/>
  <c r="G23" i="18" s="1"/>
  <c r="G60" i="18"/>
  <c r="G14" i="18" s="1"/>
  <c r="H28" i="18"/>
  <c r="H39" i="18" s="1"/>
  <c r="H49" i="18"/>
  <c r="H60" i="18" s="1"/>
  <c r="H195" i="18"/>
  <c r="H191" i="18" s="1"/>
  <c r="I196" i="18"/>
  <c r="I198" i="18"/>
  <c r="H30" i="18"/>
  <c r="H41" i="18" s="1"/>
  <c r="H51" i="18"/>
  <c r="H62" i="18" s="1"/>
  <c r="O19" i="18"/>
  <c r="M42" i="19"/>
  <c r="M9" i="19" s="1"/>
  <c r="P6" i="18"/>
  <c r="O186" i="18"/>
  <c r="F55" i="18"/>
  <c r="F34" i="18"/>
  <c r="E71" i="15"/>
  <c r="H37" i="18"/>
  <c r="H36" i="18"/>
  <c r="G15" i="18"/>
  <c r="G11" i="18"/>
  <c r="G38" i="18"/>
  <c r="M231" i="14"/>
  <c r="L230" i="14"/>
  <c r="M226" i="14"/>
  <c r="L225" i="14"/>
  <c r="C238" i="1"/>
  <c r="G56" i="18"/>
  <c r="D20" i="17"/>
  <c r="G16" i="18"/>
  <c r="C226" i="1"/>
  <c r="D226" i="1" s="1"/>
  <c r="C248" i="1"/>
  <c r="C235" i="1"/>
  <c r="D235" i="1" s="1"/>
  <c r="H61" i="18"/>
  <c r="H40" i="18"/>
  <c r="H57" i="18"/>
  <c r="X196" i="1"/>
  <c r="Y196" i="1" s="1"/>
  <c r="Z196" i="1" s="1"/>
  <c r="AA196" i="1" s="1"/>
  <c r="X174" i="1"/>
  <c r="Y173" i="1"/>
  <c r="Z173" i="1" s="1"/>
  <c r="AA173" i="1" s="1"/>
  <c r="G332" i="1"/>
  <c r="G272" i="1"/>
  <c r="G339" i="1"/>
  <c r="G328" i="1"/>
  <c r="G333" i="1"/>
  <c r="G327" i="1"/>
  <c r="G361" i="1"/>
  <c r="G337" i="1"/>
  <c r="G329" i="1"/>
  <c r="G271" i="1"/>
  <c r="G362" i="1"/>
  <c r="H256" i="1"/>
  <c r="H265" i="1" s="1"/>
  <c r="G338" i="1"/>
  <c r="G334" i="1"/>
  <c r="H58" i="18"/>
  <c r="C355" i="1"/>
  <c r="D355" i="1"/>
  <c r="E355" i="1"/>
  <c r="F355" i="1"/>
  <c r="B355" i="1"/>
  <c r="G355" i="1"/>
  <c r="I53" i="18"/>
  <c r="I32" i="18"/>
  <c r="J189" i="18"/>
  <c r="E343" i="1"/>
  <c r="D265" i="1"/>
  <c r="C265" i="1"/>
  <c r="E314" i="1"/>
  <c r="F314" i="1" s="1"/>
  <c r="B265" i="1"/>
  <c r="E265" i="1"/>
  <c r="F265" i="1"/>
  <c r="G265" i="1"/>
  <c r="C244" i="1"/>
  <c r="C343" i="1"/>
  <c r="C239" i="1"/>
  <c r="C227" i="1"/>
  <c r="D227" i="1" s="1"/>
  <c r="D343" i="1"/>
  <c r="B343" i="1"/>
  <c r="F343" i="1"/>
  <c r="N196" i="13"/>
  <c r="N198" i="13" s="1"/>
  <c r="M221" i="13"/>
  <c r="M223" i="13" s="1"/>
  <c r="L63" i="17" s="1"/>
  <c r="P161" i="13"/>
  <c r="P170" i="13"/>
  <c r="P165" i="13"/>
  <c r="P151" i="13"/>
  <c r="P153" i="13"/>
  <c r="P152" i="13"/>
  <c r="P157" i="13"/>
  <c r="P154" i="13"/>
  <c r="P156" i="13"/>
  <c r="P158" i="13"/>
  <c r="P159" i="13"/>
  <c r="P167" i="13"/>
  <c r="P164" i="13"/>
  <c r="P166" i="13"/>
  <c r="P155" i="13"/>
  <c r="P162" i="13"/>
  <c r="P160" i="13"/>
  <c r="P169" i="13"/>
  <c r="P175" i="13"/>
  <c r="P163" i="13"/>
  <c r="P168" i="13"/>
  <c r="O179" i="13"/>
  <c r="O195" i="13"/>
  <c r="O184" i="13"/>
  <c r="O178" i="13"/>
  <c r="O193" i="13"/>
  <c r="O187" i="13"/>
  <c r="O200" i="13"/>
  <c r="O189" i="13"/>
  <c r="O180" i="13"/>
  <c r="O185" i="13"/>
  <c r="O176" i="13"/>
  <c r="O182" i="13"/>
  <c r="O190" i="13"/>
  <c r="O186" i="13"/>
  <c r="O191" i="13"/>
  <c r="O181" i="13"/>
  <c r="O183" i="13"/>
  <c r="O192" i="13"/>
  <c r="O194" i="13"/>
  <c r="O177" i="13"/>
  <c r="O188" i="13"/>
  <c r="O171" i="13"/>
  <c r="O173" i="13" s="1"/>
  <c r="J126" i="13"/>
  <c r="J131" i="13" s="1"/>
  <c r="D142" i="13" s="1"/>
  <c r="K120" i="13"/>
  <c r="O49" i="13"/>
  <c r="P48" i="13"/>
  <c r="N213" i="13"/>
  <c r="N209" i="13"/>
  <c r="N204" i="13"/>
  <c r="N216" i="13"/>
  <c r="N208" i="13"/>
  <c r="N214" i="13"/>
  <c r="N210" i="13"/>
  <c r="N219" i="13"/>
  <c r="N207" i="13"/>
  <c r="N215" i="13"/>
  <c r="N218" i="13"/>
  <c r="N212" i="13"/>
  <c r="N206" i="13"/>
  <c r="N201" i="13"/>
  <c r="N205" i="13"/>
  <c r="N217" i="13"/>
  <c r="N203" i="13"/>
  <c r="N220" i="13"/>
  <c r="N211" i="13"/>
  <c r="N202" i="13"/>
  <c r="R96" i="13"/>
  <c r="Q150" i="13"/>
  <c r="X30" i="19"/>
  <c r="R18" i="19"/>
  <c r="Q19" i="19"/>
  <c r="Q22" i="19" s="1"/>
  <c r="Q25" i="19" s="1"/>
  <c r="Q20" i="19"/>
  <c r="Q23" i="19" s="1"/>
  <c r="Q21" i="19"/>
  <c r="Q26" i="19" s="1"/>
  <c r="S16" i="19"/>
  <c r="R21" i="19"/>
  <c r="R26" i="19" s="1"/>
  <c r="T34" i="19"/>
  <c r="T37" i="19" s="1"/>
  <c r="T33" i="19"/>
  <c r="T36" i="19" s="1"/>
  <c r="T39" i="19" s="1"/>
  <c r="U32" i="19"/>
  <c r="T35" i="19"/>
  <c r="T40" i="19" s="1"/>
  <c r="X18" i="14"/>
  <c r="X102" i="13"/>
  <c r="G42" i="18"/>
  <c r="G43" i="18" s="1"/>
  <c r="AB106" i="13"/>
  <c r="J29" i="18"/>
  <c r="K197" i="18"/>
  <c r="J50" i="18"/>
  <c r="J46" i="18"/>
  <c r="K193" i="18"/>
  <c r="J125" i="13"/>
  <c r="J130" i="13" s="1"/>
  <c r="C142" i="13" s="1"/>
  <c r="K118" i="13"/>
  <c r="I192" i="18" l="1"/>
  <c r="I26" i="18"/>
  <c r="I24" i="18" s="1"/>
  <c r="J194" i="18"/>
  <c r="I47" i="18"/>
  <c r="I45" i="18" s="1"/>
  <c r="U36" i="22"/>
  <c r="O50" i="22"/>
  <c r="O80" i="22" s="1"/>
  <c r="O136" i="22"/>
  <c r="O148" i="22" s="1"/>
  <c r="N219" i="14"/>
  <c r="M218" i="14"/>
  <c r="M244" i="14"/>
  <c r="M243" i="14" s="1"/>
  <c r="O15" i="14" s="1"/>
  <c r="M28" i="17" s="1"/>
  <c r="M252" i="14"/>
  <c r="N16" i="14"/>
  <c r="L30" i="17" s="1"/>
  <c r="U31" i="22"/>
  <c r="O45" i="22"/>
  <c r="O75" i="22" s="1"/>
  <c r="M213" i="14"/>
  <c r="N214" i="14"/>
  <c r="M239" i="14"/>
  <c r="M238" i="14" s="1"/>
  <c r="V30" i="22"/>
  <c r="P44" i="22"/>
  <c r="N245" i="14"/>
  <c r="O220" i="14"/>
  <c r="O48" i="22"/>
  <c r="O78" i="22" s="1"/>
  <c r="U34" i="22"/>
  <c r="O49" i="22"/>
  <c r="O79" i="22" s="1"/>
  <c r="U35" i="22"/>
  <c r="O135" i="22"/>
  <c r="O147" i="22" s="1"/>
  <c r="L128" i="22"/>
  <c r="K131" i="22"/>
  <c r="K9" i="22" s="1"/>
  <c r="K11" i="22" s="1"/>
  <c r="M14" i="14" s="1"/>
  <c r="K22" i="17" s="1"/>
  <c r="J82" i="15" s="1"/>
  <c r="P47" i="22"/>
  <c r="P77" i="22" s="1"/>
  <c r="V33" i="22"/>
  <c r="R215" i="14"/>
  <c r="Q240" i="14"/>
  <c r="N83" i="22"/>
  <c r="N7" i="22" s="1"/>
  <c r="I37" i="18"/>
  <c r="G34" i="18"/>
  <c r="O51" i="22"/>
  <c r="O81" i="22" s="1"/>
  <c r="U37" i="22"/>
  <c r="O137" i="22"/>
  <c r="O149" i="22" s="1"/>
  <c r="N53" i="22"/>
  <c r="N90" i="22" s="1"/>
  <c r="N92" i="22" s="1"/>
  <c r="N8" i="22" s="1"/>
  <c r="O74" i="22"/>
  <c r="G10" i="18"/>
  <c r="F71" i="15" s="1"/>
  <c r="N150" i="22"/>
  <c r="N10" i="22" s="1"/>
  <c r="V38" i="22"/>
  <c r="P52" i="22"/>
  <c r="P82" i="22" s="1"/>
  <c r="U32" i="22"/>
  <c r="O46" i="22"/>
  <c r="O76" i="22" s="1"/>
  <c r="F13" i="18"/>
  <c r="F9" i="18" s="1"/>
  <c r="E21" i="17" s="1"/>
  <c r="G13" i="18"/>
  <c r="D350" i="1"/>
  <c r="D238" i="1"/>
  <c r="B260" i="1" s="1"/>
  <c r="G59" i="18"/>
  <c r="G55" i="18" s="1"/>
  <c r="H16" i="18"/>
  <c r="M26" i="17"/>
  <c r="L69" i="15" s="1"/>
  <c r="H48" i="18"/>
  <c r="H44" i="18" s="1"/>
  <c r="J198" i="18"/>
  <c r="I51" i="18"/>
  <c r="I62" i="18" s="1"/>
  <c r="I30" i="18"/>
  <c r="I41" i="18" s="1"/>
  <c r="H27" i="18"/>
  <c r="H23" i="18" s="1"/>
  <c r="Q6" i="18"/>
  <c r="P186" i="18"/>
  <c r="P19" i="18"/>
  <c r="N42" i="19"/>
  <c r="N9" i="19" s="1"/>
  <c r="I195" i="18"/>
  <c r="I191" i="18" s="1"/>
  <c r="J196" i="18"/>
  <c r="I49" i="18"/>
  <c r="I60" i="18" s="1"/>
  <c r="I28" i="18"/>
  <c r="G9" i="18"/>
  <c r="F21" i="17" s="1"/>
  <c r="E75" i="15" s="1"/>
  <c r="C350" i="1"/>
  <c r="H38" i="18"/>
  <c r="H12" i="18"/>
  <c r="H35" i="18"/>
  <c r="C260" i="1"/>
  <c r="G350" i="1"/>
  <c r="H56" i="18"/>
  <c r="H14" i="18"/>
  <c r="N226" i="14"/>
  <c r="M225" i="14"/>
  <c r="N231" i="14"/>
  <c r="M230" i="14"/>
  <c r="B350" i="1"/>
  <c r="E350" i="1"/>
  <c r="F350" i="1"/>
  <c r="H11" i="18"/>
  <c r="H59" i="18"/>
  <c r="I57" i="18"/>
  <c r="I61" i="18"/>
  <c r="I40" i="18"/>
  <c r="I58" i="18"/>
  <c r="I12" i="18" s="1"/>
  <c r="I36" i="18"/>
  <c r="I35" i="18" s="1"/>
  <c r="H15" i="18"/>
  <c r="G343" i="1"/>
  <c r="I61" i="17" s="1"/>
  <c r="K189" i="18"/>
  <c r="J32" i="18"/>
  <c r="J36" i="18" s="1"/>
  <c r="J53" i="18"/>
  <c r="J61" i="18" s="1"/>
  <c r="I256" i="1"/>
  <c r="H332" i="1"/>
  <c r="H334" i="1"/>
  <c r="H362" i="1"/>
  <c r="H355" i="1"/>
  <c r="H272" i="1"/>
  <c r="H328" i="1"/>
  <c r="H338" i="1"/>
  <c r="H271" i="1"/>
  <c r="H361" i="1"/>
  <c r="H329" i="1"/>
  <c r="H333" i="1"/>
  <c r="H327" i="1"/>
  <c r="H350" i="1"/>
  <c r="H337" i="1"/>
  <c r="H339" i="1"/>
  <c r="E360" i="1"/>
  <c r="D360" i="1"/>
  <c r="D372" i="1" s="1"/>
  <c r="F360" i="1"/>
  <c r="B360" i="1"/>
  <c r="C360" i="1"/>
  <c r="G360" i="1"/>
  <c r="D248" i="1"/>
  <c r="H360" i="1"/>
  <c r="I360" i="1"/>
  <c r="G373" i="1"/>
  <c r="Y174" i="1"/>
  <c r="Z174" i="1" s="1"/>
  <c r="AA174" i="1" s="1"/>
  <c r="X197" i="1"/>
  <c r="Y197" i="1" s="1"/>
  <c r="Z197" i="1" s="1"/>
  <c r="AA197" i="1" s="1"/>
  <c r="X175" i="1"/>
  <c r="D61" i="17"/>
  <c r="E61" i="17"/>
  <c r="H61" i="17"/>
  <c r="F61" i="17"/>
  <c r="D351" i="1"/>
  <c r="B351" i="1"/>
  <c r="D239" i="1"/>
  <c r="C351" i="1"/>
  <c r="E351" i="1"/>
  <c r="F351" i="1"/>
  <c r="G351" i="1"/>
  <c r="H351" i="1"/>
  <c r="B356" i="1"/>
  <c r="C356" i="1"/>
  <c r="D244" i="1"/>
  <c r="D356" i="1"/>
  <c r="E356" i="1"/>
  <c r="F356" i="1"/>
  <c r="G356" i="1"/>
  <c r="H356" i="1"/>
  <c r="G61" i="17"/>
  <c r="P49" i="13"/>
  <c r="Q48" i="13"/>
  <c r="P188" i="13"/>
  <c r="P183" i="13"/>
  <c r="P190" i="13"/>
  <c r="P178" i="13"/>
  <c r="P186" i="13"/>
  <c r="P200" i="13"/>
  <c r="P176" i="13"/>
  <c r="P187" i="13"/>
  <c r="P193" i="13"/>
  <c r="P181" i="13"/>
  <c r="P185" i="13"/>
  <c r="P180" i="13"/>
  <c r="P189" i="13"/>
  <c r="P194" i="13"/>
  <c r="P182" i="13"/>
  <c r="P195" i="13"/>
  <c r="P184" i="13"/>
  <c r="P177" i="13"/>
  <c r="P179" i="13"/>
  <c r="P192" i="13"/>
  <c r="P191" i="13"/>
  <c r="Q154" i="13"/>
  <c r="Q157" i="13"/>
  <c r="Q164" i="13"/>
  <c r="Q165" i="13"/>
  <c r="Q159" i="13"/>
  <c r="Q155" i="13"/>
  <c r="Q161" i="13"/>
  <c r="Q175" i="13"/>
  <c r="Q170" i="13"/>
  <c r="Q156" i="13"/>
  <c r="Q168" i="13"/>
  <c r="Q152" i="13"/>
  <c r="Q151" i="13"/>
  <c r="Q167" i="13"/>
  <c r="Q160" i="13"/>
  <c r="Q166" i="13"/>
  <c r="Q158" i="13"/>
  <c r="Q162" i="13"/>
  <c r="Q163" i="13"/>
  <c r="Q169" i="13"/>
  <c r="Q153" i="13"/>
  <c r="N221" i="13"/>
  <c r="N223" i="13" s="1"/>
  <c r="M63" i="17" s="1"/>
  <c r="K126" i="13"/>
  <c r="K131" i="13" s="1"/>
  <c r="D143" i="13" s="1"/>
  <c r="D144" i="13" s="1"/>
  <c r="L120" i="13"/>
  <c r="S96" i="13"/>
  <c r="R150" i="13"/>
  <c r="O196" i="13"/>
  <c r="O198" i="13" s="1"/>
  <c r="O216" i="13"/>
  <c r="O212" i="13"/>
  <c r="O214" i="13"/>
  <c r="O215" i="13"/>
  <c r="O218" i="13"/>
  <c r="O217" i="13"/>
  <c r="O203" i="13"/>
  <c r="O219" i="13"/>
  <c r="O204" i="13"/>
  <c r="O207" i="13"/>
  <c r="O202" i="13"/>
  <c r="O213" i="13"/>
  <c r="O211" i="13"/>
  <c r="O209" i="13"/>
  <c r="O210" i="13"/>
  <c r="O208" i="13"/>
  <c r="O205" i="13"/>
  <c r="O201" i="13"/>
  <c r="O206" i="13"/>
  <c r="O220" i="13"/>
  <c r="P171" i="13"/>
  <c r="P173" i="13" s="1"/>
  <c r="S21" i="19"/>
  <c r="T16" i="19"/>
  <c r="S26" i="19"/>
  <c r="U33" i="19"/>
  <c r="U36" i="19" s="1"/>
  <c r="U39" i="19" s="1"/>
  <c r="U34" i="19"/>
  <c r="U37" i="19" s="1"/>
  <c r="V32" i="19"/>
  <c r="U35" i="19"/>
  <c r="U40" i="19" s="1"/>
  <c r="R20" i="19"/>
  <c r="R23" i="19" s="1"/>
  <c r="R19" i="19"/>
  <c r="R22" i="19" s="1"/>
  <c r="R25" i="19" s="1"/>
  <c r="S18" i="19"/>
  <c r="Y102" i="13"/>
  <c r="Y18" i="14"/>
  <c r="AC106" i="13"/>
  <c r="K25" i="18"/>
  <c r="K46" i="18"/>
  <c r="L193" i="18"/>
  <c r="L118" i="13"/>
  <c r="K125" i="13"/>
  <c r="K130" i="13" s="1"/>
  <c r="C143" i="13" s="1"/>
  <c r="K50" i="18"/>
  <c r="L197" i="18"/>
  <c r="K29" i="18"/>
  <c r="N213" i="14" l="1"/>
  <c r="O214" i="14"/>
  <c r="N239" i="14"/>
  <c r="N238" i="14" s="1"/>
  <c r="P46" i="22"/>
  <c r="P76" i="22" s="1"/>
  <c r="V32" i="22"/>
  <c r="O150" i="22"/>
  <c r="O10" i="22" s="1"/>
  <c r="W33" i="22"/>
  <c r="Q47" i="22"/>
  <c r="Q77" i="22" s="1"/>
  <c r="S215" i="14"/>
  <c r="R240" i="14"/>
  <c r="P51" i="22"/>
  <c r="P81" i="22" s="1"/>
  <c r="V37" i="22"/>
  <c r="P137" i="22"/>
  <c r="P149" i="22" s="1"/>
  <c r="P220" i="14"/>
  <c r="O245" i="14"/>
  <c r="P45" i="22"/>
  <c r="P75" i="22" s="1"/>
  <c r="V31" i="22"/>
  <c r="P50" i="22"/>
  <c r="P80" i="22" s="1"/>
  <c r="V36" i="22"/>
  <c r="P136" i="22"/>
  <c r="P148" i="22" s="1"/>
  <c r="O53" i="22"/>
  <c r="O90" i="22" s="1"/>
  <c r="O92" i="22" s="1"/>
  <c r="O8" i="22" s="1"/>
  <c r="Q52" i="22"/>
  <c r="Q82" i="22" s="1"/>
  <c r="W38" i="22"/>
  <c r="H42" i="18"/>
  <c r="H43" i="18" s="1"/>
  <c r="M128" i="22"/>
  <c r="L131" i="22"/>
  <c r="L9" i="22" s="1"/>
  <c r="L11" i="22" s="1"/>
  <c r="N14" i="14" s="1"/>
  <c r="L22" i="17" s="1"/>
  <c r="K82" i="15" s="1"/>
  <c r="P74" i="22"/>
  <c r="N252" i="14"/>
  <c r="O16" i="14"/>
  <c r="M30" i="17" s="1"/>
  <c r="J26" i="18"/>
  <c r="J24" i="18" s="1"/>
  <c r="K194" i="18"/>
  <c r="J192" i="18"/>
  <c r="J47" i="18"/>
  <c r="J45" i="18" s="1"/>
  <c r="N218" i="14"/>
  <c r="O219" i="14"/>
  <c r="N244" i="14"/>
  <c r="N243" i="14" s="1"/>
  <c r="P15" i="14" s="1"/>
  <c r="N28" i="17" s="1"/>
  <c r="Q44" i="22"/>
  <c r="W30" i="22"/>
  <c r="V34" i="22"/>
  <c r="P48" i="22"/>
  <c r="P78" i="22" s="1"/>
  <c r="O83" i="22"/>
  <c r="O7" i="22" s="1"/>
  <c r="P49" i="22"/>
  <c r="P79" i="22" s="1"/>
  <c r="V35" i="22"/>
  <c r="P135" i="22"/>
  <c r="P147" i="22" s="1"/>
  <c r="P150" i="22" s="1"/>
  <c r="P10" i="22" s="1"/>
  <c r="D75" i="15"/>
  <c r="E20" i="17"/>
  <c r="H13" i="18"/>
  <c r="H55" i="18"/>
  <c r="N26" i="17"/>
  <c r="M69" i="15" s="1"/>
  <c r="J195" i="18"/>
  <c r="J191" i="18" s="1"/>
  <c r="J28" i="18"/>
  <c r="J39" i="18" s="1"/>
  <c r="J49" i="18"/>
  <c r="K196" i="18"/>
  <c r="I16" i="18"/>
  <c r="Q186" i="18"/>
  <c r="R6" i="18"/>
  <c r="J30" i="18"/>
  <c r="J41" i="18" s="1"/>
  <c r="J51" i="18"/>
  <c r="J62" i="18" s="1"/>
  <c r="K198" i="18"/>
  <c r="I27" i="18"/>
  <c r="I23" i="18" s="1"/>
  <c r="I39" i="18"/>
  <c r="I14" i="18" s="1"/>
  <c r="I48" i="18"/>
  <c r="I44" i="18" s="1"/>
  <c r="Q19" i="18"/>
  <c r="O42" i="19"/>
  <c r="O9" i="19" s="1"/>
  <c r="H10" i="18"/>
  <c r="G71" i="15" s="1"/>
  <c r="G372" i="1"/>
  <c r="C372" i="1"/>
  <c r="H260" i="1"/>
  <c r="H34" i="18"/>
  <c r="G260" i="1"/>
  <c r="E310" i="1"/>
  <c r="F310" i="1" s="1"/>
  <c r="D260" i="1"/>
  <c r="E260" i="1"/>
  <c r="I59" i="18"/>
  <c r="F20" i="17"/>
  <c r="E372" i="1"/>
  <c r="F260" i="1"/>
  <c r="I11" i="18"/>
  <c r="I10" i="18" s="1"/>
  <c r="N225" i="14"/>
  <c r="O226" i="14"/>
  <c r="O231" i="14"/>
  <c r="N230" i="14"/>
  <c r="B372" i="1"/>
  <c r="F372" i="1"/>
  <c r="H373" i="1"/>
  <c r="I56" i="18"/>
  <c r="J40" i="18"/>
  <c r="J15" i="18" s="1"/>
  <c r="I15" i="18"/>
  <c r="D270" i="1"/>
  <c r="E270" i="1"/>
  <c r="G270" i="1"/>
  <c r="I270" i="1"/>
  <c r="F270" i="1"/>
  <c r="E318" i="1"/>
  <c r="F318" i="1" s="1"/>
  <c r="E248" i="1"/>
  <c r="B270" i="1"/>
  <c r="E250" i="1"/>
  <c r="H270" i="1"/>
  <c r="C270" i="1"/>
  <c r="E249" i="1"/>
  <c r="H343" i="1"/>
  <c r="J61" i="17" s="1"/>
  <c r="I328" i="1"/>
  <c r="I351" i="1"/>
  <c r="J256" i="1"/>
  <c r="J270" i="1" s="1"/>
  <c r="I339" i="1"/>
  <c r="I332" i="1"/>
  <c r="I355" i="1"/>
  <c r="I329" i="1"/>
  <c r="I350" i="1"/>
  <c r="I271" i="1"/>
  <c r="I338" i="1"/>
  <c r="I333" i="1"/>
  <c r="I362" i="1"/>
  <c r="I361" i="1"/>
  <c r="I337" i="1"/>
  <c r="I272" i="1"/>
  <c r="I327" i="1"/>
  <c r="I356" i="1"/>
  <c r="I265" i="1"/>
  <c r="I334" i="1"/>
  <c r="J57" i="18"/>
  <c r="J11" i="18" s="1"/>
  <c r="Y175" i="1"/>
  <c r="Z175" i="1" s="1"/>
  <c r="AA175" i="1" s="1"/>
  <c r="X176" i="1"/>
  <c r="X198" i="1"/>
  <c r="Y198" i="1" s="1"/>
  <c r="Z198" i="1" s="1"/>
  <c r="AA198" i="1" s="1"/>
  <c r="J58" i="18"/>
  <c r="I260" i="1"/>
  <c r="H372" i="1"/>
  <c r="K32" i="18"/>
  <c r="K40" i="18" s="1"/>
  <c r="L189" i="18"/>
  <c r="K53" i="18"/>
  <c r="E315" i="1"/>
  <c r="F315" i="1" s="1"/>
  <c r="B266" i="1"/>
  <c r="C266" i="1"/>
  <c r="D266" i="1"/>
  <c r="E266" i="1"/>
  <c r="F266" i="1"/>
  <c r="G266" i="1"/>
  <c r="H266" i="1"/>
  <c r="I266" i="1"/>
  <c r="E311" i="1"/>
  <c r="F311" i="1" s="1"/>
  <c r="D261" i="1"/>
  <c r="F261" i="1"/>
  <c r="E261" i="1"/>
  <c r="C261" i="1"/>
  <c r="B261" i="1"/>
  <c r="G261" i="1"/>
  <c r="H261" i="1"/>
  <c r="I261" i="1"/>
  <c r="Q189" i="13"/>
  <c r="Q182" i="13"/>
  <c r="Q190" i="13"/>
  <c r="Q194" i="13"/>
  <c r="Q176" i="13"/>
  <c r="Q180" i="13"/>
  <c r="Q192" i="13"/>
  <c r="Q179" i="13"/>
  <c r="Q191" i="13"/>
  <c r="Q178" i="13"/>
  <c r="Q187" i="13"/>
  <c r="Q184" i="13"/>
  <c r="Q195" i="13"/>
  <c r="Q183" i="13"/>
  <c r="Q177" i="13"/>
  <c r="Q181" i="13"/>
  <c r="Q186" i="13"/>
  <c r="Q185" i="13"/>
  <c r="Q188" i="13"/>
  <c r="Q193" i="13"/>
  <c r="Q200" i="13"/>
  <c r="Q49" i="13"/>
  <c r="R48" i="13"/>
  <c r="R167" i="13"/>
  <c r="R161" i="13"/>
  <c r="R152" i="13"/>
  <c r="R160" i="13"/>
  <c r="R155" i="13"/>
  <c r="R154" i="13"/>
  <c r="R163" i="13"/>
  <c r="R151" i="13"/>
  <c r="R170" i="13"/>
  <c r="R159" i="13"/>
  <c r="R156" i="13"/>
  <c r="R175" i="13"/>
  <c r="R153" i="13"/>
  <c r="R164" i="13"/>
  <c r="R158" i="13"/>
  <c r="R169" i="13"/>
  <c r="R157" i="13"/>
  <c r="R166" i="13"/>
  <c r="R165" i="13"/>
  <c r="R162" i="13"/>
  <c r="R168" i="13"/>
  <c r="P196" i="13"/>
  <c r="P198" i="13" s="1"/>
  <c r="M120" i="13"/>
  <c r="L126" i="13"/>
  <c r="L131" i="13" s="1"/>
  <c r="O221" i="13"/>
  <c r="O223" i="13" s="1"/>
  <c r="N63" i="17" s="1"/>
  <c r="S150" i="13"/>
  <c r="T96" i="13"/>
  <c r="Q171" i="13"/>
  <c r="Q173" i="13" s="1"/>
  <c r="P212" i="13"/>
  <c r="P217" i="13"/>
  <c r="P205" i="13"/>
  <c r="P208" i="13"/>
  <c r="P201" i="13"/>
  <c r="P216" i="13"/>
  <c r="P206" i="13"/>
  <c r="P214" i="13"/>
  <c r="P209" i="13"/>
  <c r="P211" i="13"/>
  <c r="P220" i="13"/>
  <c r="P210" i="13"/>
  <c r="P203" i="13"/>
  <c r="P207" i="13"/>
  <c r="P219" i="13"/>
  <c r="P218" i="13"/>
  <c r="P213" i="13"/>
  <c r="P202" i="13"/>
  <c r="P204" i="13"/>
  <c r="P215" i="13"/>
  <c r="W32" i="19"/>
  <c r="V33" i="19"/>
  <c r="V36" i="19" s="1"/>
  <c r="V39" i="19" s="1"/>
  <c r="V34" i="19"/>
  <c r="V37" i="19" s="1"/>
  <c r="V35" i="19"/>
  <c r="V40" i="19" s="1"/>
  <c r="S19" i="19"/>
  <c r="S22" i="19" s="1"/>
  <c r="S25" i="19" s="1"/>
  <c r="S20" i="19"/>
  <c r="S23" i="19" s="1"/>
  <c r="T18" i="19"/>
  <c r="T21" i="19" s="1"/>
  <c r="T26" i="19" s="1"/>
  <c r="U16" i="19"/>
  <c r="Z102" i="13"/>
  <c r="Z18" i="14"/>
  <c r="L46" i="18"/>
  <c r="M193" i="18"/>
  <c r="L25" i="18"/>
  <c r="AD106" i="13"/>
  <c r="C144" i="13"/>
  <c r="L29" i="18"/>
  <c r="M197" i="18"/>
  <c r="L50" i="18"/>
  <c r="M118" i="13"/>
  <c r="L125" i="13"/>
  <c r="L130" i="13" s="1"/>
  <c r="X30" i="22" l="1"/>
  <c r="R44" i="22"/>
  <c r="R52" i="22"/>
  <c r="R82" i="22" s="1"/>
  <c r="X38" i="22"/>
  <c r="X33" i="22"/>
  <c r="R47" i="22"/>
  <c r="R77" i="22" s="1"/>
  <c r="Q74" i="22"/>
  <c r="Q83" i="22" s="1"/>
  <c r="Q7" i="22" s="1"/>
  <c r="Q220" i="14"/>
  <c r="P245" i="14"/>
  <c r="L194" i="18"/>
  <c r="K26" i="18"/>
  <c r="K24" i="18" s="1"/>
  <c r="K192" i="18"/>
  <c r="K47" i="18"/>
  <c r="K45" i="18" s="1"/>
  <c r="O252" i="14"/>
  <c r="P16" i="14"/>
  <c r="N30" i="17" s="1"/>
  <c r="Q49" i="22"/>
  <c r="Q79" i="22" s="1"/>
  <c r="W35" i="22"/>
  <c r="Q135" i="22"/>
  <c r="Q147" i="22" s="1"/>
  <c r="O218" i="14"/>
  <c r="P219" i="14"/>
  <c r="O244" i="14"/>
  <c r="O243" i="14" s="1"/>
  <c r="Q15" i="14" s="1"/>
  <c r="O28" i="17" s="1"/>
  <c r="P83" i="22"/>
  <c r="P7" i="22" s="1"/>
  <c r="Q51" i="22"/>
  <c r="Q81" i="22" s="1"/>
  <c r="W37" i="22"/>
  <c r="Q137" i="22"/>
  <c r="Q149" i="22" s="1"/>
  <c r="P53" i="22"/>
  <c r="P90" i="22" s="1"/>
  <c r="P92" i="22" s="1"/>
  <c r="P8" i="22" s="1"/>
  <c r="W36" i="22"/>
  <c r="Q50" i="22"/>
  <c r="Q80" i="22" s="1"/>
  <c r="Q136" i="22"/>
  <c r="Q148" i="22" s="1"/>
  <c r="W32" i="22"/>
  <c r="Q46" i="22"/>
  <c r="Q76" i="22" s="1"/>
  <c r="J37" i="18"/>
  <c r="J35" i="18" s="1"/>
  <c r="O213" i="14"/>
  <c r="P214" i="14"/>
  <c r="O239" i="14"/>
  <c r="O238" i="14" s="1"/>
  <c r="Q48" i="22"/>
  <c r="Q78" i="22" s="1"/>
  <c r="W34" i="22"/>
  <c r="N128" i="22"/>
  <c r="M131" i="22"/>
  <c r="M9" i="22" s="1"/>
  <c r="M11" i="22" s="1"/>
  <c r="O14" i="14" s="1"/>
  <c r="M22" i="17" s="1"/>
  <c r="L82" i="15" s="1"/>
  <c r="Q45" i="22"/>
  <c r="Q75" i="22" s="1"/>
  <c r="W31" i="22"/>
  <c r="S240" i="14"/>
  <c r="T215" i="14"/>
  <c r="H71" i="15"/>
  <c r="I13" i="18"/>
  <c r="I9" i="18" s="1"/>
  <c r="H21" i="17" s="1"/>
  <c r="O26" i="17"/>
  <c r="N69" i="15" s="1"/>
  <c r="I42" i="18"/>
  <c r="I43" i="18" s="1"/>
  <c r="I38" i="18"/>
  <c r="I34" i="18" s="1"/>
  <c r="H9" i="18"/>
  <c r="G21" i="17" s="1"/>
  <c r="F75" i="15" s="1"/>
  <c r="R19" i="18"/>
  <c r="P42" i="19"/>
  <c r="P9" i="19" s="1"/>
  <c r="L196" i="18"/>
  <c r="K28" i="18"/>
  <c r="K49" i="18"/>
  <c r="K60" i="18" s="1"/>
  <c r="K195" i="18"/>
  <c r="R186" i="18"/>
  <c r="S6" i="18"/>
  <c r="J48" i="18"/>
  <c r="J44" i="18" s="1"/>
  <c r="J60" i="18"/>
  <c r="J14" i="18" s="1"/>
  <c r="K30" i="18"/>
  <c r="K41" i="18" s="1"/>
  <c r="K51" i="18"/>
  <c r="K62" i="18" s="1"/>
  <c r="L198" i="18"/>
  <c r="J27" i="18"/>
  <c r="J23" i="18" s="1"/>
  <c r="I55" i="18"/>
  <c r="J56" i="18"/>
  <c r="K57" i="18"/>
  <c r="K36" i="18"/>
  <c r="J16" i="18"/>
  <c r="P231" i="14"/>
  <c r="O230" i="14"/>
  <c r="O225" i="14"/>
  <c r="P226" i="14"/>
  <c r="I373" i="1"/>
  <c r="J38" i="18"/>
  <c r="J34" i="18" s="1"/>
  <c r="J12" i="18"/>
  <c r="J10" i="18" s="1"/>
  <c r="I71" i="15" s="1"/>
  <c r="K37" i="18"/>
  <c r="K58" i="18"/>
  <c r="K61" i="18"/>
  <c r="K15" i="18" s="1"/>
  <c r="J350" i="1"/>
  <c r="K256" i="1"/>
  <c r="J351" i="1"/>
  <c r="J356" i="1"/>
  <c r="J328" i="1"/>
  <c r="J266" i="1"/>
  <c r="J332" i="1"/>
  <c r="J360" i="1"/>
  <c r="J272" i="1"/>
  <c r="J355" i="1"/>
  <c r="J260" i="1"/>
  <c r="J339" i="1"/>
  <c r="J327" i="1"/>
  <c r="J265" i="1"/>
  <c r="J337" i="1"/>
  <c r="J271" i="1"/>
  <c r="J362" i="1"/>
  <c r="J333" i="1"/>
  <c r="J338" i="1"/>
  <c r="J361" i="1"/>
  <c r="J334" i="1"/>
  <c r="J329" i="1"/>
  <c r="F13" i="14"/>
  <c r="F11" i="14" s="1"/>
  <c r="D18" i="17"/>
  <c r="C81" i="15" s="1"/>
  <c r="C80" i="15" s="1"/>
  <c r="M13" i="14"/>
  <c r="M11" i="14" s="1"/>
  <c r="M21" i="14" s="1"/>
  <c r="K18" i="17"/>
  <c r="J81" i="15" s="1"/>
  <c r="J80" i="15" s="1"/>
  <c r="G13" i="14"/>
  <c r="G11" i="14" s="1"/>
  <c r="G21" i="14" s="1"/>
  <c r="E18" i="17"/>
  <c r="D81" i="15" s="1"/>
  <c r="D80" i="15" s="1"/>
  <c r="K13" i="14"/>
  <c r="K11" i="14" s="1"/>
  <c r="K21" i="14" s="1"/>
  <c r="I18" i="17"/>
  <c r="H81" i="15" s="1"/>
  <c r="H80" i="15" s="1"/>
  <c r="L53" i="18"/>
  <c r="L32" i="18"/>
  <c r="L36" i="18" s="1"/>
  <c r="M189" i="18"/>
  <c r="L13" i="14"/>
  <c r="L11" i="14" s="1"/>
  <c r="L21" i="14" s="1"/>
  <c r="J18" i="17"/>
  <c r="I81" i="15" s="1"/>
  <c r="I80" i="15" s="1"/>
  <c r="I13" i="14"/>
  <c r="I11" i="14" s="1"/>
  <c r="I21" i="14" s="1"/>
  <c r="G18" i="17"/>
  <c r="F81" i="15" s="1"/>
  <c r="F80" i="15" s="1"/>
  <c r="X199" i="1"/>
  <c r="Y199" i="1" s="1"/>
  <c r="Z199" i="1" s="1"/>
  <c r="Y176" i="1"/>
  <c r="Z176" i="1" s="1"/>
  <c r="I343" i="1"/>
  <c r="K61" i="17" s="1"/>
  <c r="I372" i="1"/>
  <c r="H18" i="17"/>
  <c r="G81" i="15" s="1"/>
  <c r="G80" i="15" s="1"/>
  <c r="J13" i="14"/>
  <c r="J11" i="14" s="1"/>
  <c r="J21" i="14" s="1"/>
  <c r="H13" i="14"/>
  <c r="H11" i="14" s="1"/>
  <c r="H21" i="14" s="1"/>
  <c r="F18" i="17"/>
  <c r="E81" i="15" s="1"/>
  <c r="E80" i="15" s="1"/>
  <c r="J261" i="1"/>
  <c r="S159" i="13"/>
  <c r="S162" i="13"/>
  <c r="S154" i="13"/>
  <c r="S168" i="13"/>
  <c r="S165" i="13"/>
  <c r="S161" i="13"/>
  <c r="S167" i="13"/>
  <c r="S152" i="13"/>
  <c r="S163" i="13"/>
  <c r="S155" i="13"/>
  <c r="S157" i="13"/>
  <c r="S153" i="13"/>
  <c r="S160" i="13"/>
  <c r="S156" i="13"/>
  <c r="S166" i="13"/>
  <c r="S175" i="13"/>
  <c r="S164" i="13"/>
  <c r="S169" i="13"/>
  <c r="S158" i="13"/>
  <c r="S170" i="13"/>
  <c r="S151" i="13"/>
  <c r="P221" i="13"/>
  <c r="P223" i="13" s="1"/>
  <c r="O63" i="17" s="1"/>
  <c r="S48" i="13"/>
  <c r="R49" i="13"/>
  <c r="N120" i="13"/>
  <c r="M126" i="13"/>
  <c r="M131" i="13" s="1"/>
  <c r="U96" i="13"/>
  <c r="T150" i="13"/>
  <c r="R191" i="13"/>
  <c r="R192" i="13"/>
  <c r="R193" i="13"/>
  <c r="R178" i="13"/>
  <c r="R180" i="13"/>
  <c r="R200" i="13"/>
  <c r="R189" i="13"/>
  <c r="R194" i="13"/>
  <c r="R195" i="13"/>
  <c r="R185" i="13"/>
  <c r="R183" i="13"/>
  <c r="R184" i="13"/>
  <c r="R182" i="13"/>
  <c r="R187" i="13"/>
  <c r="R186" i="13"/>
  <c r="R179" i="13"/>
  <c r="R188" i="13"/>
  <c r="R190" i="13"/>
  <c r="R177" i="13"/>
  <c r="R176" i="13"/>
  <c r="R181" i="13"/>
  <c r="R171" i="13"/>
  <c r="R173" i="13" s="1"/>
  <c r="Q205" i="13"/>
  <c r="Q209" i="13"/>
  <c r="Q210" i="13"/>
  <c r="Q206" i="13"/>
  <c r="Q207" i="13"/>
  <c r="Q218" i="13"/>
  <c r="Q213" i="13"/>
  <c r="Q220" i="13"/>
  <c r="Q208" i="13"/>
  <c r="Q204" i="13"/>
  <c r="Q212" i="13"/>
  <c r="Q219" i="13"/>
  <c r="Q201" i="13"/>
  <c r="Q202" i="13"/>
  <c r="Q216" i="13"/>
  <c r="Q217" i="13"/>
  <c r="Q211" i="13"/>
  <c r="Q214" i="13"/>
  <c r="Q203" i="13"/>
  <c r="Q215" i="13"/>
  <c r="Q196" i="13"/>
  <c r="Q198" i="13" s="1"/>
  <c r="V16" i="19"/>
  <c r="T19" i="19"/>
  <c r="T22" i="19" s="1"/>
  <c r="T25" i="19" s="1"/>
  <c r="U18" i="19"/>
  <c r="T20" i="19"/>
  <c r="T23" i="19" s="1"/>
  <c r="W33" i="19"/>
  <c r="W36" i="19" s="1"/>
  <c r="W39" i="19" s="1"/>
  <c r="X32" i="19"/>
  <c r="W34" i="19"/>
  <c r="W37" i="19" s="1"/>
  <c r="W35" i="19"/>
  <c r="W40" i="19" s="1"/>
  <c r="AA102" i="13"/>
  <c r="M29" i="18"/>
  <c r="N197" i="18"/>
  <c r="M50" i="18"/>
  <c r="M25" i="18"/>
  <c r="M46" i="18"/>
  <c r="N193" i="18"/>
  <c r="AE106" i="13"/>
  <c r="N118" i="13"/>
  <c r="M125" i="13"/>
  <c r="M130" i="13" s="1"/>
  <c r="N131" i="22" l="1"/>
  <c r="N9" i="22" s="1"/>
  <c r="N11" i="22" s="1"/>
  <c r="P14" i="14" s="1"/>
  <c r="N22" i="17" s="1"/>
  <c r="M82" i="15" s="1"/>
  <c r="O128" i="22"/>
  <c r="X32" i="22"/>
  <c r="R46" i="22"/>
  <c r="R76" i="22" s="1"/>
  <c r="P252" i="14"/>
  <c r="Q16" i="14"/>
  <c r="O30" i="17" s="1"/>
  <c r="Q53" i="22"/>
  <c r="Q90" i="22" s="1"/>
  <c r="Q92" i="22" s="1"/>
  <c r="Q8" i="22" s="1"/>
  <c r="J13" i="18"/>
  <c r="J9" i="18" s="1"/>
  <c r="I21" i="17" s="1"/>
  <c r="H75" i="15" s="1"/>
  <c r="X34" i="22"/>
  <c r="R48" i="22"/>
  <c r="R78" i="22" s="1"/>
  <c r="Q219" i="14"/>
  <c r="P218" i="14"/>
  <c r="P244" i="14"/>
  <c r="P243" i="14" s="1"/>
  <c r="R15" i="14" s="1"/>
  <c r="P28" i="17" s="1"/>
  <c r="Y33" i="22"/>
  <c r="S47" i="22"/>
  <c r="S77" i="22" s="1"/>
  <c r="U215" i="14"/>
  <c r="T240" i="14"/>
  <c r="R50" i="22"/>
  <c r="R80" i="22" s="1"/>
  <c r="X36" i="22"/>
  <c r="R136" i="22"/>
  <c r="R148" i="22" s="1"/>
  <c r="Y38" i="22"/>
  <c r="S52" i="22"/>
  <c r="S82" i="22" s="1"/>
  <c r="Q214" i="14"/>
  <c r="P213" i="14"/>
  <c r="P239" i="14"/>
  <c r="P238" i="14" s="1"/>
  <c r="Q150" i="22"/>
  <c r="Q10" i="22" s="1"/>
  <c r="L47" i="18"/>
  <c r="L45" i="18" s="1"/>
  <c r="L26" i="18"/>
  <c r="L24" i="18" s="1"/>
  <c r="L192" i="18"/>
  <c r="M194" i="18"/>
  <c r="X31" i="22"/>
  <c r="R45" i="22"/>
  <c r="R75" i="22" s="1"/>
  <c r="X35" i="22"/>
  <c r="R49" i="22"/>
  <c r="R79" i="22" s="1"/>
  <c r="R135" i="22"/>
  <c r="R147" i="22" s="1"/>
  <c r="R150" i="22" s="1"/>
  <c r="R10" i="22" s="1"/>
  <c r="R74" i="22"/>
  <c r="K191" i="18"/>
  <c r="R51" i="22"/>
  <c r="R81" i="22" s="1"/>
  <c r="X37" i="22"/>
  <c r="R137" i="22"/>
  <c r="R149" i="22" s="1"/>
  <c r="R220" i="14"/>
  <c r="Q245" i="14"/>
  <c r="S44" i="22"/>
  <c r="Y30" i="22"/>
  <c r="G20" i="17"/>
  <c r="K56" i="18"/>
  <c r="P26" i="17"/>
  <c r="O69" i="15" s="1"/>
  <c r="K16" i="18"/>
  <c r="J42" i="18"/>
  <c r="J43" i="18" s="1"/>
  <c r="K27" i="18"/>
  <c r="K23" i="18" s="1"/>
  <c r="K39" i="18"/>
  <c r="K14" i="18" s="1"/>
  <c r="L51" i="18"/>
  <c r="M198" i="18"/>
  <c r="L30" i="18"/>
  <c r="L41" i="18" s="1"/>
  <c r="M196" i="18"/>
  <c r="L195" i="18"/>
  <c r="L28" i="18"/>
  <c r="L39" i="18" s="1"/>
  <c r="L49" i="18"/>
  <c r="J59" i="18"/>
  <c r="J55" i="18" s="1"/>
  <c r="S186" i="18"/>
  <c r="T6" i="18"/>
  <c r="L62" i="18"/>
  <c r="K48" i="18"/>
  <c r="K44" i="18" s="1"/>
  <c r="S19" i="18"/>
  <c r="Q42" i="19"/>
  <c r="Q9" i="19" s="1"/>
  <c r="K11" i="18"/>
  <c r="K35" i="18"/>
  <c r="K59" i="18"/>
  <c r="Q226" i="14"/>
  <c r="P225" i="14"/>
  <c r="Q231" i="14"/>
  <c r="P230" i="14"/>
  <c r="L57" i="18"/>
  <c r="L11" i="18" s="1"/>
  <c r="K12" i="18"/>
  <c r="L58" i="18"/>
  <c r="J373" i="1"/>
  <c r="AA199" i="1"/>
  <c r="AA200" i="1" s="1"/>
  <c r="Z200" i="1"/>
  <c r="L256" i="1"/>
  <c r="K328" i="1"/>
  <c r="K350" i="1"/>
  <c r="K355" i="1"/>
  <c r="K351" i="1"/>
  <c r="K333" i="1"/>
  <c r="K360" i="1"/>
  <c r="K261" i="1"/>
  <c r="K361" i="1"/>
  <c r="K332" i="1"/>
  <c r="K271" i="1"/>
  <c r="K339" i="1"/>
  <c r="K362" i="1"/>
  <c r="K334" i="1"/>
  <c r="K337" i="1"/>
  <c r="K329" i="1"/>
  <c r="K270" i="1"/>
  <c r="K260" i="1"/>
  <c r="K265" i="1"/>
  <c r="K356" i="1"/>
  <c r="K327" i="1"/>
  <c r="K266" i="1"/>
  <c r="K272" i="1"/>
  <c r="K338" i="1"/>
  <c r="L40" i="18"/>
  <c r="J343" i="1"/>
  <c r="L61" i="17" s="1"/>
  <c r="J372" i="1"/>
  <c r="L37" i="18"/>
  <c r="L18" i="17"/>
  <c r="K81" i="15" s="1"/>
  <c r="K80" i="15" s="1"/>
  <c r="N13" i="14"/>
  <c r="N11" i="14" s="1"/>
  <c r="N21" i="14" s="1"/>
  <c r="AA176" i="1"/>
  <c r="AA177" i="1" s="1"/>
  <c r="Z177" i="1"/>
  <c r="M32" i="18"/>
  <c r="M53" i="18"/>
  <c r="N189" i="18"/>
  <c r="L61" i="18"/>
  <c r="R207" i="13"/>
  <c r="R213" i="13"/>
  <c r="R210" i="13"/>
  <c r="R204" i="13"/>
  <c r="R217" i="13"/>
  <c r="R206" i="13"/>
  <c r="R203" i="13"/>
  <c r="R211" i="13"/>
  <c r="R219" i="13"/>
  <c r="R201" i="13"/>
  <c r="R214" i="13"/>
  <c r="R215" i="13"/>
  <c r="R209" i="13"/>
  <c r="R205" i="13"/>
  <c r="R208" i="13"/>
  <c r="R220" i="13"/>
  <c r="R212" i="13"/>
  <c r="R218" i="13"/>
  <c r="R202" i="13"/>
  <c r="R216" i="13"/>
  <c r="T48" i="13"/>
  <c r="S49" i="13"/>
  <c r="S46" i="13"/>
  <c r="S185" i="13"/>
  <c r="S178" i="13"/>
  <c r="S189" i="13"/>
  <c r="S184" i="13"/>
  <c r="S186" i="13"/>
  <c r="S190" i="13"/>
  <c r="S191" i="13"/>
  <c r="S195" i="13"/>
  <c r="S194" i="13"/>
  <c r="S200" i="13"/>
  <c r="S192" i="13"/>
  <c r="S188" i="13"/>
  <c r="S187" i="13"/>
  <c r="S179" i="13"/>
  <c r="S177" i="13"/>
  <c r="S182" i="13"/>
  <c r="S193" i="13"/>
  <c r="S183" i="13"/>
  <c r="S181" i="13"/>
  <c r="S180" i="13"/>
  <c r="S176" i="13"/>
  <c r="Q221" i="13"/>
  <c r="Q223" i="13" s="1"/>
  <c r="P63" i="17" s="1"/>
  <c r="R196" i="13"/>
  <c r="R198" i="13" s="1"/>
  <c r="T167" i="13"/>
  <c r="T157" i="13"/>
  <c r="T158" i="13"/>
  <c r="T161" i="13"/>
  <c r="T165" i="13"/>
  <c r="T166" i="13"/>
  <c r="T170" i="13"/>
  <c r="T155" i="13"/>
  <c r="T154" i="13"/>
  <c r="T153" i="13"/>
  <c r="T160" i="13"/>
  <c r="T156" i="13"/>
  <c r="T162" i="13"/>
  <c r="T169" i="13"/>
  <c r="T159" i="13"/>
  <c r="T168" i="13"/>
  <c r="T175" i="13"/>
  <c r="T164" i="13"/>
  <c r="T163" i="13"/>
  <c r="T151" i="13"/>
  <c r="T152" i="13"/>
  <c r="N126" i="13"/>
  <c r="N131" i="13" s="1"/>
  <c r="O120" i="13"/>
  <c r="U150" i="13"/>
  <c r="V96" i="13"/>
  <c r="S171" i="13"/>
  <c r="S173" i="13" s="1"/>
  <c r="V18" i="19"/>
  <c r="U19" i="19"/>
  <c r="U22" i="19" s="1"/>
  <c r="U25" i="19" s="1"/>
  <c r="U20" i="19"/>
  <c r="U23" i="19" s="1"/>
  <c r="X33" i="19"/>
  <c r="X36" i="19" s="1"/>
  <c r="X39" i="19" s="1"/>
  <c r="X34" i="19"/>
  <c r="X37" i="19" s="1"/>
  <c r="X35" i="19"/>
  <c r="X40" i="19" s="1"/>
  <c r="V21" i="19"/>
  <c r="V26" i="19" s="1"/>
  <c r="W16" i="19"/>
  <c r="U21" i="19"/>
  <c r="U26" i="19" s="1"/>
  <c r="AB102" i="13"/>
  <c r="G75" i="15"/>
  <c r="H20" i="17"/>
  <c r="O193" i="18"/>
  <c r="N25" i="18"/>
  <c r="N46" i="18"/>
  <c r="AF106" i="13"/>
  <c r="N125" i="13"/>
  <c r="N130" i="13" s="1"/>
  <c r="O118" i="13"/>
  <c r="N50" i="18"/>
  <c r="N29" i="18"/>
  <c r="O197" i="18"/>
  <c r="T47" i="22" l="1"/>
  <c r="T77" i="22" s="1"/>
  <c r="Z33" i="22"/>
  <c r="T44" i="22"/>
  <c r="Z30" i="22"/>
  <c r="R83" i="22"/>
  <c r="R7" i="22" s="1"/>
  <c r="T52" i="22"/>
  <c r="T82" i="22" s="1"/>
  <c r="Z38" i="22"/>
  <c r="Q252" i="14"/>
  <c r="R16" i="14"/>
  <c r="S74" i="22"/>
  <c r="R53" i="22"/>
  <c r="R90" i="22" s="1"/>
  <c r="R92" i="22" s="1"/>
  <c r="R8" i="22" s="1"/>
  <c r="Y37" i="22"/>
  <c r="S51" i="22"/>
  <c r="S81" i="22" s="1"/>
  <c r="S137" i="22"/>
  <c r="S149" i="22" s="1"/>
  <c r="V215" i="14"/>
  <c r="U240" i="14"/>
  <c r="Y31" i="22"/>
  <c r="S45" i="22"/>
  <c r="S75" i="22" s="1"/>
  <c r="S50" i="22"/>
  <c r="S80" i="22" s="1"/>
  <c r="Y36" i="22"/>
  <c r="S136" i="22"/>
  <c r="S148" i="22" s="1"/>
  <c r="Q218" i="14"/>
  <c r="R219" i="14"/>
  <c r="Q244" i="14"/>
  <c r="Q243" i="14" s="1"/>
  <c r="S15" i="14" s="1"/>
  <c r="Y32" i="22"/>
  <c r="S46" i="22"/>
  <c r="S76" i="22" s="1"/>
  <c r="Q213" i="14"/>
  <c r="R214" i="14"/>
  <c r="Q239" i="14"/>
  <c r="Q238" i="14" s="1"/>
  <c r="S220" i="14"/>
  <c r="R245" i="14"/>
  <c r="P128" i="22"/>
  <c r="O131" i="22"/>
  <c r="O9" i="22" s="1"/>
  <c r="O11" i="22" s="1"/>
  <c r="Q14" i="14" s="1"/>
  <c r="O22" i="17" s="1"/>
  <c r="N82" i="15" s="1"/>
  <c r="N194" i="18"/>
  <c r="M47" i="18"/>
  <c r="M45" i="18" s="1"/>
  <c r="M192" i="18"/>
  <c r="M26" i="18"/>
  <c r="M24" i="18" s="1"/>
  <c r="L191" i="18"/>
  <c r="S49" i="22"/>
  <c r="S79" i="22" s="1"/>
  <c r="Y35" i="22"/>
  <c r="S135" i="22"/>
  <c r="S147" i="22" s="1"/>
  <c r="Y34" i="22"/>
  <c r="S48" i="22"/>
  <c r="S78" i="22" s="1"/>
  <c r="K13" i="18"/>
  <c r="K42" i="18"/>
  <c r="K43" i="18" s="1"/>
  <c r="K55" i="18"/>
  <c r="Q26" i="17"/>
  <c r="P69" i="15" s="1"/>
  <c r="L48" i="18"/>
  <c r="L44" i="18" s="1"/>
  <c r="L15" i="18"/>
  <c r="L16" i="18"/>
  <c r="M49" i="18"/>
  <c r="M60" i="18" s="1"/>
  <c r="N196" i="18"/>
  <c r="M195" i="18"/>
  <c r="M191" i="18" s="1"/>
  <c r="M28" i="18"/>
  <c r="M39" i="18" s="1"/>
  <c r="T19" i="18"/>
  <c r="R42" i="19"/>
  <c r="R9" i="19" s="1"/>
  <c r="U6" i="18"/>
  <c r="T186" i="18"/>
  <c r="L27" i="18"/>
  <c r="L23" i="18" s="1"/>
  <c r="M51" i="18"/>
  <c r="M62" i="18" s="1"/>
  <c r="N198" i="18"/>
  <c r="M30" i="18"/>
  <c r="M41" i="18" s="1"/>
  <c r="K38" i="18"/>
  <c r="K34" i="18" s="1"/>
  <c r="L60" i="18"/>
  <c r="L59" i="18" s="1"/>
  <c r="K10" i="18"/>
  <c r="J71" i="15" s="1"/>
  <c r="M36" i="18"/>
  <c r="K343" i="1"/>
  <c r="M61" i="17" s="1"/>
  <c r="K373" i="1"/>
  <c r="I20" i="17"/>
  <c r="R231" i="14"/>
  <c r="Q230" i="14"/>
  <c r="R226" i="14"/>
  <c r="Q225" i="14"/>
  <c r="L56" i="18"/>
  <c r="L12" i="18"/>
  <c r="L10" i="18" s="1"/>
  <c r="K71" i="15" s="1"/>
  <c r="M40" i="18"/>
  <c r="M61" i="18"/>
  <c r="C240" i="1"/>
  <c r="C228" i="1"/>
  <c r="D228" i="1" s="1"/>
  <c r="C233" i="1"/>
  <c r="D233" i="1" s="1"/>
  <c r="O13" i="14"/>
  <c r="O11" i="14" s="1"/>
  <c r="O21" i="14" s="1"/>
  <c r="M18" i="17"/>
  <c r="L81" i="15" s="1"/>
  <c r="L80" i="15" s="1"/>
  <c r="L270" i="1"/>
  <c r="L332" i="1"/>
  <c r="L338" i="1"/>
  <c r="L265" i="1"/>
  <c r="L272" i="1"/>
  <c r="L350" i="1"/>
  <c r="L329" i="1"/>
  <c r="L355" i="1"/>
  <c r="L337" i="1"/>
  <c r="L327" i="1"/>
  <c r="L356" i="1"/>
  <c r="L260" i="1"/>
  <c r="L266" i="1"/>
  <c r="L261" i="1"/>
  <c r="L334" i="1"/>
  <c r="L362" i="1"/>
  <c r="L351" i="1"/>
  <c r="M256" i="1"/>
  <c r="L333" i="1"/>
  <c r="L360" i="1"/>
  <c r="L361" i="1"/>
  <c r="L339" i="1"/>
  <c r="L271" i="1"/>
  <c r="L328" i="1"/>
  <c r="L35" i="18"/>
  <c r="N32" i="18"/>
  <c r="N36" i="18" s="1"/>
  <c r="O189" i="18"/>
  <c r="N53" i="18"/>
  <c r="C234" i="1"/>
  <c r="D234" i="1" s="1"/>
  <c r="C245" i="1"/>
  <c r="L38" i="18"/>
  <c r="K372" i="1"/>
  <c r="M58" i="18"/>
  <c r="M57" i="18"/>
  <c r="M37" i="18"/>
  <c r="S196" i="13"/>
  <c r="S198" i="13" s="1"/>
  <c r="T171" i="13"/>
  <c r="T173" i="13" s="1"/>
  <c r="R221" i="13"/>
  <c r="R223" i="13" s="1"/>
  <c r="Q63" i="17" s="1"/>
  <c r="U164" i="13"/>
  <c r="U168" i="13"/>
  <c r="U154" i="13"/>
  <c r="U158" i="13"/>
  <c r="U163" i="13"/>
  <c r="U175" i="13"/>
  <c r="U166" i="13"/>
  <c r="U159" i="13"/>
  <c r="U169" i="13"/>
  <c r="U160" i="13"/>
  <c r="U161" i="13"/>
  <c r="U165" i="13"/>
  <c r="U156" i="13"/>
  <c r="U155" i="13"/>
  <c r="U170" i="13"/>
  <c r="U167" i="13"/>
  <c r="U157" i="13"/>
  <c r="U162" i="13"/>
  <c r="U151" i="13"/>
  <c r="U152" i="13"/>
  <c r="U153" i="13"/>
  <c r="T190" i="13"/>
  <c r="T184" i="13"/>
  <c r="T186" i="13"/>
  <c r="T183" i="13"/>
  <c r="T179" i="13"/>
  <c r="T188" i="13"/>
  <c r="T178" i="13"/>
  <c r="T195" i="13"/>
  <c r="T191" i="13"/>
  <c r="T185" i="13"/>
  <c r="T180" i="13"/>
  <c r="T189" i="13"/>
  <c r="T200" i="13"/>
  <c r="T181" i="13"/>
  <c r="T187" i="13"/>
  <c r="T182" i="13"/>
  <c r="T193" i="13"/>
  <c r="T192" i="13"/>
  <c r="T194" i="13"/>
  <c r="T177" i="13"/>
  <c r="T176" i="13"/>
  <c r="W96" i="13"/>
  <c r="V150" i="13"/>
  <c r="P120" i="13"/>
  <c r="O126" i="13"/>
  <c r="O131" i="13" s="1"/>
  <c r="S219" i="13"/>
  <c r="S214" i="13"/>
  <c r="S209" i="13"/>
  <c r="S205" i="13"/>
  <c r="S202" i="13"/>
  <c r="S215" i="13"/>
  <c r="S208" i="13"/>
  <c r="S210" i="13"/>
  <c r="S218" i="13"/>
  <c r="S204" i="13"/>
  <c r="S206" i="13"/>
  <c r="S207" i="13"/>
  <c r="S220" i="13"/>
  <c r="S216" i="13"/>
  <c r="S211" i="13"/>
  <c r="S217" i="13"/>
  <c r="S212" i="13"/>
  <c r="S213" i="13"/>
  <c r="S203" i="13"/>
  <c r="U48" i="13"/>
  <c r="T46" i="13"/>
  <c r="T49" i="13"/>
  <c r="X16" i="19"/>
  <c r="W18" i="19"/>
  <c r="W21" i="19" s="1"/>
  <c r="W26" i="19" s="1"/>
  <c r="V19" i="19"/>
  <c r="V22" i="19" s="1"/>
  <c r="V25" i="19" s="1"/>
  <c r="V20" i="19"/>
  <c r="V23" i="19" s="1"/>
  <c r="AC102" i="13"/>
  <c r="O125" i="13"/>
  <c r="O130" i="13" s="1"/>
  <c r="P118" i="13"/>
  <c r="O50" i="18"/>
  <c r="P197" i="18"/>
  <c r="O29" i="18"/>
  <c r="AG106" i="13"/>
  <c r="O25" i="18"/>
  <c r="P193" i="18"/>
  <c r="O46" i="18"/>
  <c r="T220" i="14" l="1"/>
  <c r="S245" i="14"/>
  <c r="S150" i="22"/>
  <c r="S10" i="22" s="1"/>
  <c r="R213" i="14"/>
  <c r="S214" i="14"/>
  <c r="R239" i="14"/>
  <c r="R238" i="14" s="1"/>
  <c r="T50" i="22"/>
  <c r="T80" i="22" s="1"/>
  <c r="Z36" i="22"/>
  <c r="T136" i="22"/>
  <c r="T148" i="22" s="1"/>
  <c r="Z37" i="22"/>
  <c r="T51" i="22"/>
  <c r="T81" i="22" s="1"/>
  <c r="T137" i="22"/>
  <c r="T149" i="22" s="1"/>
  <c r="W215" i="14"/>
  <c r="V240" i="14"/>
  <c r="N58" i="18"/>
  <c r="U52" i="22"/>
  <c r="U82" i="22" s="1"/>
  <c r="AA38" i="22"/>
  <c r="U44" i="22"/>
  <c r="AA30" i="22"/>
  <c r="R252" i="14"/>
  <c r="S16" i="14"/>
  <c r="Q30" i="17" s="1"/>
  <c r="N61" i="18"/>
  <c r="Z34" i="22"/>
  <c r="T48" i="22"/>
  <c r="T78" i="22" s="1"/>
  <c r="N47" i="18"/>
  <c r="N45" i="18" s="1"/>
  <c r="O194" i="18"/>
  <c r="N192" i="18"/>
  <c r="N26" i="18"/>
  <c r="N24" i="18" s="1"/>
  <c r="S83" i="22"/>
  <c r="S7" i="22" s="1"/>
  <c r="T74" i="22"/>
  <c r="S219" i="14"/>
  <c r="R218" i="14"/>
  <c r="R244" i="14"/>
  <c r="R243" i="14" s="1"/>
  <c r="T15" i="14" s="1"/>
  <c r="R28" i="17" s="1"/>
  <c r="Z32" i="22"/>
  <c r="T46" i="22"/>
  <c r="T76" i="22" s="1"/>
  <c r="T45" i="22"/>
  <c r="T75" i="22" s="1"/>
  <c r="Z31" i="22"/>
  <c r="S53" i="22"/>
  <c r="S90" i="22" s="1"/>
  <c r="S92" i="22" s="1"/>
  <c r="S8" i="22" s="1"/>
  <c r="AA33" i="22"/>
  <c r="U47" i="22"/>
  <c r="U77" i="22" s="1"/>
  <c r="T49" i="22"/>
  <c r="T79" i="22" s="1"/>
  <c r="Z35" i="22"/>
  <c r="T135" i="22"/>
  <c r="T147" i="22" s="1"/>
  <c r="Q128" i="22"/>
  <c r="P131" i="22"/>
  <c r="P9" i="22" s="1"/>
  <c r="P11" i="22" s="1"/>
  <c r="R14" i="14" s="1"/>
  <c r="P22" i="17" s="1"/>
  <c r="O82" i="15" s="1"/>
  <c r="Q28" i="17"/>
  <c r="P30" i="17"/>
  <c r="C24" i="17"/>
  <c r="R26" i="17"/>
  <c r="Q69" i="15" s="1"/>
  <c r="M16" i="18"/>
  <c r="L14" i="18"/>
  <c r="U19" i="18"/>
  <c r="S42" i="19"/>
  <c r="S9" i="19" s="1"/>
  <c r="N195" i="18"/>
  <c r="N191" i="18" s="1"/>
  <c r="N49" i="18"/>
  <c r="N60" i="18" s="1"/>
  <c r="N28" i="18"/>
  <c r="N39" i="18" s="1"/>
  <c r="O196" i="18"/>
  <c r="M48" i="18"/>
  <c r="M44" i="18" s="1"/>
  <c r="O198" i="18"/>
  <c r="N51" i="18"/>
  <c r="N62" i="18" s="1"/>
  <c r="N30" i="18"/>
  <c r="N41" i="18" s="1"/>
  <c r="U186" i="18"/>
  <c r="V6" i="18"/>
  <c r="M27" i="18"/>
  <c r="M23" i="18" s="1"/>
  <c r="K9" i="18"/>
  <c r="J21" i="17" s="1"/>
  <c r="I75" i="15" s="1"/>
  <c r="M35" i="18"/>
  <c r="M14" i="18"/>
  <c r="M13" i="18" s="1"/>
  <c r="N37" i="18"/>
  <c r="N35" i="18" s="1"/>
  <c r="M56" i="18"/>
  <c r="L55" i="18"/>
  <c r="M11" i="18"/>
  <c r="R225" i="14"/>
  <c r="S226" i="14"/>
  <c r="R230" i="14"/>
  <c r="S231" i="14"/>
  <c r="M38" i="18"/>
  <c r="M12" i="18"/>
  <c r="M15" i="18"/>
  <c r="L34" i="18"/>
  <c r="M59" i="18"/>
  <c r="E234" i="1"/>
  <c r="B357" i="1"/>
  <c r="E357" i="1"/>
  <c r="I357" i="1"/>
  <c r="C357" i="1"/>
  <c r="F357" i="1"/>
  <c r="J357" i="1"/>
  <c r="M357" i="1"/>
  <c r="D245" i="1"/>
  <c r="G357" i="1"/>
  <c r="K357" i="1"/>
  <c r="D357" i="1"/>
  <c r="H357" i="1"/>
  <c r="L357" i="1"/>
  <c r="N40" i="18"/>
  <c r="M333" i="1"/>
  <c r="M329" i="1"/>
  <c r="M332" i="1"/>
  <c r="M339" i="1"/>
  <c r="M355" i="1"/>
  <c r="M360" i="1"/>
  <c r="M266" i="1"/>
  <c r="M265" i="1"/>
  <c r="M327" i="1"/>
  <c r="M350" i="1"/>
  <c r="M337" i="1"/>
  <c r="M338" i="1"/>
  <c r="M362" i="1"/>
  <c r="M271" i="1"/>
  <c r="M351" i="1"/>
  <c r="M361" i="1"/>
  <c r="M270" i="1"/>
  <c r="M261" i="1"/>
  <c r="N256" i="1"/>
  <c r="M356" i="1"/>
  <c r="M328" i="1"/>
  <c r="M260" i="1"/>
  <c r="M334" i="1"/>
  <c r="M272" i="1"/>
  <c r="L343" i="1"/>
  <c r="L372" i="1"/>
  <c r="E235" i="1"/>
  <c r="E233" i="1"/>
  <c r="L373" i="1"/>
  <c r="P13" i="14"/>
  <c r="P11" i="14" s="1"/>
  <c r="P21" i="14" s="1"/>
  <c r="N18" i="17"/>
  <c r="M81" i="15" s="1"/>
  <c r="M80" i="15" s="1"/>
  <c r="E227" i="1"/>
  <c r="E230" i="1"/>
  <c r="E228" i="1"/>
  <c r="E226" i="1"/>
  <c r="E229" i="1"/>
  <c r="N57" i="18"/>
  <c r="N56" i="18" s="1"/>
  <c r="O32" i="18"/>
  <c r="O40" i="18" s="1"/>
  <c r="P189" i="18"/>
  <c r="O53" i="18"/>
  <c r="O57" i="18" s="1"/>
  <c r="L352" i="1"/>
  <c r="D352" i="1"/>
  <c r="F352" i="1"/>
  <c r="J352" i="1"/>
  <c r="B352" i="1"/>
  <c r="G352" i="1"/>
  <c r="K352" i="1"/>
  <c r="M352" i="1"/>
  <c r="D240" i="1"/>
  <c r="H352" i="1"/>
  <c r="C352" i="1"/>
  <c r="E352" i="1"/>
  <c r="I352" i="1"/>
  <c r="U46" i="13"/>
  <c r="U49" i="13"/>
  <c r="V48" i="13"/>
  <c r="X96" i="13"/>
  <c r="W150" i="13"/>
  <c r="T196" i="13"/>
  <c r="T198" i="13" s="1"/>
  <c r="U185" i="13"/>
  <c r="U190" i="13"/>
  <c r="U193" i="13"/>
  <c r="U181" i="13"/>
  <c r="U194" i="13"/>
  <c r="U200" i="13"/>
  <c r="U180" i="13"/>
  <c r="U195" i="13"/>
  <c r="U192" i="13"/>
  <c r="U189" i="13"/>
  <c r="U187" i="13"/>
  <c r="U186" i="13"/>
  <c r="U179" i="13"/>
  <c r="U182" i="13"/>
  <c r="U183" i="13"/>
  <c r="U191" i="13"/>
  <c r="U188" i="13"/>
  <c r="U184" i="13"/>
  <c r="U177" i="13"/>
  <c r="U176" i="13"/>
  <c r="U178" i="13"/>
  <c r="P126" i="13"/>
  <c r="P131" i="13" s="1"/>
  <c r="Q120" i="13"/>
  <c r="U171" i="13"/>
  <c r="U173" i="13" s="1"/>
  <c r="T220" i="13"/>
  <c r="T210" i="13"/>
  <c r="T203" i="13"/>
  <c r="T209" i="13"/>
  <c r="T204" i="13"/>
  <c r="T215" i="13"/>
  <c r="T206" i="13"/>
  <c r="T214" i="13"/>
  <c r="T218" i="13"/>
  <c r="T216" i="13"/>
  <c r="T211" i="13"/>
  <c r="T208" i="13"/>
  <c r="T207" i="13"/>
  <c r="T213" i="13"/>
  <c r="T217" i="13"/>
  <c r="T212" i="13"/>
  <c r="T219" i="13"/>
  <c r="T205" i="13"/>
  <c r="V160" i="13"/>
  <c r="V161" i="13"/>
  <c r="V158" i="13"/>
  <c r="V165" i="13"/>
  <c r="V164" i="13"/>
  <c r="V162" i="13"/>
  <c r="V156" i="13"/>
  <c r="V155" i="13"/>
  <c r="V166" i="13"/>
  <c r="V163" i="13"/>
  <c r="V175" i="13"/>
  <c r="V157" i="13"/>
  <c r="V169" i="13"/>
  <c r="V159" i="13"/>
  <c r="V167" i="13"/>
  <c r="V168" i="13"/>
  <c r="V170" i="13"/>
  <c r="V151" i="13"/>
  <c r="V152" i="13"/>
  <c r="V153" i="13"/>
  <c r="V154" i="13"/>
  <c r="X18" i="19"/>
  <c r="X21" i="19" s="1"/>
  <c r="X26" i="19" s="1"/>
  <c r="W19" i="19"/>
  <c r="W22" i="19" s="1"/>
  <c r="W25" i="19" s="1"/>
  <c r="W20" i="19"/>
  <c r="W23" i="19" s="1"/>
  <c r="AD102" i="13"/>
  <c r="P125" i="13"/>
  <c r="P130" i="13" s="1"/>
  <c r="Q118" i="13"/>
  <c r="P46" i="18"/>
  <c r="Q193" i="18"/>
  <c r="P25" i="18"/>
  <c r="AH106" i="13"/>
  <c r="Q197" i="18"/>
  <c r="P29" i="18"/>
  <c r="P50" i="18"/>
  <c r="T83" i="22" l="1"/>
  <c r="T7" i="22" s="1"/>
  <c r="U45" i="22"/>
  <c r="U75" i="22" s="1"/>
  <c r="AA31" i="22"/>
  <c r="T53" i="22"/>
  <c r="T90" i="22" s="1"/>
  <c r="T92" i="22" s="1"/>
  <c r="T8" i="22" s="1"/>
  <c r="Q131" i="22"/>
  <c r="Q9" i="22" s="1"/>
  <c r="Q11" i="22" s="1"/>
  <c r="S14" i="14" s="1"/>
  <c r="Q22" i="17" s="1"/>
  <c r="P82" i="15" s="1"/>
  <c r="R128" i="22"/>
  <c r="X215" i="14"/>
  <c r="X240" i="14" s="1"/>
  <c r="W240" i="14"/>
  <c r="S213" i="14"/>
  <c r="T214" i="14"/>
  <c r="S239" i="14"/>
  <c r="S238" i="14" s="1"/>
  <c r="S218" i="14"/>
  <c r="T219" i="14"/>
  <c r="S244" i="14"/>
  <c r="S243" i="14" s="1"/>
  <c r="U15" i="14" s="1"/>
  <c r="S252" i="14"/>
  <c r="T16" i="14"/>
  <c r="AA36" i="22"/>
  <c r="U50" i="22"/>
  <c r="U80" i="22" s="1"/>
  <c r="U136" i="22"/>
  <c r="U148" i="22" s="1"/>
  <c r="U49" i="22"/>
  <c r="U79" i="22" s="1"/>
  <c r="AA35" i="22"/>
  <c r="U135" i="22"/>
  <c r="U147" i="22" s="1"/>
  <c r="U150" i="22" s="1"/>
  <c r="U10" i="22" s="1"/>
  <c r="AA32" i="22"/>
  <c r="U46" i="22"/>
  <c r="U76" i="22" s="1"/>
  <c r="AB30" i="22"/>
  <c r="V44" i="22"/>
  <c r="AB33" i="22"/>
  <c r="V47" i="22"/>
  <c r="V77" i="22" s="1"/>
  <c r="AA34" i="22"/>
  <c r="U48" i="22"/>
  <c r="U78" i="22" s="1"/>
  <c r="N15" i="18"/>
  <c r="O192" i="18"/>
  <c r="O47" i="18"/>
  <c r="O45" i="18" s="1"/>
  <c r="P194" i="18"/>
  <c r="O26" i="18"/>
  <c r="O24" i="18" s="1"/>
  <c r="U74" i="22"/>
  <c r="U51" i="22"/>
  <c r="U81" i="22" s="1"/>
  <c r="AA37" i="22"/>
  <c r="U137" i="22"/>
  <c r="U149" i="22" s="1"/>
  <c r="V52" i="22"/>
  <c r="V82" i="22" s="1"/>
  <c r="AB38" i="22"/>
  <c r="T150" i="22"/>
  <c r="T10" i="22" s="1"/>
  <c r="U220" i="14"/>
  <c r="T245" i="14"/>
  <c r="L9" i="18"/>
  <c r="K21" i="17" s="1"/>
  <c r="J75" i="15" s="1"/>
  <c r="L13" i="18"/>
  <c r="S26" i="17"/>
  <c r="R69" i="15" s="1"/>
  <c r="J20" i="17"/>
  <c r="O28" i="18"/>
  <c r="P196" i="18"/>
  <c r="O49" i="18"/>
  <c r="O195" i="18"/>
  <c r="O191" i="18" s="1"/>
  <c r="N27" i="18"/>
  <c r="N23" i="18" s="1"/>
  <c r="V19" i="18"/>
  <c r="T42" i="19"/>
  <c r="T9" i="19" s="1"/>
  <c r="W6" i="18"/>
  <c r="V186" i="18"/>
  <c r="O30" i="18"/>
  <c r="O41" i="18" s="1"/>
  <c r="P198" i="18"/>
  <c r="O51" i="18"/>
  <c r="O62" i="18" s="1"/>
  <c r="N48" i="18"/>
  <c r="N44" i="18" s="1"/>
  <c r="M373" i="1"/>
  <c r="M55" i="18"/>
  <c r="N11" i="18"/>
  <c r="N12" i="18"/>
  <c r="M34" i="18"/>
  <c r="K20" i="17"/>
  <c r="N59" i="18"/>
  <c r="N55" i="18" s="1"/>
  <c r="M10" i="18"/>
  <c r="L71" i="15" s="1"/>
  <c r="N14" i="18"/>
  <c r="S230" i="14"/>
  <c r="T231" i="14"/>
  <c r="S225" i="14"/>
  <c r="T226" i="14"/>
  <c r="L374" i="1"/>
  <c r="N16" i="18"/>
  <c r="O36" i="18"/>
  <c r="O11" i="18" s="1"/>
  <c r="O37" i="18"/>
  <c r="L366" i="1"/>
  <c r="N62" i="17" s="1"/>
  <c r="E374" i="1"/>
  <c r="E366" i="1"/>
  <c r="J374" i="1"/>
  <c r="J366" i="1"/>
  <c r="O61" i="18"/>
  <c r="O15" i="18" s="1"/>
  <c r="N337" i="1"/>
  <c r="N352" i="1"/>
  <c r="N361" i="1"/>
  <c r="O256" i="1"/>
  <c r="N333" i="1"/>
  <c r="N272" i="1"/>
  <c r="N271" i="1"/>
  <c r="N261" i="1"/>
  <c r="N332" i="1"/>
  <c r="N356" i="1"/>
  <c r="N328" i="1"/>
  <c r="N266" i="1"/>
  <c r="N360" i="1"/>
  <c r="N339" i="1"/>
  <c r="N265" i="1"/>
  <c r="N327" i="1"/>
  <c r="N334" i="1"/>
  <c r="N329" i="1"/>
  <c r="N338" i="1"/>
  <c r="N355" i="1"/>
  <c r="N350" i="1"/>
  <c r="N357" i="1"/>
  <c r="N362" i="1"/>
  <c r="N351" i="1"/>
  <c r="N270" i="1"/>
  <c r="N260" i="1"/>
  <c r="O58" i="18"/>
  <c r="O56" i="18" s="1"/>
  <c r="C366" i="1"/>
  <c r="C374" i="1"/>
  <c r="K374" i="1"/>
  <c r="K366" i="1"/>
  <c r="F374" i="1"/>
  <c r="F366" i="1"/>
  <c r="P32" i="18"/>
  <c r="P53" i="18"/>
  <c r="Q189" i="18"/>
  <c r="M366" i="1"/>
  <c r="M372" i="1"/>
  <c r="M374" i="1"/>
  <c r="H374" i="1"/>
  <c r="H366" i="1"/>
  <c r="G374" i="1"/>
  <c r="G366" i="1"/>
  <c r="D374" i="1"/>
  <c r="D366" i="1"/>
  <c r="N61" i="17"/>
  <c r="O18" i="17"/>
  <c r="N81" i="15" s="1"/>
  <c r="N80" i="15" s="1"/>
  <c r="Q13" i="14"/>
  <c r="Q11" i="14" s="1"/>
  <c r="Q21" i="14" s="1"/>
  <c r="M343" i="1"/>
  <c r="O39" i="18"/>
  <c r="I374" i="1"/>
  <c r="I366" i="1"/>
  <c r="F262" i="1"/>
  <c r="D262" i="1"/>
  <c r="I262" i="1"/>
  <c r="E238" i="1"/>
  <c r="N262" i="1"/>
  <c r="E262" i="1"/>
  <c r="E312" i="1"/>
  <c r="F312" i="1" s="1"/>
  <c r="J262" i="1"/>
  <c r="L262" i="1"/>
  <c r="M262" i="1"/>
  <c r="O16" i="17" s="1"/>
  <c r="E240" i="1"/>
  <c r="G262" i="1"/>
  <c r="K262" i="1"/>
  <c r="C262" i="1"/>
  <c r="B262" i="1"/>
  <c r="H262" i="1"/>
  <c r="E239" i="1"/>
  <c r="B374" i="1"/>
  <c r="B366" i="1"/>
  <c r="N38" i="18"/>
  <c r="N34" i="18" s="1"/>
  <c r="C267" i="1"/>
  <c r="E17" i="17" s="1"/>
  <c r="D78" i="15" s="1"/>
  <c r="D77" i="15" s="1"/>
  <c r="F267" i="1"/>
  <c r="H17" i="17" s="1"/>
  <c r="G78" i="15" s="1"/>
  <c r="G77" i="15" s="1"/>
  <c r="J267" i="1"/>
  <c r="L17" i="17" s="1"/>
  <c r="K78" i="15" s="1"/>
  <c r="K77" i="15" s="1"/>
  <c r="L267" i="1"/>
  <c r="N17" i="17" s="1"/>
  <c r="M78" i="15" s="1"/>
  <c r="M77" i="15" s="1"/>
  <c r="N267" i="1"/>
  <c r="D267" i="1"/>
  <c r="F17" i="17" s="1"/>
  <c r="E78" i="15" s="1"/>
  <c r="E77" i="15" s="1"/>
  <c r="G267" i="1"/>
  <c r="I17" i="17" s="1"/>
  <c r="H78" i="15" s="1"/>
  <c r="H77" i="15" s="1"/>
  <c r="E244" i="1"/>
  <c r="E316" i="1"/>
  <c r="F316" i="1" s="1"/>
  <c r="E267" i="1"/>
  <c r="G17" i="17" s="1"/>
  <c r="F78" i="15" s="1"/>
  <c r="F77" i="15" s="1"/>
  <c r="H267" i="1"/>
  <c r="J17" i="17" s="1"/>
  <c r="I78" i="15" s="1"/>
  <c r="I77" i="15" s="1"/>
  <c r="K267" i="1"/>
  <c r="M17" i="17" s="1"/>
  <c r="L78" i="15" s="1"/>
  <c r="L77" i="15" s="1"/>
  <c r="M267" i="1"/>
  <c r="O17" i="17" s="1"/>
  <c r="N78" i="15" s="1"/>
  <c r="N77" i="15" s="1"/>
  <c r="B267" i="1"/>
  <c r="D17" i="17" s="1"/>
  <c r="C78" i="15" s="1"/>
  <c r="C77" i="15" s="1"/>
  <c r="E245" i="1"/>
  <c r="I267" i="1"/>
  <c r="K17" i="17" s="1"/>
  <c r="J78" i="15" s="1"/>
  <c r="J77" i="15" s="1"/>
  <c r="E243" i="1"/>
  <c r="U196" i="13"/>
  <c r="U198" i="13" s="1"/>
  <c r="R120" i="13"/>
  <c r="Q126" i="13"/>
  <c r="Q131" i="13" s="1"/>
  <c r="X150" i="13"/>
  <c r="Y96" i="13"/>
  <c r="V46" i="13"/>
  <c r="V49" i="13"/>
  <c r="W48" i="13"/>
  <c r="U208" i="13"/>
  <c r="U215" i="13"/>
  <c r="U210" i="13"/>
  <c r="U209" i="13"/>
  <c r="U217" i="13"/>
  <c r="U216" i="13"/>
  <c r="U214" i="13"/>
  <c r="U204" i="13"/>
  <c r="U211" i="13"/>
  <c r="U220" i="13"/>
  <c r="U205" i="13"/>
  <c r="U206" i="13"/>
  <c r="U213" i="13"/>
  <c r="U219" i="13"/>
  <c r="U218" i="13"/>
  <c r="U207" i="13"/>
  <c r="U212" i="13"/>
  <c r="V171" i="13"/>
  <c r="V173" i="13" s="1"/>
  <c r="V184" i="13"/>
  <c r="V183" i="13"/>
  <c r="V185" i="13"/>
  <c r="V182" i="13"/>
  <c r="V200" i="13"/>
  <c r="V188" i="13"/>
  <c r="V187" i="13"/>
  <c r="V192" i="13"/>
  <c r="V189" i="13"/>
  <c r="V191" i="13"/>
  <c r="V180" i="13"/>
  <c r="V190" i="13"/>
  <c r="V193" i="13"/>
  <c r="V181" i="13"/>
  <c r="V186" i="13"/>
  <c r="V194" i="13"/>
  <c r="V195" i="13"/>
  <c r="V176" i="13"/>
  <c r="V177" i="13"/>
  <c r="V178" i="13"/>
  <c r="V179" i="13"/>
  <c r="W159" i="13"/>
  <c r="W161" i="13"/>
  <c r="W162" i="13"/>
  <c r="W167" i="13"/>
  <c r="W170" i="13"/>
  <c r="W160" i="13"/>
  <c r="W166" i="13"/>
  <c r="W175" i="13"/>
  <c r="W164" i="13"/>
  <c r="W168" i="13"/>
  <c r="W158" i="13"/>
  <c r="W165" i="13"/>
  <c r="W163" i="13"/>
  <c r="W169" i="13"/>
  <c r="W156" i="13"/>
  <c r="W157" i="13"/>
  <c r="W151" i="13"/>
  <c r="W152" i="13"/>
  <c r="W153" i="13"/>
  <c r="W154" i="13"/>
  <c r="W155" i="13"/>
  <c r="X20" i="19"/>
  <c r="X23" i="19" s="1"/>
  <c r="X19" i="19"/>
  <c r="X22" i="19" s="1"/>
  <c r="X25" i="19" s="1"/>
  <c r="AE102" i="13"/>
  <c r="AI106" i="13"/>
  <c r="Q25" i="18"/>
  <c r="Q46" i="18"/>
  <c r="R193" i="18"/>
  <c r="R197" i="18"/>
  <c r="Q29" i="18"/>
  <c r="Q50" i="18"/>
  <c r="Q125" i="13"/>
  <c r="Q130" i="13" s="1"/>
  <c r="R118" i="13"/>
  <c r="T252" i="14" l="1"/>
  <c r="U16" i="14"/>
  <c r="S30" i="17" s="1"/>
  <c r="R30" i="17"/>
  <c r="AB32" i="22"/>
  <c r="V46" i="22"/>
  <c r="V76" i="22" s="1"/>
  <c r="U83" i="22"/>
  <c r="U7" i="22" s="1"/>
  <c r="V48" i="22"/>
  <c r="V78" i="22" s="1"/>
  <c r="AB34" i="22"/>
  <c r="AB35" i="22"/>
  <c r="V49" i="22"/>
  <c r="V79" i="22" s="1"/>
  <c r="V135" i="22"/>
  <c r="V147" i="22" s="1"/>
  <c r="U219" i="14"/>
  <c r="T218" i="14"/>
  <c r="T244" i="14"/>
  <c r="T243" i="14" s="1"/>
  <c r="V15" i="14" s="1"/>
  <c r="T28" i="17" s="1"/>
  <c r="V51" i="22"/>
  <c r="V81" i="22" s="1"/>
  <c r="AB37" i="22"/>
  <c r="V137" i="22"/>
  <c r="V149" i="22" s="1"/>
  <c r="W52" i="22"/>
  <c r="W82" i="22" s="1"/>
  <c r="AC38" i="22"/>
  <c r="X52" i="22" s="1"/>
  <c r="X82" i="22" s="1"/>
  <c r="U53" i="22"/>
  <c r="U90" i="22" s="1"/>
  <c r="U92" i="22" s="1"/>
  <c r="U8" i="22" s="1"/>
  <c r="V220" i="14"/>
  <c r="U245" i="14"/>
  <c r="S128" i="22"/>
  <c r="R131" i="22"/>
  <c r="R9" i="22" s="1"/>
  <c r="R11" i="22" s="1"/>
  <c r="T14" i="14" s="1"/>
  <c r="R22" i="17" s="1"/>
  <c r="Q82" i="15" s="1"/>
  <c r="W47" i="22"/>
  <c r="W77" i="22" s="1"/>
  <c r="AC33" i="22"/>
  <c r="X47" i="22" s="1"/>
  <c r="X77" i="22" s="1"/>
  <c r="V45" i="22"/>
  <c r="V75" i="22" s="1"/>
  <c r="AB31" i="22"/>
  <c r="S28" i="17"/>
  <c r="P47" i="18"/>
  <c r="P45" i="18" s="1"/>
  <c r="Q194" i="18"/>
  <c r="P26" i="18"/>
  <c r="P24" i="18" s="1"/>
  <c r="P192" i="18"/>
  <c r="V74" i="22"/>
  <c r="T213" i="14"/>
  <c r="U214" i="14"/>
  <c r="T239" i="14"/>
  <c r="T238" i="14" s="1"/>
  <c r="W44" i="22"/>
  <c r="AC30" i="22"/>
  <c r="X44" i="22" s="1"/>
  <c r="AB36" i="22"/>
  <c r="V50" i="22"/>
  <c r="V80" i="22" s="1"/>
  <c r="V136" i="22"/>
  <c r="V148" i="22" s="1"/>
  <c r="N13" i="18"/>
  <c r="O15" i="17"/>
  <c r="T26" i="17"/>
  <c r="S69" i="15" s="1"/>
  <c r="W186" i="18"/>
  <c r="X6" i="18"/>
  <c r="P30" i="18"/>
  <c r="P41" i="18" s="1"/>
  <c r="P51" i="18"/>
  <c r="P62" i="18" s="1"/>
  <c r="Q198" i="18"/>
  <c r="O48" i="18"/>
  <c r="O44" i="18" s="1"/>
  <c r="O60" i="18"/>
  <c r="O14" i="18" s="1"/>
  <c r="O13" i="18" s="1"/>
  <c r="W19" i="18"/>
  <c r="U42" i="19"/>
  <c r="U9" i="19" s="1"/>
  <c r="P28" i="18"/>
  <c r="P49" i="18"/>
  <c r="Q196" i="18"/>
  <c r="P195" i="18"/>
  <c r="P191" i="18" s="1"/>
  <c r="O27" i="18"/>
  <c r="O23" i="18" s="1"/>
  <c r="N10" i="18"/>
  <c r="M71" i="15" s="1"/>
  <c r="M9" i="18"/>
  <c r="L21" i="17" s="1"/>
  <c r="K75" i="15" s="1"/>
  <c r="O35" i="18"/>
  <c r="U226" i="14"/>
  <c r="T225" i="14"/>
  <c r="T230" i="14"/>
  <c r="U231" i="14"/>
  <c r="L375" i="1"/>
  <c r="L369" i="1"/>
  <c r="O38" i="18"/>
  <c r="F321" i="1"/>
  <c r="O16" i="18"/>
  <c r="P36" i="18"/>
  <c r="P58" i="18"/>
  <c r="M276" i="1"/>
  <c r="O12" i="18"/>
  <c r="O10" i="18" s="1"/>
  <c r="I276" i="1"/>
  <c r="K16" i="17"/>
  <c r="K15" i="17" s="1"/>
  <c r="G369" i="1"/>
  <c r="G375" i="1"/>
  <c r="I62" i="17"/>
  <c r="K369" i="1"/>
  <c r="M62" i="17"/>
  <c r="K375" i="1"/>
  <c r="N276" i="1"/>
  <c r="P16" i="17"/>
  <c r="N374" i="1"/>
  <c r="K276" i="1"/>
  <c r="M16" i="17"/>
  <c r="M15" i="17" s="1"/>
  <c r="L276" i="1"/>
  <c r="N16" i="17"/>
  <c r="N15" i="17" s="1"/>
  <c r="F276" i="1"/>
  <c r="H16" i="17"/>
  <c r="H15" i="17" s="1"/>
  <c r="D369" i="1"/>
  <c r="F62" i="17"/>
  <c r="D375" i="1"/>
  <c r="J62" i="17"/>
  <c r="H369" i="1"/>
  <c r="H375" i="1"/>
  <c r="P61" i="18"/>
  <c r="H62" i="17"/>
  <c r="F369" i="1"/>
  <c r="F375" i="1"/>
  <c r="N343" i="1"/>
  <c r="O267" i="1"/>
  <c r="O329" i="1"/>
  <c r="O266" i="1"/>
  <c r="O260" i="1"/>
  <c r="O350" i="1"/>
  <c r="O339" i="1"/>
  <c r="O361" i="1"/>
  <c r="O332" i="1"/>
  <c r="O271" i="1"/>
  <c r="O355" i="1"/>
  <c r="P256" i="1"/>
  <c r="O270" i="1"/>
  <c r="O360" i="1"/>
  <c r="O338" i="1"/>
  <c r="O357" i="1"/>
  <c r="O272" i="1"/>
  <c r="O327" i="1"/>
  <c r="O337" i="1"/>
  <c r="O328" i="1"/>
  <c r="O334" i="1"/>
  <c r="O262" i="1"/>
  <c r="O362" i="1"/>
  <c r="O351" i="1"/>
  <c r="O333" i="1"/>
  <c r="O352" i="1"/>
  <c r="O356" i="1"/>
  <c r="O261" i="1"/>
  <c r="O265" i="1"/>
  <c r="J16" i="17"/>
  <c r="J15" i="17" s="1"/>
  <c r="H276" i="1"/>
  <c r="G276" i="1"/>
  <c r="I16" i="17"/>
  <c r="I15" i="17" s="1"/>
  <c r="J276" i="1"/>
  <c r="L16" i="17"/>
  <c r="L15" i="17" s="1"/>
  <c r="I375" i="1"/>
  <c r="I369" i="1"/>
  <c r="K62" i="17"/>
  <c r="P40" i="18"/>
  <c r="R189" i="18"/>
  <c r="Q53" i="18"/>
  <c r="Q32" i="18"/>
  <c r="C375" i="1"/>
  <c r="E62" i="17"/>
  <c r="C369" i="1"/>
  <c r="P17" i="17"/>
  <c r="O78" i="15" s="1"/>
  <c r="O77" i="15" s="1"/>
  <c r="N373" i="1"/>
  <c r="G62" i="17"/>
  <c r="E369" i="1"/>
  <c r="E375" i="1"/>
  <c r="B369" i="1"/>
  <c r="B375" i="1"/>
  <c r="D62" i="17"/>
  <c r="D16" i="17"/>
  <c r="D15" i="17" s="1"/>
  <c r="D11" i="17" s="1"/>
  <c r="B276" i="1"/>
  <c r="P57" i="18"/>
  <c r="C276" i="1"/>
  <c r="E16" i="17"/>
  <c r="E15" i="17" s="1"/>
  <c r="N70" i="15"/>
  <c r="N74" i="15"/>
  <c r="G16" i="17"/>
  <c r="G15" i="17" s="1"/>
  <c r="E276" i="1"/>
  <c r="D276" i="1"/>
  <c r="F16" i="17"/>
  <c r="F15" i="17" s="1"/>
  <c r="O61" i="17"/>
  <c r="M375" i="1"/>
  <c r="M369" i="1"/>
  <c r="O62" i="17"/>
  <c r="R13" i="14"/>
  <c r="R11" i="14" s="1"/>
  <c r="R21" i="14" s="1"/>
  <c r="P18" i="17"/>
  <c r="O81" i="15" s="1"/>
  <c r="O80" i="15" s="1"/>
  <c r="N366" i="1"/>
  <c r="N372" i="1"/>
  <c r="L62" i="17"/>
  <c r="J375" i="1"/>
  <c r="J369" i="1"/>
  <c r="W187" i="13"/>
  <c r="W184" i="13"/>
  <c r="W181" i="13"/>
  <c r="W193" i="13"/>
  <c r="W185" i="13"/>
  <c r="W192" i="13"/>
  <c r="W186" i="13"/>
  <c r="W182" i="13"/>
  <c r="W189" i="13"/>
  <c r="W194" i="13"/>
  <c r="W188" i="13"/>
  <c r="W190" i="13"/>
  <c r="W191" i="13"/>
  <c r="W200" i="13"/>
  <c r="W195" i="13"/>
  <c r="W183" i="13"/>
  <c r="W179" i="13"/>
  <c r="W180" i="13"/>
  <c r="W178" i="13"/>
  <c r="W176" i="13"/>
  <c r="W177" i="13"/>
  <c r="V196" i="13"/>
  <c r="V198" i="13" s="1"/>
  <c r="Y150" i="13"/>
  <c r="Z96" i="13"/>
  <c r="W171" i="13"/>
  <c r="W173" i="13" s="1"/>
  <c r="X162" i="13"/>
  <c r="X165" i="13"/>
  <c r="X158" i="13"/>
  <c r="X163" i="13"/>
  <c r="X164" i="13"/>
  <c r="X159" i="13"/>
  <c r="X166" i="13"/>
  <c r="X168" i="13"/>
  <c r="X175" i="13"/>
  <c r="X160" i="13"/>
  <c r="X161" i="13"/>
  <c r="X169" i="13"/>
  <c r="X157" i="13"/>
  <c r="X170" i="13"/>
  <c r="X167" i="13"/>
  <c r="X151" i="13"/>
  <c r="X152" i="13"/>
  <c r="X153" i="13"/>
  <c r="X154" i="13"/>
  <c r="X155" i="13"/>
  <c r="X156" i="13"/>
  <c r="V214" i="13"/>
  <c r="V205" i="13"/>
  <c r="V218" i="13"/>
  <c r="V213" i="13"/>
  <c r="V216" i="13"/>
  <c r="V219" i="13"/>
  <c r="V212" i="13"/>
  <c r="V209" i="13"/>
  <c r="V220" i="13"/>
  <c r="V217" i="13"/>
  <c r="V207" i="13"/>
  <c r="V208" i="13"/>
  <c r="V215" i="13"/>
  <c r="V211" i="13"/>
  <c r="V210" i="13"/>
  <c r="V206" i="13"/>
  <c r="W46" i="13"/>
  <c r="W49" i="13"/>
  <c r="X48" i="13"/>
  <c r="R126" i="13"/>
  <c r="R131" i="13" s="1"/>
  <c r="S120" i="13"/>
  <c r="AF102" i="13"/>
  <c r="S118" i="13"/>
  <c r="R125" i="13"/>
  <c r="R130" i="13" s="1"/>
  <c r="R46" i="18"/>
  <c r="R25" i="18"/>
  <c r="S193" i="18"/>
  <c r="AJ106" i="13"/>
  <c r="R50" i="18"/>
  <c r="R29" i="18"/>
  <c r="S197" i="18"/>
  <c r="S131" i="22" l="1"/>
  <c r="S9" i="22" s="1"/>
  <c r="S11" i="22" s="1"/>
  <c r="U14" i="14" s="1"/>
  <c r="S22" i="17" s="1"/>
  <c r="R82" i="15" s="1"/>
  <c r="T128" i="22"/>
  <c r="U213" i="14"/>
  <c r="V214" i="14"/>
  <c r="U239" i="14"/>
  <c r="U238" i="14" s="1"/>
  <c r="W220" i="14"/>
  <c r="V245" i="14"/>
  <c r="V83" i="22"/>
  <c r="V7" i="22" s="1"/>
  <c r="AC31" i="22"/>
  <c r="X45" i="22" s="1"/>
  <c r="X75" i="22" s="1"/>
  <c r="W45" i="22"/>
  <c r="W75" i="22" s="1"/>
  <c r="V219" i="14"/>
  <c r="U218" i="14"/>
  <c r="U244" i="14"/>
  <c r="U243" i="14" s="1"/>
  <c r="W15" i="14" s="1"/>
  <c r="W46" i="22"/>
  <c r="W76" i="22" s="1"/>
  <c r="AC32" i="22"/>
  <c r="X46" i="22" s="1"/>
  <c r="X76" i="22" s="1"/>
  <c r="W50" i="22"/>
  <c r="W80" i="22" s="1"/>
  <c r="AC36" i="22"/>
  <c r="W136" i="22"/>
  <c r="W148" i="22" s="1"/>
  <c r="V53" i="22"/>
  <c r="V90" i="22" s="1"/>
  <c r="V92" i="22" s="1"/>
  <c r="V8" i="22" s="1"/>
  <c r="V150" i="22"/>
  <c r="V10" i="22" s="1"/>
  <c r="P12" i="18"/>
  <c r="X74" i="22"/>
  <c r="W74" i="22"/>
  <c r="AC35" i="22"/>
  <c r="W49" i="22"/>
  <c r="W79" i="22" s="1"/>
  <c r="W135" i="22"/>
  <c r="W147" i="22" s="1"/>
  <c r="W150" i="22" s="1"/>
  <c r="W10" i="22" s="1"/>
  <c r="P37" i="18"/>
  <c r="P35" i="18" s="1"/>
  <c r="Q26" i="18"/>
  <c r="Q24" i="18" s="1"/>
  <c r="Q47" i="18"/>
  <c r="Q45" i="18" s="1"/>
  <c r="R194" i="18"/>
  <c r="Q192" i="18"/>
  <c r="AC37" i="22"/>
  <c r="W51" i="22"/>
  <c r="W81" i="22" s="1"/>
  <c r="W137" i="22"/>
  <c r="W149" i="22" s="1"/>
  <c r="W48" i="22"/>
  <c r="W78" i="22" s="1"/>
  <c r="AC34" i="22"/>
  <c r="X48" i="22" s="1"/>
  <c r="X78" i="22" s="1"/>
  <c r="U252" i="14"/>
  <c r="V16" i="14"/>
  <c r="P48" i="18"/>
  <c r="P44" i="18" s="1"/>
  <c r="P27" i="18"/>
  <c r="P23" i="18" s="1"/>
  <c r="P15" i="17"/>
  <c r="I370" i="1"/>
  <c r="L20" i="17"/>
  <c r="U26" i="17"/>
  <c r="T69" i="15" s="1"/>
  <c r="O59" i="18"/>
  <c r="O55" i="18" s="1"/>
  <c r="Q30" i="18"/>
  <c r="R198" i="18"/>
  <c r="Q51" i="18"/>
  <c r="Q62" i="18" s="1"/>
  <c r="N9" i="18"/>
  <c r="M21" i="17" s="1"/>
  <c r="L75" i="15" s="1"/>
  <c r="Q41" i="18"/>
  <c r="P16" i="18"/>
  <c r="P60" i="18"/>
  <c r="P59" i="18" s="1"/>
  <c r="P39" i="18"/>
  <c r="P38" i="18" s="1"/>
  <c r="R196" i="18"/>
  <c r="Q195" i="18"/>
  <c r="Q191" i="18" s="1"/>
  <c r="Q49" i="18"/>
  <c r="Q48" i="18" s="1"/>
  <c r="Q44" i="18" s="1"/>
  <c r="Q28" i="18"/>
  <c r="X19" i="18"/>
  <c r="V42" i="19"/>
  <c r="V9" i="19" s="1"/>
  <c r="V26" i="17" s="1"/>
  <c r="X186" i="18"/>
  <c r="Y6" i="18"/>
  <c r="Y186" i="18" s="1"/>
  <c r="P11" i="18"/>
  <c r="L370" i="1"/>
  <c r="Q60" i="18"/>
  <c r="Q57" i="18"/>
  <c r="O34" i="18"/>
  <c r="U230" i="14"/>
  <c r="V231" i="14"/>
  <c r="U225" i="14"/>
  <c r="V226" i="14"/>
  <c r="M370" i="1"/>
  <c r="P56" i="18"/>
  <c r="J370" i="1"/>
  <c r="D370" i="1"/>
  <c r="Q37" i="18"/>
  <c r="Q36" i="18"/>
  <c r="Q40" i="18"/>
  <c r="Q17" i="17"/>
  <c r="P78" i="15" s="1"/>
  <c r="P77" i="15" s="1"/>
  <c r="O9" i="18"/>
  <c r="N21" i="17" s="1"/>
  <c r="N71" i="15"/>
  <c r="P15" i="18"/>
  <c r="Q61" i="18"/>
  <c r="H370" i="1"/>
  <c r="N369" i="1"/>
  <c r="N370" i="1" s="1"/>
  <c r="P62" i="17"/>
  <c r="E74" i="15"/>
  <c r="E73" i="15" s="1"/>
  <c r="E92" i="15" s="1"/>
  <c r="E70" i="15"/>
  <c r="E68" i="15" s="1"/>
  <c r="F11" i="17"/>
  <c r="B370" i="1"/>
  <c r="R32" i="18"/>
  <c r="R40" i="18" s="1"/>
  <c r="R53" i="18"/>
  <c r="S189" i="18"/>
  <c r="N375" i="1"/>
  <c r="P61" i="17"/>
  <c r="I70" i="15"/>
  <c r="I68" i="15" s="1"/>
  <c r="J11" i="17"/>
  <c r="I74" i="15"/>
  <c r="I73" i="15" s="1"/>
  <c r="I92" i="15" s="1"/>
  <c r="O374" i="1"/>
  <c r="F370" i="1"/>
  <c r="O74" i="15"/>
  <c r="O70" i="15"/>
  <c r="K370" i="1"/>
  <c r="J74" i="15"/>
  <c r="J73" i="15" s="1"/>
  <c r="J92" i="15" s="1"/>
  <c r="K11" i="17"/>
  <c r="J70" i="15"/>
  <c r="J68" i="15" s="1"/>
  <c r="G11" i="17"/>
  <c r="F70" i="15"/>
  <c r="F68" i="15" s="1"/>
  <c r="F74" i="15"/>
  <c r="F73" i="15" s="1"/>
  <c r="F92" i="15" s="1"/>
  <c r="D70" i="15"/>
  <c r="D68" i="15" s="1"/>
  <c r="E11" i="17"/>
  <c r="D74" i="15"/>
  <c r="D73" i="15" s="1"/>
  <c r="D92" i="15" s="1"/>
  <c r="E370" i="1"/>
  <c r="C370" i="1"/>
  <c r="H70" i="15"/>
  <c r="H68" i="15" s="1"/>
  <c r="I11" i="17"/>
  <c r="H74" i="15"/>
  <c r="H73" i="15" s="1"/>
  <c r="H92" i="15" s="1"/>
  <c r="O343" i="1"/>
  <c r="O366" i="1"/>
  <c r="O372" i="1"/>
  <c r="G70" i="15"/>
  <c r="G68" i="15" s="1"/>
  <c r="G74" i="15"/>
  <c r="G73" i="15" s="1"/>
  <c r="G92" i="15" s="1"/>
  <c r="H11" i="17"/>
  <c r="L70" i="15"/>
  <c r="L68" i="15" s="1"/>
  <c r="L74" i="15"/>
  <c r="S13" i="14"/>
  <c r="S11" i="14" s="1"/>
  <c r="S21" i="14" s="1"/>
  <c r="Q18" i="17"/>
  <c r="P81" i="15" s="1"/>
  <c r="P80" i="15" s="1"/>
  <c r="Q16" i="17"/>
  <c r="O276" i="1"/>
  <c r="C70" i="15"/>
  <c r="C68" i="15" s="1"/>
  <c r="C74" i="15"/>
  <c r="C73" i="15" s="1"/>
  <c r="C92" i="15" s="1"/>
  <c r="K70" i="15"/>
  <c r="K68" i="15" s="1"/>
  <c r="K74" i="15"/>
  <c r="K73" i="15" s="1"/>
  <c r="K92" i="15" s="1"/>
  <c r="P355" i="1"/>
  <c r="P350" i="1"/>
  <c r="P267" i="1"/>
  <c r="P338" i="1"/>
  <c r="P357" i="1"/>
  <c r="P356" i="1"/>
  <c r="P360" i="1"/>
  <c r="P270" i="1"/>
  <c r="P351" i="1"/>
  <c r="P333" i="1"/>
  <c r="P362" i="1"/>
  <c r="P272" i="1"/>
  <c r="P271" i="1"/>
  <c r="P260" i="1"/>
  <c r="P265" i="1"/>
  <c r="P327" i="1"/>
  <c r="P352" i="1"/>
  <c r="P329" i="1"/>
  <c r="P337" i="1"/>
  <c r="P332" i="1"/>
  <c r="P266" i="1"/>
  <c r="P339" i="1"/>
  <c r="P262" i="1"/>
  <c r="P334" i="1"/>
  <c r="P261" i="1"/>
  <c r="P361" i="1"/>
  <c r="P328" i="1"/>
  <c r="Q256" i="1"/>
  <c r="O373" i="1"/>
  <c r="M74" i="15"/>
  <c r="M70" i="15"/>
  <c r="M68" i="15" s="1"/>
  <c r="G370" i="1"/>
  <c r="AA96" i="13"/>
  <c r="Z150" i="13"/>
  <c r="W211" i="13"/>
  <c r="W218" i="13"/>
  <c r="W210" i="13"/>
  <c r="W208" i="13"/>
  <c r="W216" i="13"/>
  <c r="W206" i="13"/>
  <c r="W217" i="13"/>
  <c r="W219" i="13"/>
  <c r="W220" i="13"/>
  <c r="W215" i="13"/>
  <c r="W207" i="13"/>
  <c r="W212" i="13"/>
  <c r="W209" i="13"/>
  <c r="W214" i="13"/>
  <c r="W213" i="13"/>
  <c r="Y166" i="13"/>
  <c r="Y170" i="13"/>
  <c r="Y165" i="13"/>
  <c r="Y159" i="13"/>
  <c r="Y167" i="13"/>
  <c r="Y160" i="13"/>
  <c r="Y158" i="13"/>
  <c r="Y175" i="13"/>
  <c r="Y164" i="13"/>
  <c r="Y169" i="13"/>
  <c r="Y162" i="13"/>
  <c r="Y161" i="13"/>
  <c r="Y168" i="13"/>
  <c r="Y163" i="13"/>
  <c r="Y151" i="13"/>
  <c r="Y152" i="13"/>
  <c r="Y153" i="13"/>
  <c r="Y154" i="13"/>
  <c r="Y155" i="13"/>
  <c r="Y157" i="13"/>
  <c r="Y156" i="13"/>
  <c r="S126" i="13"/>
  <c r="S131" i="13" s="1"/>
  <c r="T120" i="13"/>
  <c r="X49" i="13"/>
  <c r="X46" i="13"/>
  <c r="Y48" i="13"/>
  <c r="X171" i="13"/>
  <c r="X173" i="13" s="1"/>
  <c r="X195" i="13"/>
  <c r="X187" i="13"/>
  <c r="X194" i="13"/>
  <c r="X186" i="13"/>
  <c r="X200" i="13"/>
  <c r="X190" i="13"/>
  <c r="X184" i="13"/>
  <c r="X185" i="13"/>
  <c r="X183" i="13"/>
  <c r="X188" i="13"/>
  <c r="X192" i="13"/>
  <c r="X191" i="13"/>
  <c r="X189" i="13"/>
  <c r="X182" i="13"/>
  <c r="X193" i="13"/>
  <c r="X176" i="13"/>
  <c r="X179" i="13"/>
  <c r="X180" i="13"/>
  <c r="X178" i="13"/>
  <c r="X177" i="13"/>
  <c r="X181" i="13"/>
  <c r="W196" i="13"/>
  <c r="W198" i="13" s="1"/>
  <c r="AG102" i="13"/>
  <c r="S46" i="18"/>
  <c r="S25" i="18"/>
  <c r="T193" i="18"/>
  <c r="S125" i="13"/>
  <c r="S130" i="13" s="1"/>
  <c r="T118" i="13"/>
  <c r="S50" i="18"/>
  <c r="S29" i="18"/>
  <c r="T197" i="18"/>
  <c r="AK106" i="13"/>
  <c r="X51" i="22" l="1"/>
  <c r="X81" i="22" s="1"/>
  <c r="X137" i="22"/>
  <c r="X149" i="22" s="1"/>
  <c r="X49" i="22"/>
  <c r="X135" i="22"/>
  <c r="U28" i="17"/>
  <c r="W83" i="22"/>
  <c r="W7" i="22" s="1"/>
  <c r="P10" i="18"/>
  <c r="O71" i="15" s="1"/>
  <c r="T30" i="17"/>
  <c r="R192" i="18"/>
  <c r="R47" i="18"/>
  <c r="R45" i="18" s="1"/>
  <c r="S194" i="18"/>
  <c r="R26" i="18"/>
  <c r="R24" i="18" s="1"/>
  <c r="W53" i="22"/>
  <c r="W90" i="22" s="1"/>
  <c r="W92" i="22" s="1"/>
  <c r="W8" i="22" s="1"/>
  <c r="W219" i="14"/>
  <c r="V218" i="14"/>
  <c r="V244" i="14"/>
  <c r="V243" i="14" s="1"/>
  <c r="X15" i="14" s="1"/>
  <c r="V28" i="17" s="1"/>
  <c r="W214" i="14"/>
  <c r="V213" i="14"/>
  <c r="V239" i="14"/>
  <c r="V238" i="14" s="1"/>
  <c r="X220" i="14"/>
  <c r="X245" i="14" s="1"/>
  <c r="W245" i="14"/>
  <c r="P34" i="18"/>
  <c r="V252" i="14"/>
  <c r="W16" i="14"/>
  <c r="U30" i="17" s="1"/>
  <c r="Q58" i="18"/>
  <c r="X50" i="22"/>
  <c r="X80" i="22" s="1"/>
  <c r="X136" i="22"/>
  <c r="X148" i="22" s="1"/>
  <c r="Q56" i="18"/>
  <c r="U128" i="22"/>
  <c r="T131" i="22"/>
  <c r="T9" i="22" s="1"/>
  <c r="T11" i="22" s="1"/>
  <c r="V14" i="14" s="1"/>
  <c r="T22" i="17" s="1"/>
  <c r="S82" i="15" s="1"/>
  <c r="Q12" i="18"/>
  <c r="Q15" i="17"/>
  <c r="L11" i="17"/>
  <c r="M7" i="15" s="1"/>
  <c r="J9" i="38" s="1"/>
  <c r="Q16" i="18"/>
  <c r="E7" i="15"/>
  <c r="P14" i="18"/>
  <c r="Y19" i="18"/>
  <c r="X42" i="19" s="1"/>
  <c r="X9" i="19" s="1"/>
  <c r="W42" i="19"/>
  <c r="W9" i="19" s="1"/>
  <c r="R195" i="18"/>
  <c r="R191" i="18" s="1"/>
  <c r="R28" i="18"/>
  <c r="R49" i="18"/>
  <c r="R60" i="18" s="1"/>
  <c r="S196" i="18"/>
  <c r="Q27" i="18"/>
  <c r="Q23" i="18" s="1"/>
  <c r="Q39" i="18"/>
  <c r="Q14" i="18" s="1"/>
  <c r="M20" i="17"/>
  <c r="L73" i="15"/>
  <c r="L92" i="15" s="1"/>
  <c r="R30" i="18"/>
  <c r="R41" i="18" s="1"/>
  <c r="S198" i="18"/>
  <c r="R51" i="18"/>
  <c r="R62" i="18" s="1"/>
  <c r="Q11" i="18"/>
  <c r="Q10" i="18" s="1"/>
  <c r="P71" i="15" s="1"/>
  <c r="R57" i="18"/>
  <c r="V230" i="14"/>
  <c r="W231" i="14"/>
  <c r="P55" i="18"/>
  <c r="V225" i="14"/>
  <c r="W226" i="14"/>
  <c r="R36" i="18"/>
  <c r="Q35" i="18"/>
  <c r="N20" i="17"/>
  <c r="M75" i="15"/>
  <c r="M73" i="15" s="1"/>
  <c r="M92" i="15" s="1"/>
  <c r="R61" i="18"/>
  <c r="Q59" i="18"/>
  <c r="R58" i="18"/>
  <c r="Q15" i="18"/>
  <c r="R37" i="18"/>
  <c r="R17" i="17"/>
  <c r="Q78" i="15" s="1"/>
  <c r="Q77" i="15" s="1"/>
  <c r="P373" i="1"/>
  <c r="J7" i="15"/>
  <c r="Q355" i="1"/>
  <c r="R256" i="1"/>
  <c r="Q350" i="1"/>
  <c r="Q334" i="1"/>
  <c r="Q338" i="1"/>
  <c r="Q265" i="1"/>
  <c r="Q328" i="1"/>
  <c r="Q327" i="1"/>
  <c r="Q356" i="1"/>
  <c r="Q357" i="1"/>
  <c r="Q329" i="1"/>
  <c r="Q362" i="1"/>
  <c r="Q351" i="1"/>
  <c r="Q266" i="1"/>
  <c r="Q361" i="1"/>
  <c r="Q270" i="1"/>
  <c r="Q260" i="1"/>
  <c r="Q337" i="1"/>
  <c r="Q360" i="1"/>
  <c r="Q262" i="1"/>
  <c r="Q261" i="1"/>
  <c r="Q271" i="1"/>
  <c r="Q339" i="1"/>
  <c r="Q267" i="1"/>
  <c r="Q332" i="1"/>
  <c r="Q272" i="1"/>
  <c r="Q333" i="1"/>
  <c r="Q352" i="1"/>
  <c r="P343" i="1"/>
  <c r="T13" i="14"/>
  <c r="T11" i="14" s="1"/>
  <c r="T21" i="14" s="1"/>
  <c r="I7" i="15"/>
  <c r="Q62" i="17"/>
  <c r="O369" i="1"/>
  <c r="O370" i="1" s="1"/>
  <c r="F7" i="15"/>
  <c r="H7" i="15"/>
  <c r="P70" i="15"/>
  <c r="P74" i="15"/>
  <c r="Q61" i="17"/>
  <c r="O375" i="1"/>
  <c r="L7" i="15"/>
  <c r="P374" i="1"/>
  <c r="P276" i="1"/>
  <c r="R16" i="17"/>
  <c r="P366" i="1"/>
  <c r="P372" i="1"/>
  <c r="K7" i="15"/>
  <c r="S53" i="18"/>
  <c r="S32" i="18"/>
  <c r="S40" i="18" s="1"/>
  <c r="T189" i="18"/>
  <c r="G7" i="15"/>
  <c r="Z161" i="13"/>
  <c r="Z166" i="13"/>
  <c r="Z160" i="13"/>
  <c r="Z175" i="13"/>
  <c r="Z162" i="13"/>
  <c r="Z168" i="13"/>
  <c r="Z165" i="13"/>
  <c r="Z167" i="13"/>
  <c r="Z164" i="13"/>
  <c r="Z163" i="13"/>
  <c r="Z159" i="13"/>
  <c r="Z170" i="13"/>
  <c r="Z169" i="13"/>
  <c r="Z152" i="13"/>
  <c r="Z153" i="13"/>
  <c r="Z151" i="13"/>
  <c r="Z154" i="13"/>
  <c r="Z155" i="13"/>
  <c r="Z158" i="13"/>
  <c r="Z156" i="13"/>
  <c r="Z157" i="13"/>
  <c r="T126" i="13"/>
  <c r="T131" i="13" s="1"/>
  <c r="U120" i="13"/>
  <c r="Y171" i="13"/>
  <c r="AB96" i="13"/>
  <c r="AA150" i="13"/>
  <c r="X219" i="13"/>
  <c r="X207" i="13"/>
  <c r="X213" i="13"/>
  <c r="X215" i="13"/>
  <c r="X209" i="13"/>
  <c r="X210" i="13"/>
  <c r="X220" i="13"/>
  <c r="X214" i="13"/>
  <c r="X217" i="13"/>
  <c r="X216" i="13"/>
  <c r="X212" i="13"/>
  <c r="X218" i="13"/>
  <c r="X208" i="13"/>
  <c r="X211" i="13"/>
  <c r="Z48" i="13"/>
  <c r="Y49" i="13"/>
  <c r="Y46" i="13"/>
  <c r="Y183" i="13"/>
  <c r="Y194" i="13"/>
  <c r="Y185" i="13"/>
  <c r="Y188" i="13"/>
  <c r="Y195" i="13"/>
  <c r="Y192" i="13"/>
  <c r="Y189" i="13"/>
  <c r="Y200" i="13"/>
  <c r="Y190" i="13"/>
  <c r="Y184" i="13"/>
  <c r="Y187" i="13"/>
  <c r="Y193" i="13"/>
  <c r="Y186" i="13"/>
  <c r="Y191" i="13"/>
  <c r="Y176" i="13"/>
  <c r="Y177" i="13"/>
  <c r="Y178" i="13"/>
  <c r="Y181" i="13"/>
  <c r="Y179" i="13"/>
  <c r="Y180" i="13"/>
  <c r="Y182" i="13"/>
  <c r="X196" i="13"/>
  <c r="X198" i="13" s="1"/>
  <c r="AH102" i="13"/>
  <c r="O68" i="15"/>
  <c r="N68" i="15"/>
  <c r="AL106" i="13"/>
  <c r="U118" i="13"/>
  <c r="T125" i="13"/>
  <c r="T130" i="13" s="1"/>
  <c r="T29" i="18"/>
  <c r="U197" i="18"/>
  <c r="T50" i="18"/>
  <c r="T25" i="18"/>
  <c r="T46" i="18"/>
  <c r="U193" i="18"/>
  <c r="U131" i="22" l="1"/>
  <c r="U9" i="22" s="1"/>
  <c r="U11" i="22" s="1"/>
  <c r="W14" i="14" s="1"/>
  <c r="U22" i="17" s="1"/>
  <c r="T82" i="15" s="1"/>
  <c r="V128" i="22"/>
  <c r="X219" i="14"/>
  <c r="W218" i="14"/>
  <c r="W244" i="14"/>
  <c r="W243" i="14" s="1"/>
  <c r="Y15" i="14" s="1"/>
  <c r="S47" i="18"/>
  <c r="S45" i="18" s="1"/>
  <c r="S192" i="18"/>
  <c r="T194" i="18"/>
  <c r="S26" i="18"/>
  <c r="S24" i="18" s="1"/>
  <c r="X147" i="22"/>
  <c r="X150" i="22" s="1"/>
  <c r="X10" i="22" s="1"/>
  <c r="Z134" i="22"/>
  <c r="Z139" i="22" s="1"/>
  <c r="Z140" i="22" s="1"/>
  <c r="W213" i="14"/>
  <c r="X214" i="14"/>
  <c r="W239" i="14"/>
  <c r="W238" i="14" s="1"/>
  <c r="X79" i="22"/>
  <c r="X83" i="22" s="1"/>
  <c r="X7" i="22" s="1"/>
  <c r="X53" i="22"/>
  <c r="Q55" i="18"/>
  <c r="W252" i="14"/>
  <c r="X16" i="14"/>
  <c r="V30" i="17" s="1"/>
  <c r="Q13" i="18"/>
  <c r="Q9" i="18" s="1"/>
  <c r="P21" i="17" s="1"/>
  <c r="P20" i="17" s="1"/>
  <c r="P11" i="17" s="1"/>
  <c r="P13" i="18"/>
  <c r="P9" i="18" s="1"/>
  <c r="O21" i="17" s="1"/>
  <c r="J10" i="38"/>
  <c r="J7" i="41" s="1"/>
  <c r="J6" i="41"/>
  <c r="J9" i="41" s="1"/>
  <c r="J10" i="41" s="1"/>
  <c r="N11" i="17"/>
  <c r="O7" i="15" s="1"/>
  <c r="M11" i="17"/>
  <c r="N7" i="15" s="1"/>
  <c r="N11" i="15" s="1"/>
  <c r="N12" i="15" s="1"/>
  <c r="B9" i="38"/>
  <c r="E11" i="15"/>
  <c r="E12" i="15" s="1"/>
  <c r="X26" i="17"/>
  <c r="W69" i="15" s="1"/>
  <c r="W26" i="17"/>
  <c r="V69" i="15" s="1"/>
  <c r="R11" i="18"/>
  <c r="R27" i="18"/>
  <c r="R23" i="18" s="1"/>
  <c r="R16" i="18"/>
  <c r="U69" i="15"/>
  <c r="R48" i="18"/>
  <c r="R44" i="18" s="1"/>
  <c r="Q38" i="18"/>
  <c r="Q34" i="18" s="1"/>
  <c r="S51" i="18"/>
  <c r="S62" i="18" s="1"/>
  <c r="S30" i="18"/>
  <c r="S41" i="18" s="1"/>
  <c r="T198" i="18"/>
  <c r="R39" i="18"/>
  <c r="R38" i="18" s="1"/>
  <c r="Z9" i="19"/>
  <c r="S195" i="18"/>
  <c r="S28" i="18"/>
  <c r="T196" i="18"/>
  <c r="S49" i="18"/>
  <c r="S48" i="18" s="1"/>
  <c r="S44" i="18" s="1"/>
  <c r="R56" i="18"/>
  <c r="R35" i="18"/>
  <c r="R14" i="18"/>
  <c r="X231" i="14"/>
  <c r="X230" i="14" s="1"/>
  <c r="W230" i="14"/>
  <c r="W225" i="14"/>
  <c r="X226" i="14"/>
  <c r="X225" i="14" s="1"/>
  <c r="AA225" i="14" s="1"/>
  <c r="M11" i="15"/>
  <c r="M12" i="15" s="1"/>
  <c r="R12" i="18"/>
  <c r="R59" i="18"/>
  <c r="R15" i="18"/>
  <c r="S37" i="18"/>
  <c r="S39" i="18"/>
  <c r="S36" i="18"/>
  <c r="G11" i="15"/>
  <c r="G12" i="15" s="1"/>
  <c r="D9" i="38"/>
  <c r="R62" i="17"/>
  <c r="P369" i="1"/>
  <c r="P370" i="1" s="1"/>
  <c r="S61" i="18"/>
  <c r="S15" i="18" s="1"/>
  <c r="F9" i="38"/>
  <c r="I11" i="15"/>
  <c r="I12" i="15" s="1"/>
  <c r="R61" i="17"/>
  <c r="P375" i="1"/>
  <c r="Q276" i="1"/>
  <c r="S16" i="17"/>
  <c r="Q74" i="15"/>
  <c r="Q70" i="15"/>
  <c r="C9" i="38"/>
  <c r="F11" i="15"/>
  <c r="F12" i="15" s="1"/>
  <c r="U13" i="14"/>
  <c r="U11" i="14" s="1"/>
  <c r="U21" i="14" s="1"/>
  <c r="Q343" i="1"/>
  <c r="S57" i="18"/>
  <c r="T32" i="18"/>
  <c r="T36" i="18" s="1"/>
  <c r="U189" i="18"/>
  <c r="T53" i="18"/>
  <c r="K11" i="15"/>
  <c r="K12" i="15" s="1"/>
  <c r="H9" i="38"/>
  <c r="S58" i="18"/>
  <c r="Q373" i="1"/>
  <c r="Q374" i="1"/>
  <c r="Q372" i="1"/>
  <c r="Q366" i="1"/>
  <c r="I9" i="38"/>
  <c r="L11" i="15"/>
  <c r="L12" i="15" s="1"/>
  <c r="E9" i="38"/>
  <c r="H11" i="15"/>
  <c r="H12" i="15" s="1"/>
  <c r="S17" i="17"/>
  <c r="R78" i="15" s="1"/>
  <c r="R77" i="15" s="1"/>
  <c r="R355" i="1"/>
  <c r="R339" i="1"/>
  <c r="R332" i="1"/>
  <c r="R351" i="1"/>
  <c r="R350" i="1"/>
  <c r="R261" i="1"/>
  <c r="R272" i="1"/>
  <c r="R356" i="1"/>
  <c r="R327" i="1"/>
  <c r="R265" i="1"/>
  <c r="R262" i="1"/>
  <c r="R362" i="1"/>
  <c r="R270" i="1"/>
  <c r="R338" i="1"/>
  <c r="R267" i="1"/>
  <c r="R337" i="1"/>
  <c r="R361" i="1"/>
  <c r="R360" i="1"/>
  <c r="R352" i="1"/>
  <c r="R334" i="1"/>
  <c r="R260" i="1"/>
  <c r="R357" i="1"/>
  <c r="R271" i="1"/>
  <c r="S256" i="1"/>
  <c r="R333" i="1"/>
  <c r="R329" i="1"/>
  <c r="R266" i="1"/>
  <c r="R328" i="1"/>
  <c r="G9" i="38"/>
  <c r="J11" i="15"/>
  <c r="J12" i="15" s="1"/>
  <c r="Z171" i="13"/>
  <c r="Z172" i="13" s="1"/>
  <c r="Z190" i="13"/>
  <c r="Z185" i="13"/>
  <c r="Z186" i="13"/>
  <c r="Z188" i="13"/>
  <c r="Z194" i="13"/>
  <c r="Z189" i="13"/>
  <c r="Z192" i="13"/>
  <c r="Z193" i="13"/>
  <c r="Z187" i="13"/>
  <c r="Z184" i="13"/>
  <c r="Z200" i="13"/>
  <c r="Z191" i="13"/>
  <c r="Z195" i="13"/>
  <c r="Z177" i="13"/>
  <c r="Z182" i="13"/>
  <c r="Z179" i="13"/>
  <c r="Z176" i="13"/>
  <c r="Z180" i="13"/>
  <c r="Z181" i="13"/>
  <c r="Z178" i="13"/>
  <c r="Z183" i="13"/>
  <c r="Y212" i="13"/>
  <c r="Y217" i="13"/>
  <c r="Y210" i="13"/>
  <c r="Y219" i="13"/>
  <c r="Y218" i="13"/>
  <c r="Y216" i="13"/>
  <c r="Y211" i="13"/>
  <c r="Y220" i="13"/>
  <c r="Y214" i="13"/>
  <c r="Y215" i="13"/>
  <c r="Y209" i="13"/>
  <c r="Y208" i="13"/>
  <c r="Y213" i="13"/>
  <c r="AA48" i="13"/>
  <c r="Z46" i="13"/>
  <c r="Z49" i="13"/>
  <c r="U126" i="13"/>
  <c r="U131" i="13" s="1"/>
  <c r="V120" i="13"/>
  <c r="Y196" i="13"/>
  <c r="AA161" i="13"/>
  <c r="AA160" i="13"/>
  <c r="AA164" i="13"/>
  <c r="AA167" i="13"/>
  <c r="AA169" i="13"/>
  <c r="AA170" i="13"/>
  <c r="AA165" i="13"/>
  <c r="AA166" i="13"/>
  <c r="AA175" i="13"/>
  <c r="AA163" i="13"/>
  <c r="AA162" i="13"/>
  <c r="AA168" i="13"/>
  <c r="AA152" i="13"/>
  <c r="AA151" i="13"/>
  <c r="AA153" i="13"/>
  <c r="AA154" i="13"/>
  <c r="AA155" i="13"/>
  <c r="AA156" i="13"/>
  <c r="AA158" i="13"/>
  <c r="AA159" i="13"/>
  <c r="AA157" i="13"/>
  <c r="AC96" i="13"/>
  <c r="AB150" i="13"/>
  <c r="AI102" i="13"/>
  <c r="AM106" i="13"/>
  <c r="U50" i="18"/>
  <c r="V197" i="18"/>
  <c r="U29" i="18"/>
  <c r="U25" i="18"/>
  <c r="U46" i="18"/>
  <c r="V193" i="18"/>
  <c r="V118" i="13"/>
  <c r="U125" i="13"/>
  <c r="U130" i="13" s="1"/>
  <c r="X213" i="14" l="1"/>
  <c r="X239" i="14"/>
  <c r="X238" i="14" s="1"/>
  <c r="U194" i="18"/>
  <c r="T26" i="18"/>
  <c r="T24" i="18" s="1"/>
  <c r="T47" i="18"/>
  <c r="T45" i="18" s="1"/>
  <c r="T192" i="18"/>
  <c r="S191" i="18"/>
  <c r="C26" i="17"/>
  <c r="H65" i="23" s="1"/>
  <c r="H113" i="23" s="1"/>
  <c r="W28" i="17"/>
  <c r="X252" i="14"/>
  <c r="Z16" i="14" s="1"/>
  <c r="X30" i="17" s="1"/>
  <c r="Y16" i="14"/>
  <c r="W30" i="17" s="1"/>
  <c r="M78" i="14"/>
  <c r="X218" i="14"/>
  <c r="X244" i="14"/>
  <c r="X243" i="14" s="1"/>
  <c r="Z15" i="14" s="1"/>
  <c r="X28" i="17" s="1"/>
  <c r="C28" i="17" s="1"/>
  <c r="T58" i="18"/>
  <c r="W128" i="22"/>
  <c r="V131" i="22"/>
  <c r="V9" i="22" s="1"/>
  <c r="V11" i="22" s="1"/>
  <c r="X14" i="14" s="1"/>
  <c r="Z44" i="22"/>
  <c r="Z49" i="22" s="1"/>
  <c r="Z50" i="22" s="1"/>
  <c r="X90" i="22"/>
  <c r="X92" i="22" s="1"/>
  <c r="X8" i="22" s="1"/>
  <c r="O20" i="17"/>
  <c r="O11" i="17" s="1"/>
  <c r="N75" i="15"/>
  <c r="N73" i="15" s="1"/>
  <c r="N92" i="15" s="1"/>
  <c r="R13" i="18"/>
  <c r="E10" i="38"/>
  <c r="E7" i="41" s="1"/>
  <c r="E6" i="41"/>
  <c r="E9" i="41" s="1"/>
  <c r="E10" i="41" s="1"/>
  <c r="H10" i="38"/>
  <c r="H7" i="41" s="1"/>
  <c r="H6" i="41"/>
  <c r="H9" i="41" s="1"/>
  <c r="H10" i="41" s="1"/>
  <c r="G10" i="38"/>
  <c r="G7" i="41" s="1"/>
  <c r="G6" i="41"/>
  <c r="G9" i="41" s="1"/>
  <c r="G10" i="41" s="1"/>
  <c r="C10" i="38"/>
  <c r="C7" i="41" s="1"/>
  <c r="C6" i="41"/>
  <c r="C9" i="41" s="1"/>
  <c r="C10" i="41" s="1"/>
  <c r="F10" i="38"/>
  <c r="F7" i="41" s="1"/>
  <c r="F6" i="41"/>
  <c r="F9" i="41" s="1"/>
  <c r="F10" i="41" s="1"/>
  <c r="D10" i="38"/>
  <c r="D7" i="41" s="1"/>
  <c r="D6" i="41"/>
  <c r="D9" i="41" s="1"/>
  <c r="D10" i="41" s="1"/>
  <c r="I10" i="38"/>
  <c r="I7" i="41" s="1"/>
  <c r="I6" i="41"/>
  <c r="I9" i="41" s="1"/>
  <c r="I10" i="41" s="1"/>
  <c r="B10" i="38"/>
  <c r="B7" i="41" s="1"/>
  <c r="B6" i="41"/>
  <c r="B9" i="41" s="1"/>
  <c r="B10" i="41" s="1"/>
  <c r="K9" i="38"/>
  <c r="S27" i="18"/>
  <c r="S23" i="18" s="1"/>
  <c r="T57" i="18"/>
  <c r="T11" i="18" s="1"/>
  <c r="S60" i="18"/>
  <c r="S59" i="18" s="1"/>
  <c r="S16" i="18"/>
  <c r="R10" i="18"/>
  <c r="Q71" i="15" s="1"/>
  <c r="R34" i="18"/>
  <c r="U198" i="18"/>
  <c r="T51" i="18"/>
  <c r="T62" i="18" s="1"/>
  <c r="T30" i="18"/>
  <c r="T41" i="18" s="1"/>
  <c r="T28" i="18"/>
  <c r="T195" i="18"/>
  <c r="T191" i="18" s="1"/>
  <c r="T49" i="18"/>
  <c r="T60" i="18" s="1"/>
  <c r="U196" i="18"/>
  <c r="R55" i="18"/>
  <c r="S38" i="18"/>
  <c r="O75" i="15"/>
  <c r="O73" i="15" s="1"/>
  <c r="O92" i="15" s="1"/>
  <c r="E59" i="23"/>
  <c r="AA230" i="14"/>
  <c r="E100" i="13" s="1"/>
  <c r="I59" i="23"/>
  <c r="S11" i="18"/>
  <c r="T40" i="18"/>
  <c r="T17" i="17"/>
  <c r="S78" i="15" s="1"/>
  <c r="S77" i="15" s="1"/>
  <c r="S12" i="18"/>
  <c r="T61" i="18"/>
  <c r="R374" i="1"/>
  <c r="S35" i="18"/>
  <c r="S62" i="17"/>
  <c r="Q369" i="1"/>
  <c r="Q370" i="1" s="1"/>
  <c r="V189" i="18"/>
  <c r="U53" i="18"/>
  <c r="U61" i="18" s="1"/>
  <c r="U32" i="18"/>
  <c r="R276" i="1"/>
  <c r="T16" i="17"/>
  <c r="R373" i="1"/>
  <c r="V13" i="14"/>
  <c r="V11" i="14" s="1"/>
  <c r="V21" i="14" s="1"/>
  <c r="R343" i="1"/>
  <c r="R366" i="1"/>
  <c r="R372" i="1"/>
  <c r="S61" i="17"/>
  <c r="Q375" i="1"/>
  <c r="T37" i="18"/>
  <c r="T35" i="18" s="1"/>
  <c r="S56" i="18"/>
  <c r="S350" i="1"/>
  <c r="S260" i="1"/>
  <c r="S332" i="1"/>
  <c r="S266" i="1"/>
  <c r="S361" i="1"/>
  <c r="S337" i="1"/>
  <c r="S352" i="1"/>
  <c r="S272" i="1"/>
  <c r="S355" i="1"/>
  <c r="S362" i="1"/>
  <c r="T256" i="1"/>
  <c r="S327" i="1"/>
  <c r="S267" i="1"/>
  <c r="S261" i="1"/>
  <c r="S334" i="1"/>
  <c r="S329" i="1"/>
  <c r="S357" i="1"/>
  <c r="S351" i="1"/>
  <c r="S356" i="1"/>
  <c r="S262" i="1"/>
  <c r="S333" i="1"/>
  <c r="S270" i="1"/>
  <c r="S338" i="1"/>
  <c r="S360" i="1"/>
  <c r="S271" i="1"/>
  <c r="S339" i="1"/>
  <c r="S265" i="1"/>
  <c r="S328" i="1"/>
  <c r="R70" i="15"/>
  <c r="R74" i="15"/>
  <c r="P7" i="15"/>
  <c r="M9" i="38" s="1"/>
  <c r="Q7" i="15"/>
  <c r="Q11" i="15" s="1"/>
  <c r="Q12" i="15" s="1"/>
  <c r="Z215" i="13"/>
  <c r="Z220" i="13"/>
  <c r="Z219" i="13"/>
  <c r="Z214" i="13"/>
  <c r="Z217" i="13"/>
  <c r="Z210" i="13"/>
  <c r="Z218" i="13"/>
  <c r="Z212" i="13"/>
  <c r="Z209" i="13"/>
  <c r="Z211" i="13"/>
  <c r="Z213" i="13"/>
  <c r="Z216" i="13"/>
  <c r="AA192" i="13"/>
  <c r="AA188" i="13"/>
  <c r="AA187" i="13"/>
  <c r="AA200" i="13"/>
  <c r="AA185" i="13"/>
  <c r="AA191" i="13"/>
  <c r="AA189" i="13"/>
  <c r="AA195" i="13"/>
  <c r="AA193" i="13"/>
  <c r="AA194" i="13"/>
  <c r="AA190" i="13"/>
  <c r="AA186" i="13"/>
  <c r="AA176" i="13"/>
  <c r="AA180" i="13"/>
  <c r="AA181" i="13"/>
  <c r="AA177" i="13"/>
  <c r="AA183" i="13"/>
  <c r="AA184" i="13"/>
  <c r="AA179" i="13"/>
  <c r="AA178" i="13"/>
  <c r="AA182" i="13"/>
  <c r="AB161" i="13"/>
  <c r="AB165" i="13"/>
  <c r="AB167" i="13"/>
  <c r="AB164" i="13"/>
  <c r="AB163" i="13"/>
  <c r="AB162" i="13"/>
  <c r="AB175" i="13"/>
  <c r="AB166" i="13"/>
  <c r="AB170" i="13"/>
  <c r="AB169" i="13"/>
  <c r="AB168" i="13"/>
  <c r="AB154" i="13"/>
  <c r="AB152" i="13"/>
  <c r="AB155" i="13"/>
  <c r="AB151" i="13"/>
  <c r="AB153" i="13"/>
  <c r="AB157" i="13"/>
  <c r="AB160" i="13"/>
  <c r="AB159" i="13"/>
  <c r="AB158" i="13"/>
  <c r="AB156" i="13"/>
  <c r="Z196" i="13"/>
  <c r="Z197" i="13" s="1"/>
  <c r="AD96" i="13"/>
  <c r="AC150" i="13"/>
  <c r="AA171" i="13"/>
  <c r="AA172" i="13" s="1"/>
  <c r="V126" i="13"/>
  <c r="V131" i="13" s="1"/>
  <c r="W120" i="13"/>
  <c r="AB48" i="13"/>
  <c r="AA49" i="13"/>
  <c r="AA46" i="13"/>
  <c r="AJ102" i="13"/>
  <c r="O11" i="15"/>
  <c r="O12" i="15" s="1"/>
  <c r="L9" i="38"/>
  <c r="P68" i="15"/>
  <c r="Q68" i="15"/>
  <c r="W118" i="13"/>
  <c r="V125" i="13"/>
  <c r="V130" i="13" s="1"/>
  <c r="AN106" i="13"/>
  <c r="V50" i="18"/>
  <c r="V29" i="18"/>
  <c r="W197" i="18"/>
  <c r="V46" i="18"/>
  <c r="W193" i="18"/>
  <c r="V25" i="18"/>
  <c r="L55" i="23" l="1"/>
  <c r="D179" i="23"/>
  <c r="G113" i="23"/>
  <c r="H78" i="23"/>
  <c r="F113" i="23"/>
  <c r="F114" i="23" s="1"/>
  <c r="E113" i="23"/>
  <c r="D113" i="23" s="1"/>
  <c r="V22" i="17"/>
  <c r="C30" i="17"/>
  <c r="C37" i="17" s="1"/>
  <c r="U47" i="18"/>
  <c r="U45" i="18" s="1"/>
  <c r="U192" i="18"/>
  <c r="U26" i="18"/>
  <c r="U24" i="18" s="1"/>
  <c r="V194" i="18"/>
  <c r="U37" i="18"/>
  <c r="G59" i="23"/>
  <c r="D119" i="23" s="1"/>
  <c r="L94" i="14"/>
  <c r="X128" i="22"/>
  <c r="X131" i="22" s="1"/>
  <c r="X9" i="22" s="1"/>
  <c r="X11" i="22" s="1"/>
  <c r="Z14" i="14" s="1"/>
  <c r="X22" i="17" s="1"/>
  <c r="W82" i="15" s="1"/>
  <c r="W131" i="22"/>
  <c r="W9" i="22" s="1"/>
  <c r="W11" i="22" s="1"/>
  <c r="Y14" i="14" s="1"/>
  <c r="W22" i="17" s="1"/>
  <c r="V82" i="15" s="1"/>
  <c r="E15" i="14"/>
  <c r="I72" i="23" s="1"/>
  <c r="I85" i="23"/>
  <c r="E16" i="14"/>
  <c r="J72" i="23" s="1"/>
  <c r="J85" i="23" s="1"/>
  <c r="L10" i="38"/>
  <c r="L7" i="41" s="1"/>
  <c r="L6" i="41"/>
  <c r="L9" i="41" s="1"/>
  <c r="L10" i="41" s="1"/>
  <c r="K10" i="38"/>
  <c r="K7" i="41" s="1"/>
  <c r="K6" i="41"/>
  <c r="K9" i="41" s="1"/>
  <c r="K10" i="41" s="1"/>
  <c r="M10" i="38"/>
  <c r="M7" i="41" s="1"/>
  <c r="M6" i="41"/>
  <c r="M9" i="41" s="1"/>
  <c r="M10" i="41" s="1"/>
  <c r="S14" i="18"/>
  <c r="S13" i="18" s="1"/>
  <c r="T56" i="18"/>
  <c r="R9" i="18"/>
  <c r="Q21" i="17" s="1"/>
  <c r="P75" i="15" s="1"/>
  <c r="P73" i="15" s="1"/>
  <c r="P92" i="15" s="1"/>
  <c r="T27" i="18"/>
  <c r="T23" i="18" s="1"/>
  <c r="T48" i="18"/>
  <c r="T44" i="18" s="1"/>
  <c r="H114" i="23"/>
  <c r="H213" i="23" s="1"/>
  <c r="F4" i="27"/>
  <c r="F12" i="27" s="1"/>
  <c r="B25" i="27" s="1"/>
  <c r="B37" i="27" s="1"/>
  <c r="U30" i="18"/>
  <c r="U41" i="18" s="1"/>
  <c r="U51" i="18"/>
  <c r="U62" i="18" s="1"/>
  <c r="V198" i="18"/>
  <c r="V196" i="18"/>
  <c r="U195" i="18"/>
  <c r="U191" i="18" s="1"/>
  <c r="U49" i="18"/>
  <c r="U28" i="18"/>
  <c r="G114" i="23"/>
  <c r="G213" i="23" s="1"/>
  <c r="E4" i="27"/>
  <c r="E12" i="27" s="1"/>
  <c r="B24" i="27" s="1"/>
  <c r="B36" i="27" s="1"/>
  <c r="E114" i="23"/>
  <c r="E213" i="23" s="1"/>
  <c r="T39" i="18"/>
  <c r="T14" i="18" s="1"/>
  <c r="T13" i="18" s="1"/>
  <c r="D4" i="27"/>
  <c r="D12" i="27" s="1"/>
  <c r="B23" i="27" s="1"/>
  <c r="B35" i="27" s="1"/>
  <c r="U57" i="18"/>
  <c r="S55" i="18"/>
  <c r="S10" i="18"/>
  <c r="R71" i="15" s="1"/>
  <c r="S34" i="18"/>
  <c r="F100" i="13"/>
  <c r="G100" i="13" s="1"/>
  <c r="H100" i="13" s="1"/>
  <c r="I100" i="13" s="1"/>
  <c r="J100" i="13" s="1"/>
  <c r="K100" i="13" s="1"/>
  <c r="L100" i="13" s="1"/>
  <c r="M100" i="13" s="1"/>
  <c r="N100" i="13" s="1"/>
  <c r="O100" i="13" s="1"/>
  <c r="P100" i="13" s="1"/>
  <c r="Q100" i="13" s="1"/>
  <c r="R100" i="13" s="1"/>
  <c r="S100" i="13" s="1"/>
  <c r="T100" i="13" s="1"/>
  <c r="U100" i="13" s="1"/>
  <c r="V100" i="13" s="1"/>
  <c r="W100" i="13" s="1"/>
  <c r="X100" i="13" s="1"/>
  <c r="Y100" i="13" s="1"/>
  <c r="Z100" i="13" s="1"/>
  <c r="AA100" i="13" s="1"/>
  <c r="AB100" i="13" s="1"/>
  <c r="AC100" i="13" s="1"/>
  <c r="AD100" i="13" s="1"/>
  <c r="AE100" i="13" s="1"/>
  <c r="AF100" i="13" s="1"/>
  <c r="AG100" i="13" s="1"/>
  <c r="AH100" i="13" s="1"/>
  <c r="AI100" i="13" s="1"/>
  <c r="AJ100" i="13" s="1"/>
  <c r="AK100" i="13" s="1"/>
  <c r="AL100" i="13" s="1"/>
  <c r="AM100" i="13" s="1"/>
  <c r="AN100" i="13" s="1"/>
  <c r="AO100" i="13" s="1"/>
  <c r="AP100" i="13" s="1"/>
  <c r="AQ100" i="13" s="1"/>
  <c r="AR100" i="13" s="1"/>
  <c r="AS100" i="13" s="1"/>
  <c r="AT100" i="13" s="1"/>
  <c r="AU100" i="13" s="1"/>
  <c r="AV100" i="13" s="1"/>
  <c r="AW100" i="13" s="1"/>
  <c r="AX100" i="13" s="1"/>
  <c r="AY100" i="13" s="1"/>
  <c r="AZ100" i="13" s="1"/>
  <c r="BA100" i="13" s="1"/>
  <c r="BB100" i="13" s="1"/>
  <c r="BC100" i="13" s="1"/>
  <c r="BD100" i="13" s="1"/>
  <c r="BE100" i="13" s="1"/>
  <c r="BF100" i="13" s="1"/>
  <c r="BG100" i="13" s="1"/>
  <c r="BH100" i="13" s="1"/>
  <c r="BI100" i="13" s="1"/>
  <c r="BJ100" i="13" s="1"/>
  <c r="BK100" i="13" s="1"/>
  <c r="BL100" i="13" s="1"/>
  <c r="BM100" i="13" s="1"/>
  <c r="BN100" i="13" s="1"/>
  <c r="BO100" i="13" s="1"/>
  <c r="BP100" i="13" s="1"/>
  <c r="BQ100" i="13" s="1"/>
  <c r="BR100" i="13" s="1"/>
  <c r="BS100" i="13" s="1"/>
  <c r="BT100" i="13" s="1"/>
  <c r="BU100" i="13" s="1"/>
  <c r="BV100" i="13" s="1"/>
  <c r="BW100" i="13" s="1"/>
  <c r="BX100" i="13" s="1"/>
  <c r="BY100" i="13" s="1"/>
  <c r="BZ100" i="13" s="1"/>
  <c r="CA100" i="13" s="1"/>
  <c r="CB100" i="13" s="1"/>
  <c r="F114" i="13"/>
  <c r="F122" i="13"/>
  <c r="T16" i="18"/>
  <c r="L202" i="23"/>
  <c r="U58" i="18"/>
  <c r="T15" i="18"/>
  <c r="T59" i="18"/>
  <c r="S374" i="1"/>
  <c r="U40" i="18"/>
  <c r="U15" i="18" s="1"/>
  <c r="T61" i="17"/>
  <c r="R375" i="1"/>
  <c r="S70" i="15"/>
  <c r="S74" i="15"/>
  <c r="S343" i="1"/>
  <c r="T62" i="17"/>
  <c r="R369" i="1"/>
  <c r="R370" i="1" s="1"/>
  <c r="U17" i="17"/>
  <c r="T78" i="15" s="1"/>
  <c r="T77" i="15" s="1"/>
  <c r="T350" i="1"/>
  <c r="T327" i="1"/>
  <c r="T361" i="1"/>
  <c r="T265" i="1"/>
  <c r="T262" i="1"/>
  <c r="T337" i="1"/>
  <c r="T333" i="1"/>
  <c r="T267" i="1"/>
  <c r="T260" i="1"/>
  <c r="T271" i="1"/>
  <c r="T272" i="1"/>
  <c r="T362" i="1"/>
  <c r="T328" i="1"/>
  <c r="T339" i="1"/>
  <c r="T355" i="1"/>
  <c r="T356" i="1"/>
  <c r="T338" i="1"/>
  <c r="T261" i="1"/>
  <c r="T266" i="1"/>
  <c r="T332" i="1"/>
  <c r="U256" i="1"/>
  <c r="T352" i="1"/>
  <c r="T334" i="1"/>
  <c r="T351" i="1"/>
  <c r="T329" i="1"/>
  <c r="T270" i="1"/>
  <c r="T360" i="1"/>
  <c r="T357" i="1"/>
  <c r="W13" i="14"/>
  <c r="W11" i="14" s="1"/>
  <c r="W21" i="14" s="1"/>
  <c r="S276" i="1"/>
  <c r="U16" i="17"/>
  <c r="V32" i="18"/>
  <c r="V40" i="18" s="1"/>
  <c r="V53" i="18"/>
  <c r="W189" i="18"/>
  <c r="T12" i="18"/>
  <c r="T10" i="18" s="1"/>
  <c r="U36" i="18"/>
  <c r="S373" i="1"/>
  <c r="S372" i="1"/>
  <c r="S366" i="1"/>
  <c r="AA196" i="13"/>
  <c r="AA197" i="13" s="1"/>
  <c r="AA212" i="13"/>
  <c r="AA216" i="13"/>
  <c r="AA218" i="13"/>
  <c r="AA220" i="13"/>
  <c r="AA210" i="13"/>
  <c r="AA211" i="13"/>
  <c r="AA213" i="13"/>
  <c r="AA214" i="13"/>
  <c r="AA217" i="13"/>
  <c r="AA219" i="13"/>
  <c r="AA215" i="13"/>
  <c r="P11" i="15"/>
  <c r="P12" i="15" s="1"/>
  <c r="AC48" i="13"/>
  <c r="AB49" i="13"/>
  <c r="AB46" i="13"/>
  <c r="AC162" i="13"/>
  <c r="AC163" i="13"/>
  <c r="AC167" i="13"/>
  <c r="AC165" i="13"/>
  <c r="AC166" i="13"/>
  <c r="AC169" i="13"/>
  <c r="AC170" i="13"/>
  <c r="AC168" i="13"/>
  <c r="AC164" i="13"/>
  <c r="AC175" i="13"/>
  <c r="AC153" i="13"/>
  <c r="AC161" i="13"/>
  <c r="AC155" i="13"/>
  <c r="AC160" i="13"/>
  <c r="AC156" i="13"/>
  <c r="AC157" i="13"/>
  <c r="AC152" i="13"/>
  <c r="AC154" i="13"/>
  <c r="AC159" i="13"/>
  <c r="AC151" i="13"/>
  <c r="AC158" i="13"/>
  <c r="AB171" i="13"/>
  <c r="AB172" i="13" s="1"/>
  <c r="AB187" i="13"/>
  <c r="AB193" i="13"/>
  <c r="AB192" i="13"/>
  <c r="AB191" i="13"/>
  <c r="AB189" i="13"/>
  <c r="AB188" i="13"/>
  <c r="AB195" i="13"/>
  <c r="AB194" i="13"/>
  <c r="AB190" i="13"/>
  <c r="AB200" i="13"/>
  <c r="AB186" i="13"/>
  <c r="AB179" i="13"/>
  <c r="AB184" i="13"/>
  <c r="AB180" i="13"/>
  <c r="AB178" i="13"/>
  <c r="AB181" i="13"/>
  <c r="AB185" i="13"/>
  <c r="AB176" i="13"/>
  <c r="AB182" i="13"/>
  <c r="AB183" i="13"/>
  <c r="AB177" i="13"/>
  <c r="W126" i="13"/>
  <c r="W131" i="13" s="1"/>
  <c r="X120" i="13"/>
  <c r="AE96" i="13"/>
  <c r="AD150" i="13"/>
  <c r="AK102" i="13"/>
  <c r="N9" i="38"/>
  <c r="R68" i="15"/>
  <c r="X197" i="18"/>
  <c r="W50" i="18"/>
  <c r="W29" i="18"/>
  <c r="AO106" i="13"/>
  <c r="W46" i="18"/>
  <c r="X193" i="18"/>
  <c r="W25" i="18"/>
  <c r="X118" i="13"/>
  <c r="W125" i="13"/>
  <c r="W130" i="13" s="1"/>
  <c r="C4" i="27" l="1"/>
  <c r="C12" i="27" s="1"/>
  <c r="B22" i="27" s="1"/>
  <c r="B34" i="27" s="1"/>
  <c r="V47" i="18"/>
  <c r="V45" i="18" s="1"/>
  <c r="V192" i="18"/>
  <c r="W194" i="18"/>
  <c r="V26" i="18"/>
  <c r="V24" i="18" s="1"/>
  <c r="U35" i="18"/>
  <c r="U12" i="18"/>
  <c r="U82" i="15"/>
  <c r="C22" i="17"/>
  <c r="U48" i="18"/>
  <c r="U44" i="18" s="1"/>
  <c r="E14" i="14"/>
  <c r="G72" i="23" s="1"/>
  <c r="G85" i="23" s="1"/>
  <c r="U27" i="18"/>
  <c r="U23" i="18" s="1"/>
  <c r="N10" i="38"/>
  <c r="N7" i="41" s="1"/>
  <c r="N6" i="41"/>
  <c r="N9" i="41" s="1"/>
  <c r="N10" i="41" s="1"/>
  <c r="T38" i="18"/>
  <c r="T34" i="18" s="1"/>
  <c r="T55" i="18"/>
  <c r="Q20" i="17"/>
  <c r="Q11" i="17" s="1"/>
  <c r="R7" i="15" s="1"/>
  <c r="U39" i="18"/>
  <c r="U38" i="18" s="1"/>
  <c r="F115" i="23"/>
  <c r="F213" i="23" s="1"/>
  <c r="V51" i="18"/>
  <c r="V62" i="18" s="1"/>
  <c r="V30" i="18"/>
  <c r="V41" i="18" s="1"/>
  <c r="W198" i="18"/>
  <c r="U60" i="18"/>
  <c r="U59" i="18" s="1"/>
  <c r="V195" i="18"/>
  <c r="V191" i="18" s="1"/>
  <c r="V28" i="18"/>
  <c r="W196" i="18"/>
  <c r="V49" i="18"/>
  <c r="G114" i="13"/>
  <c r="H114" i="13" s="1"/>
  <c r="I114" i="13" s="1"/>
  <c r="J114" i="13" s="1"/>
  <c r="K114" i="13" s="1"/>
  <c r="L114" i="13" s="1"/>
  <c r="M114" i="13" s="1"/>
  <c r="N114" i="13" s="1"/>
  <c r="O114" i="13" s="1"/>
  <c r="P114" i="13" s="1"/>
  <c r="Q114" i="13" s="1"/>
  <c r="R114" i="13" s="1"/>
  <c r="S114" i="13" s="1"/>
  <c r="T114" i="13" s="1"/>
  <c r="U114" i="13" s="1"/>
  <c r="V114" i="13" s="1"/>
  <c r="W114" i="13" s="1"/>
  <c r="X114" i="13" s="1"/>
  <c r="Y114" i="13" s="1"/>
  <c r="Z114" i="13" s="1"/>
  <c r="AA114" i="13" s="1"/>
  <c r="AB114" i="13" s="1"/>
  <c r="AC114" i="13" s="1"/>
  <c r="AD114" i="13" s="1"/>
  <c r="AE114" i="13" s="1"/>
  <c r="AF114" i="13" s="1"/>
  <c r="AG114" i="13" s="1"/>
  <c r="AH114" i="13" s="1"/>
  <c r="AI114" i="13" s="1"/>
  <c r="AJ114" i="13" s="1"/>
  <c r="AK114" i="13" s="1"/>
  <c r="AL114" i="13" s="1"/>
  <c r="AM114" i="13" s="1"/>
  <c r="AN114" i="13" s="1"/>
  <c r="AO114" i="13" s="1"/>
  <c r="AP114" i="13" s="1"/>
  <c r="AQ114" i="13" s="1"/>
  <c r="AR114" i="13" s="1"/>
  <c r="AS114" i="13" s="1"/>
  <c r="AT114" i="13" s="1"/>
  <c r="AU114" i="13" s="1"/>
  <c r="AV114" i="13" s="1"/>
  <c r="AW114" i="13" s="1"/>
  <c r="AX114" i="13" s="1"/>
  <c r="AY114" i="13" s="1"/>
  <c r="AZ114" i="13" s="1"/>
  <c r="BA114" i="13" s="1"/>
  <c r="BB114" i="13" s="1"/>
  <c r="BC114" i="13" s="1"/>
  <c r="BD114" i="13" s="1"/>
  <c r="BE114" i="13" s="1"/>
  <c r="BF114" i="13" s="1"/>
  <c r="BG114" i="13" s="1"/>
  <c r="BH114" i="13" s="1"/>
  <c r="BI114" i="13" s="1"/>
  <c r="BJ114" i="13" s="1"/>
  <c r="BK114" i="13" s="1"/>
  <c r="BL114" i="13" s="1"/>
  <c r="BM114" i="13" s="1"/>
  <c r="BN114" i="13" s="1"/>
  <c r="BO114" i="13" s="1"/>
  <c r="BP114" i="13" s="1"/>
  <c r="BQ114" i="13" s="1"/>
  <c r="BR114" i="13" s="1"/>
  <c r="BS114" i="13" s="1"/>
  <c r="BT114" i="13" s="1"/>
  <c r="BU114" i="13" s="1"/>
  <c r="BV114" i="13" s="1"/>
  <c r="BW114" i="13" s="1"/>
  <c r="BX114" i="13" s="1"/>
  <c r="BY114" i="13" s="1"/>
  <c r="BZ114" i="13" s="1"/>
  <c r="CA114" i="13" s="1"/>
  <c r="CB114" i="13" s="1"/>
  <c r="S9" i="18"/>
  <c r="R21" i="17" s="1"/>
  <c r="R20" i="17" s="1"/>
  <c r="U56" i="18"/>
  <c r="T9" i="18"/>
  <c r="S21" i="17" s="1"/>
  <c r="R75" i="15" s="1"/>
  <c r="R73" i="15" s="1"/>
  <c r="R92" i="15" s="1"/>
  <c r="G119" i="23"/>
  <c r="G122" i="23" s="1"/>
  <c r="H119" i="23"/>
  <c r="H122" i="23" s="1"/>
  <c r="E119" i="23"/>
  <c r="E122" i="23" s="1"/>
  <c r="F119" i="23"/>
  <c r="F122" i="23" s="1"/>
  <c r="F127" i="13"/>
  <c r="F132" i="13" s="1"/>
  <c r="E138" i="13" s="1"/>
  <c r="AB201" i="13" s="1"/>
  <c r="G122" i="13"/>
  <c r="V36" i="18"/>
  <c r="U11" i="18"/>
  <c r="U10" i="18" s="1"/>
  <c r="T71" i="15" s="1"/>
  <c r="U16" i="18"/>
  <c r="V57" i="18"/>
  <c r="V61" i="18"/>
  <c r="V15" i="18" s="1"/>
  <c r="V58" i="18"/>
  <c r="T373" i="1"/>
  <c r="S71" i="15"/>
  <c r="V37" i="18"/>
  <c r="T74" i="15"/>
  <c r="T70" i="15"/>
  <c r="X13" i="14"/>
  <c r="X11" i="14" s="1"/>
  <c r="X21" i="14" s="1"/>
  <c r="T343" i="1"/>
  <c r="U61" i="17"/>
  <c r="S375" i="1"/>
  <c r="U62" i="17"/>
  <c r="S369" i="1"/>
  <c r="S370" i="1" s="1"/>
  <c r="X189" i="18"/>
  <c r="W32" i="18"/>
  <c r="W40" i="18" s="1"/>
  <c r="W53" i="18"/>
  <c r="T374" i="1"/>
  <c r="U357" i="1"/>
  <c r="U338" i="1"/>
  <c r="U360" i="1"/>
  <c r="U261" i="1"/>
  <c r="U362" i="1"/>
  <c r="U355" i="1"/>
  <c r="U332" i="1"/>
  <c r="U339" i="1"/>
  <c r="U260" i="1"/>
  <c r="U337" i="1"/>
  <c r="U265" i="1"/>
  <c r="U329" i="1"/>
  <c r="U267" i="1"/>
  <c r="U327" i="1"/>
  <c r="U334" i="1"/>
  <c r="U333" i="1"/>
  <c r="U328" i="1"/>
  <c r="V256" i="1"/>
  <c r="U352" i="1"/>
  <c r="U350" i="1"/>
  <c r="U271" i="1"/>
  <c r="U356" i="1"/>
  <c r="U361" i="1"/>
  <c r="U272" i="1"/>
  <c r="U351" i="1"/>
  <c r="U270" i="1"/>
  <c r="U262" i="1"/>
  <c r="U266" i="1"/>
  <c r="T276" i="1"/>
  <c r="V16" i="17"/>
  <c r="T366" i="1"/>
  <c r="T372" i="1"/>
  <c r="V17" i="17"/>
  <c r="U78" i="15" s="1"/>
  <c r="U77" i="15" s="1"/>
  <c r="AC194" i="13"/>
  <c r="AC188" i="13"/>
  <c r="AC190" i="13"/>
  <c r="AC189" i="13"/>
  <c r="AC193" i="13"/>
  <c r="AC187" i="13"/>
  <c r="AC195" i="13"/>
  <c r="AC200" i="13"/>
  <c r="AC191" i="13"/>
  <c r="AC192" i="13"/>
  <c r="AC177" i="13"/>
  <c r="AC176" i="13"/>
  <c r="AC182" i="13"/>
  <c r="AC179" i="13"/>
  <c r="AC180" i="13"/>
  <c r="AC181" i="13"/>
  <c r="AC184" i="13"/>
  <c r="AC178" i="13"/>
  <c r="AC183" i="13"/>
  <c r="AC186" i="13"/>
  <c r="AC185" i="13"/>
  <c r="AC46" i="13"/>
  <c r="AC49" i="13"/>
  <c r="AD48" i="13"/>
  <c r="AB196" i="13"/>
  <c r="AB197" i="13" s="1"/>
  <c r="AB212" i="13"/>
  <c r="AB218" i="13"/>
  <c r="AB215" i="13"/>
  <c r="AB219" i="13"/>
  <c r="AB213" i="13"/>
  <c r="AB214" i="13"/>
  <c r="AB217" i="13"/>
  <c r="AB216" i="13"/>
  <c r="AB220" i="13"/>
  <c r="AB211" i="13"/>
  <c r="AF96" i="13"/>
  <c r="AE150" i="13"/>
  <c r="X126" i="13"/>
  <c r="X131" i="13" s="1"/>
  <c r="Y120" i="13"/>
  <c r="AD166" i="13"/>
  <c r="AD170" i="13"/>
  <c r="AD167" i="13"/>
  <c r="AD168" i="13"/>
  <c r="AD164" i="13"/>
  <c r="AD175" i="13"/>
  <c r="AD169" i="13"/>
  <c r="AD163" i="13"/>
  <c r="AD165" i="13"/>
  <c r="AD158" i="13"/>
  <c r="AD152" i="13"/>
  <c r="AD159" i="13"/>
  <c r="AD162" i="13"/>
  <c r="AD160" i="13"/>
  <c r="AD151" i="13"/>
  <c r="AD153" i="13"/>
  <c r="AD161" i="13"/>
  <c r="AD155" i="13"/>
  <c r="AD156" i="13"/>
  <c r="AD154" i="13"/>
  <c r="AD157" i="13"/>
  <c r="AC171" i="13"/>
  <c r="AC172" i="13" s="1"/>
  <c r="AL102" i="13"/>
  <c r="X50" i="18"/>
  <c r="Y197" i="18"/>
  <c r="X29" i="18"/>
  <c r="X46" i="18"/>
  <c r="X25" i="18"/>
  <c r="Y193" i="18"/>
  <c r="X125" i="13"/>
  <c r="X130" i="13" s="1"/>
  <c r="Y118" i="13"/>
  <c r="AP106" i="13"/>
  <c r="L95" i="23" l="1"/>
  <c r="L96" i="23" s="1"/>
  <c r="F95" i="23"/>
  <c r="K95" i="23"/>
  <c r="J95" i="23"/>
  <c r="F180" i="23" s="1"/>
  <c r="F181" i="23" s="1"/>
  <c r="G95" i="23"/>
  <c r="H21" i="26" s="1"/>
  <c r="H95" i="23"/>
  <c r="I21" i="26" s="1"/>
  <c r="E95" i="23"/>
  <c r="F21" i="26" s="1"/>
  <c r="I95" i="23"/>
  <c r="E180" i="23" s="1"/>
  <c r="X194" i="18"/>
  <c r="W47" i="18"/>
  <c r="W45" i="18" s="1"/>
  <c r="W26" i="18"/>
  <c r="W24" i="18" s="1"/>
  <c r="W192" i="18"/>
  <c r="U34" i="18"/>
  <c r="V27" i="18"/>
  <c r="V23" i="18" s="1"/>
  <c r="U14" i="18"/>
  <c r="V39" i="18"/>
  <c r="V38" i="18" s="1"/>
  <c r="V12" i="18"/>
  <c r="V48" i="18"/>
  <c r="V44" i="18" s="1"/>
  <c r="W28" i="18"/>
  <c r="W195" i="18"/>
  <c r="W191" i="18" s="1"/>
  <c r="X196" i="18"/>
  <c r="W49" i="18"/>
  <c r="V16" i="18"/>
  <c r="X198" i="18"/>
  <c r="W51" i="18"/>
  <c r="W62" i="18" s="1"/>
  <c r="W30" i="18"/>
  <c r="W41" i="18" s="1"/>
  <c r="V60" i="18"/>
  <c r="V59" i="18" s="1"/>
  <c r="U55" i="18"/>
  <c r="Q75" i="15"/>
  <c r="Q73" i="15" s="1"/>
  <c r="Q92" i="15" s="1"/>
  <c r="V11" i="18"/>
  <c r="S20" i="17"/>
  <c r="S201" i="13"/>
  <c r="S221" i="13" s="1"/>
  <c r="S223" i="13" s="1"/>
  <c r="T201" i="13"/>
  <c r="U201" i="13"/>
  <c r="V201" i="13"/>
  <c r="W201" i="13"/>
  <c r="X201" i="13"/>
  <c r="Y201" i="13"/>
  <c r="Z201" i="13"/>
  <c r="AA201" i="13"/>
  <c r="H122" i="13"/>
  <c r="G127" i="13"/>
  <c r="G132" i="13" s="1"/>
  <c r="E139" i="13" s="1"/>
  <c r="D122" i="23"/>
  <c r="G180" i="23"/>
  <c r="G181" i="23" s="1"/>
  <c r="F179" i="23"/>
  <c r="H180" i="23"/>
  <c r="H181" i="23" s="1"/>
  <c r="W57" i="18"/>
  <c r="V56" i="18"/>
  <c r="W36" i="18"/>
  <c r="U373" i="1"/>
  <c r="W37" i="18"/>
  <c r="W60" i="18"/>
  <c r="W58" i="18"/>
  <c r="W16" i="17"/>
  <c r="U276" i="1"/>
  <c r="X53" i="18"/>
  <c r="Y189" i="18"/>
  <c r="X32" i="18"/>
  <c r="T375" i="1"/>
  <c r="V61" i="17"/>
  <c r="U372" i="1"/>
  <c r="U366" i="1"/>
  <c r="U374" i="1"/>
  <c r="T369" i="1"/>
  <c r="T370" i="1" s="1"/>
  <c r="V62" i="17"/>
  <c r="W17" i="17"/>
  <c r="V78" i="15" s="1"/>
  <c r="V77" i="15" s="1"/>
  <c r="W61" i="18"/>
  <c r="W15" i="18" s="1"/>
  <c r="U70" i="15"/>
  <c r="U74" i="15"/>
  <c r="Y13" i="14"/>
  <c r="Y11" i="14" s="1"/>
  <c r="Y21" i="14" s="1"/>
  <c r="V355" i="1"/>
  <c r="Y355" i="1" s="1"/>
  <c r="V356" i="1"/>
  <c r="Y356" i="1" s="1"/>
  <c r="V338" i="1"/>
  <c r="Y338" i="1" s="1"/>
  <c r="V266" i="1"/>
  <c r="Y266" i="1" s="1"/>
  <c r="V361" i="1"/>
  <c r="V360" i="1"/>
  <c r="Y360" i="1" s="1"/>
  <c r="V333" i="1"/>
  <c r="Y333" i="1" s="1"/>
  <c r="V351" i="1"/>
  <c r="Y351" i="1" s="1"/>
  <c r="V272" i="1"/>
  <c r="Y272" i="1" s="1"/>
  <c r="V271" i="1"/>
  <c r="Y271" i="1" s="1"/>
  <c r="V350" i="1"/>
  <c r="V327" i="1"/>
  <c r="V267" i="1"/>
  <c r="Y267" i="1" s="1"/>
  <c r="V334" i="1"/>
  <c r="Y334" i="1" s="1"/>
  <c r="V352" i="1"/>
  <c r="Y352" i="1" s="1"/>
  <c r="V337" i="1"/>
  <c r="Y337" i="1" s="1"/>
  <c r="V362" i="1"/>
  <c r="Y362" i="1" s="1"/>
  <c r="V357" i="1"/>
  <c r="Y357" i="1" s="1"/>
  <c r="V261" i="1"/>
  <c r="Y261" i="1" s="1"/>
  <c r="V329" i="1"/>
  <c r="V339" i="1"/>
  <c r="Y339" i="1" s="1"/>
  <c r="V262" i="1"/>
  <c r="Y262" i="1" s="1"/>
  <c r="V332" i="1"/>
  <c r="Y332" i="1" s="1"/>
  <c r="V328" i="1"/>
  <c r="Y328" i="1" s="1"/>
  <c r="V270" i="1"/>
  <c r="V265" i="1"/>
  <c r="Y265" i="1" s="1"/>
  <c r="V260" i="1"/>
  <c r="U343" i="1"/>
  <c r="V35" i="18"/>
  <c r="AD193" i="13"/>
  <c r="AD194" i="13"/>
  <c r="AD200" i="13"/>
  <c r="AD195" i="13"/>
  <c r="AD192" i="13"/>
  <c r="AD189" i="13"/>
  <c r="AD191" i="13"/>
  <c r="AD188" i="13"/>
  <c r="AD190" i="13"/>
  <c r="AD187" i="13"/>
  <c r="AD183" i="13"/>
  <c r="AD179" i="13"/>
  <c r="AD182" i="13"/>
  <c r="AD186" i="13"/>
  <c r="AD180" i="13"/>
  <c r="AD181" i="13"/>
  <c r="AD184" i="13"/>
  <c r="AD176" i="13"/>
  <c r="AD177" i="13"/>
  <c r="AD178" i="13"/>
  <c r="AD185" i="13"/>
  <c r="AE164" i="13"/>
  <c r="AE165" i="13"/>
  <c r="AE168" i="13"/>
  <c r="AE175" i="13"/>
  <c r="AE169" i="13"/>
  <c r="AE167" i="13"/>
  <c r="AE166" i="13"/>
  <c r="AE170" i="13"/>
  <c r="AE151" i="13"/>
  <c r="AE158" i="13"/>
  <c r="AE163" i="13"/>
  <c r="AE155" i="13"/>
  <c r="AE160" i="13"/>
  <c r="AE159" i="13"/>
  <c r="AE156" i="13"/>
  <c r="AE154" i="13"/>
  <c r="AE161" i="13"/>
  <c r="AE153" i="13"/>
  <c r="AE157" i="13"/>
  <c r="AE152" i="13"/>
  <c r="AE162" i="13"/>
  <c r="AD49" i="13"/>
  <c r="AD46" i="13"/>
  <c r="AE48" i="13"/>
  <c r="AC196" i="13"/>
  <c r="AC197" i="13" s="1"/>
  <c r="AC212" i="13"/>
  <c r="AC218" i="13"/>
  <c r="AC216" i="13"/>
  <c r="AC213" i="13"/>
  <c r="AC220" i="13"/>
  <c r="AC219" i="13"/>
  <c r="AC215" i="13"/>
  <c r="AC214" i="13"/>
  <c r="AC217" i="13"/>
  <c r="AC202" i="13"/>
  <c r="AC201" i="13"/>
  <c r="Z120" i="13"/>
  <c r="Y126" i="13"/>
  <c r="Y131" i="13" s="1"/>
  <c r="AD171" i="13"/>
  <c r="AD172" i="13" s="1"/>
  <c r="AF150" i="13"/>
  <c r="AG96" i="13"/>
  <c r="AM102" i="13"/>
  <c r="R11" i="15"/>
  <c r="R12" i="15" s="1"/>
  <c r="O9" i="38"/>
  <c r="S68" i="15"/>
  <c r="Y125" i="13"/>
  <c r="Y130" i="13" s="1"/>
  <c r="Z118" i="13"/>
  <c r="Y50" i="18"/>
  <c r="Y29" i="18"/>
  <c r="Y25" i="18"/>
  <c r="Y46" i="18"/>
  <c r="AQ106" i="13"/>
  <c r="G21" i="26" l="1"/>
  <c r="X47" i="18"/>
  <c r="X45" i="18" s="1"/>
  <c r="X26" i="18"/>
  <c r="X24" i="18" s="1"/>
  <c r="Y194" i="18"/>
  <c r="X192" i="18"/>
  <c r="K96" i="23"/>
  <c r="U13" i="18"/>
  <c r="U9" i="18" s="1"/>
  <c r="T21" i="17" s="1"/>
  <c r="O10" i="38"/>
  <c r="O7" i="41" s="1"/>
  <c r="O6" i="41"/>
  <c r="O9" i="41" s="1"/>
  <c r="O10" i="41" s="1"/>
  <c r="V14" i="18"/>
  <c r="V13" i="18" s="1"/>
  <c r="V10" i="18"/>
  <c r="U71" i="15" s="1"/>
  <c r="W16" i="18"/>
  <c r="X57" i="18"/>
  <c r="W27" i="18"/>
  <c r="W23" i="18" s="1"/>
  <c r="W39" i="18"/>
  <c r="W38" i="18" s="1"/>
  <c r="W48" i="18"/>
  <c r="W44" i="18" s="1"/>
  <c r="X30" i="18"/>
  <c r="X41" i="18" s="1"/>
  <c r="Y198" i="18"/>
  <c r="X51" i="18"/>
  <c r="X62" i="18" s="1"/>
  <c r="Y196" i="18"/>
  <c r="X195" i="18"/>
  <c r="X191" i="18" s="1"/>
  <c r="X49" i="18"/>
  <c r="X60" i="18" s="1"/>
  <c r="X28" i="18"/>
  <c r="F182" i="23"/>
  <c r="W35" i="18"/>
  <c r="W56" i="18"/>
  <c r="I96" i="23"/>
  <c r="E181" i="23"/>
  <c r="D181" i="23" s="1"/>
  <c r="D180" i="23"/>
  <c r="E179" i="23"/>
  <c r="I122" i="13"/>
  <c r="H127" i="13"/>
  <c r="H132" i="13" s="1"/>
  <c r="E140" i="13" s="1"/>
  <c r="AD203" i="13" s="1"/>
  <c r="W11" i="18"/>
  <c r="V55" i="18"/>
  <c r="J96" i="23"/>
  <c r="H179" i="23"/>
  <c r="H182" i="23" s="1"/>
  <c r="T202" i="13"/>
  <c r="U202" i="13"/>
  <c r="V202" i="13"/>
  <c r="W202" i="13"/>
  <c r="X202" i="13"/>
  <c r="Y202" i="13"/>
  <c r="Z202" i="13"/>
  <c r="AA202" i="13"/>
  <c r="AB202" i="13"/>
  <c r="G179" i="23"/>
  <c r="G182" i="23" s="1"/>
  <c r="L13" i="17"/>
  <c r="I13" i="17"/>
  <c r="E13" i="17"/>
  <c r="K13" i="17"/>
  <c r="J13" i="17"/>
  <c r="F13" i="17"/>
  <c r="H13" i="17"/>
  <c r="M13" i="17"/>
  <c r="G13" i="17"/>
  <c r="N13" i="17"/>
  <c r="P13" i="17"/>
  <c r="O13" i="17"/>
  <c r="Q13" i="17"/>
  <c r="T221" i="13"/>
  <c r="T223" i="13" s="1"/>
  <c r="X61" i="18"/>
  <c r="R63" i="17"/>
  <c r="R18" i="17"/>
  <c r="R15" i="17" s="1"/>
  <c r="W12" i="18"/>
  <c r="X36" i="18"/>
  <c r="X11" i="18" s="1"/>
  <c r="V34" i="18"/>
  <c r="X39" i="18"/>
  <c r="X40" i="18"/>
  <c r="X37" i="18"/>
  <c r="V276" i="1"/>
  <c r="B277" i="1" s="1"/>
  <c r="Y260" i="1"/>
  <c r="V372" i="1"/>
  <c r="B378" i="1" s="1"/>
  <c r="Y350" i="1"/>
  <c r="V366" i="1"/>
  <c r="Y53" i="18"/>
  <c r="Y32" i="18"/>
  <c r="Y40" i="18" s="1"/>
  <c r="W59" i="18"/>
  <c r="Y270" i="1"/>
  <c r="Z13" i="14"/>
  <c r="V373" i="1"/>
  <c r="B379" i="1" s="1"/>
  <c r="Y361" i="1"/>
  <c r="W61" i="17"/>
  <c r="U375" i="1"/>
  <c r="Y329" i="1"/>
  <c r="V374" i="1"/>
  <c r="B380" i="1" s="1"/>
  <c r="V343" i="1"/>
  <c r="Y327" i="1"/>
  <c r="U369" i="1"/>
  <c r="U370" i="1" s="1"/>
  <c r="W62" i="17"/>
  <c r="V70" i="15"/>
  <c r="V74" i="15"/>
  <c r="AD220" i="13"/>
  <c r="AD215" i="13"/>
  <c r="AD219" i="13"/>
  <c r="AD213" i="13"/>
  <c r="AD214" i="13"/>
  <c r="AD218" i="13"/>
  <c r="AD216" i="13"/>
  <c r="AD217" i="13"/>
  <c r="AD201" i="13"/>
  <c r="AD202" i="13"/>
  <c r="AF167" i="13"/>
  <c r="AF169" i="13"/>
  <c r="AF166" i="13"/>
  <c r="AF165" i="13"/>
  <c r="AF175" i="13"/>
  <c r="AF170" i="13"/>
  <c r="AF168" i="13"/>
  <c r="AF159" i="13"/>
  <c r="AF163" i="13"/>
  <c r="AF161" i="13"/>
  <c r="AF164" i="13"/>
  <c r="AF151" i="13"/>
  <c r="AF153" i="13"/>
  <c r="AF156" i="13"/>
  <c r="AF162" i="13"/>
  <c r="AF152" i="13"/>
  <c r="AF154" i="13"/>
  <c r="AF158" i="13"/>
  <c r="AF157" i="13"/>
  <c r="AF160" i="13"/>
  <c r="AF155" i="13"/>
  <c r="AE46" i="13"/>
  <c r="AE49" i="13"/>
  <c r="AF48" i="13"/>
  <c r="AE171" i="13"/>
  <c r="AE172" i="13" s="1"/>
  <c r="AD196" i="13"/>
  <c r="AD197" i="13" s="1"/>
  <c r="AH96" i="13"/>
  <c r="AG150" i="13"/>
  <c r="AA120" i="13"/>
  <c r="Z126" i="13"/>
  <c r="Z131" i="13" s="1"/>
  <c r="AE194" i="13"/>
  <c r="AE192" i="13"/>
  <c r="AE189" i="13"/>
  <c r="AE195" i="13"/>
  <c r="AE200" i="13"/>
  <c r="AE190" i="13"/>
  <c r="AE193" i="13"/>
  <c r="AE191" i="13"/>
  <c r="AE184" i="13"/>
  <c r="AE180" i="13"/>
  <c r="AE187" i="13"/>
  <c r="AE176" i="13"/>
  <c r="AE186" i="13"/>
  <c r="AE188" i="13"/>
  <c r="AE181" i="13"/>
  <c r="AE185" i="13"/>
  <c r="AE178" i="13"/>
  <c r="AE183" i="13"/>
  <c r="AE179" i="13"/>
  <c r="AE177" i="13"/>
  <c r="AE182" i="13"/>
  <c r="AN102" i="13"/>
  <c r="T68" i="15"/>
  <c r="AA118" i="13"/>
  <c r="Z125" i="13"/>
  <c r="Z130" i="13" s="1"/>
  <c r="AR106" i="13"/>
  <c r="S75" i="15" l="1"/>
  <c r="S73" i="15" s="1"/>
  <c r="S92" i="15" s="1"/>
  <c r="T20" i="17"/>
  <c r="Y192" i="18"/>
  <c r="Y47" i="18"/>
  <c r="Y45" i="18" s="1"/>
  <c r="Y26" i="18"/>
  <c r="Y24" i="18" s="1"/>
  <c r="X58" i="18"/>
  <c r="X56" i="18" s="1"/>
  <c r="V9" i="18"/>
  <c r="U21" i="17" s="1"/>
  <c r="U20" i="17" s="1"/>
  <c r="X16" i="18"/>
  <c r="X27" i="18"/>
  <c r="X23" i="18" s="1"/>
  <c r="Y195" i="18"/>
  <c r="Y191" i="18" s="1"/>
  <c r="Y49" i="18"/>
  <c r="Y60" i="18" s="1"/>
  <c r="Y28" i="18"/>
  <c r="X48" i="18"/>
  <c r="X44" i="18" s="1"/>
  <c r="Y30" i="18"/>
  <c r="Y41" i="18" s="1"/>
  <c r="Y51" i="18"/>
  <c r="Y62" i="18" s="1"/>
  <c r="W34" i="18"/>
  <c r="W14" i="18"/>
  <c r="W13" i="18" s="1"/>
  <c r="W55" i="18"/>
  <c r="W10" i="18"/>
  <c r="X59" i="18"/>
  <c r="Y36" i="18"/>
  <c r="S63" i="17"/>
  <c r="S18" i="17"/>
  <c r="S15" i="17" s="1"/>
  <c r="Q81" i="15"/>
  <c r="Q80" i="15" s="1"/>
  <c r="R11" i="17"/>
  <c r="J122" i="13"/>
  <c r="I127" i="13"/>
  <c r="I132" i="13" s="1"/>
  <c r="E141" i="13" s="1"/>
  <c r="X15" i="18"/>
  <c r="D17" i="18" s="1"/>
  <c r="U203" i="13"/>
  <c r="U221" i="13" s="1"/>
  <c r="U223" i="13" s="1"/>
  <c r="V203" i="13"/>
  <c r="W203" i="13"/>
  <c r="X203" i="13"/>
  <c r="Y203" i="13"/>
  <c r="Z203" i="13"/>
  <c r="AA203" i="13"/>
  <c r="AB203" i="13"/>
  <c r="AC203" i="13"/>
  <c r="E182" i="23"/>
  <c r="D182" i="23" s="1"/>
  <c r="Y61" i="18"/>
  <c r="Y15" i="18" s="1"/>
  <c r="Y39" i="18"/>
  <c r="X14" i="18"/>
  <c r="X35" i="18"/>
  <c r="Y37" i="18"/>
  <c r="X38" i="18"/>
  <c r="Z11" i="14"/>
  <c r="E13" i="14"/>
  <c r="E17" i="14" s="1"/>
  <c r="Y58" i="18"/>
  <c r="B367" i="1"/>
  <c r="X62" i="17"/>
  <c r="C62" i="17" s="1"/>
  <c r="V369" i="1"/>
  <c r="V370" i="1" s="1"/>
  <c r="Y57" i="18"/>
  <c r="V375" i="1"/>
  <c r="B381" i="1" s="1"/>
  <c r="X61" i="17"/>
  <c r="C61" i="17" s="1"/>
  <c r="B344" i="1"/>
  <c r="AG166" i="13"/>
  <c r="AG170" i="13"/>
  <c r="AG168" i="13"/>
  <c r="AG167" i="13"/>
  <c r="AG169" i="13"/>
  <c r="AG175" i="13"/>
  <c r="AG153" i="13"/>
  <c r="AG155" i="13"/>
  <c r="AG162" i="13"/>
  <c r="AG164" i="13"/>
  <c r="AG161" i="13"/>
  <c r="AG159" i="13"/>
  <c r="AG154" i="13"/>
  <c r="AG160" i="13"/>
  <c r="AG163" i="13"/>
  <c r="AG151" i="13"/>
  <c r="AG158" i="13"/>
  <c r="AG165" i="13"/>
  <c r="AG156" i="13"/>
  <c r="AG152" i="13"/>
  <c r="AG157" i="13"/>
  <c r="AF49" i="13"/>
  <c r="AF46" i="13"/>
  <c r="AG48" i="13"/>
  <c r="AF192" i="13"/>
  <c r="AF195" i="13"/>
  <c r="AF191" i="13"/>
  <c r="AF194" i="13"/>
  <c r="AF200" i="13"/>
  <c r="AF193" i="13"/>
  <c r="AF190" i="13"/>
  <c r="AF180" i="13"/>
  <c r="AF188" i="13"/>
  <c r="AF183" i="13"/>
  <c r="AF187" i="13"/>
  <c r="AF179" i="13"/>
  <c r="AF184" i="13"/>
  <c r="AF182" i="13"/>
  <c r="AF189" i="13"/>
  <c r="AF181" i="13"/>
  <c r="AF185" i="13"/>
  <c r="AF176" i="13"/>
  <c r="AF177" i="13"/>
  <c r="AF186" i="13"/>
  <c r="AF178" i="13"/>
  <c r="AE214" i="13"/>
  <c r="AE216" i="13"/>
  <c r="AE220" i="13"/>
  <c r="AE215" i="13"/>
  <c r="AE217" i="13"/>
  <c r="AE218" i="13"/>
  <c r="AE219" i="13"/>
  <c r="AE202" i="13"/>
  <c r="AE203" i="13"/>
  <c r="AE201" i="13"/>
  <c r="AE204" i="13"/>
  <c r="AI96" i="13"/>
  <c r="AH150" i="13"/>
  <c r="AF171" i="13"/>
  <c r="AF172" i="13" s="1"/>
  <c r="AA126" i="13"/>
  <c r="AA131" i="13" s="1"/>
  <c r="AB120" i="13"/>
  <c r="AE196" i="13"/>
  <c r="AE197" i="13" s="1"/>
  <c r="AO102" i="13"/>
  <c r="V68" i="15"/>
  <c r="U68" i="15"/>
  <c r="AS106" i="13"/>
  <c r="AA125" i="13"/>
  <c r="AA130" i="13" s="1"/>
  <c r="AB118" i="13"/>
  <c r="X12" i="18" l="1"/>
  <c r="X10" i="18" s="1"/>
  <c r="W71" i="15" s="1"/>
  <c r="X55" i="18"/>
  <c r="X13" i="18"/>
  <c r="Y16" i="18"/>
  <c r="Y14" i="18"/>
  <c r="Y13" i="18" s="1"/>
  <c r="T75" i="15"/>
  <c r="T73" i="15" s="1"/>
  <c r="T92" i="15" s="1"/>
  <c r="Y27" i="18"/>
  <c r="Y23" i="18" s="1"/>
  <c r="W9" i="18"/>
  <c r="V21" i="17" s="1"/>
  <c r="V20" i="17" s="1"/>
  <c r="Y48" i="18"/>
  <c r="Y44" i="18" s="1"/>
  <c r="V71" i="15"/>
  <c r="Y35" i="18"/>
  <c r="Y11" i="18"/>
  <c r="Y59" i="18"/>
  <c r="T63" i="17"/>
  <c r="T18" i="17"/>
  <c r="T15" i="17" s="1"/>
  <c r="J127" i="13"/>
  <c r="J132" i="13" s="1"/>
  <c r="E142" i="13" s="1"/>
  <c r="AF205" i="13" s="1"/>
  <c r="K122" i="13"/>
  <c r="X9" i="18"/>
  <c r="W21" i="17" s="1"/>
  <c r="V75" i="15" s="1"/>
  <c r="V73" i="15" s="1"/>
  <c r="V92" i="15" s="1"/>
  <c r="R13" i="17"/>
  <c r="S7" i="15"/>
  <c r="V204" i="13"/>
  <c r="V221" i="13" s="1"/>
  <c r="V223" i="13" s="1"/>
  <c r="W204" i="13"/>
  <c r="X204" i="13"/>
  <c r="Y204" i="13"/>
  <c r="Z204" i="13"/>
  <c r="AA204" i="13"/>
  <c r="AB204" i="13"/>
  <c r="AC204" i="13"/>
  <c r="AD204" i="13"/>
  <c r="R81" i="15"/>
  <c r="R80" i="15" s="1"/>
  <c r="S11" i="17"/>
  <c r="Y56" i="18"/>
  <c r="X34" i="18"/>
  <c r="Y38" i="18"/>
  <c r="Y12" i="18"/>
  <c r="D13" i="14"/>
  <c r="D15" i="14"/>
  <c r="D17" i="14"/>
  <c r="D14" i="14"/>
  <c r="D16" i="14"/>
  <c r="Z21" i="14"/>
  <c r="G4" i="14" s="1"/>
  <c r="E11" i="14"/>
  <c r="AH167" i="13"/>
  <c r="AH168" i="13"/>
  <c r="AH175" i="13"/>
  <c r="AH170" i="13"/>
  <c r="AH169" i="13"/>
  <c r="AH151" i="13"/>
  <c r="AH158" i="13"/>
  <c r="AH159" i="13"/>
  <c r="AH155" i="13"/>
  <c r="AH160" i="13"/>
  <c r="AH156" i="13"/>
  <c r="AH152" i="13"/>
  <c r="AH166" i="13"/>
  <c r="AH162" i="13"/>
  <c r="AH153" i="13"/>
  <c r="AH164" i="13"/>
  <c r="AH161" i="13"/>
  <c r="AH163" i="13"/>
  <c r="AH165" i="13"/>
  <c r="AH154" i="13"/>
  <c r="AH157" i="13"/>
  <c r="AG171" i="13"/>
  <c r="AG172" i="13" s="1"/>
  <c r="AJ96" i="13"/>
  <c r="AI150" i="13"/>
  <c r="AF196" i="13"/>
  <c r="AF197" i="13" s="1"/>
  <c r="AG192" i="13"/>
  <c r="AG200" i="13"/>
  <c r="AG193" i="13"/>
  <c r="AG194" i="13"/>
  <c r="AG195" i="13"/>
  <c r="AG191" i="13"/>
  <c r="AG180" i="13"/>
  <c r="AG188" i="13"/>
  <c r="AG186" i="13"/>
  <c r="AG189" i="13"/>
  <c r="AG182" i="13"/>
  <c r="AG184" i="13"/>
  <c r="AG187" i="13"/>
  <c r="AG177" i="13"/>
  <c r="AG179" i="13"/>
  <c r="AG185" i="13"/>
  <c r="AG181" i="13"/>
  <c r="AG178" i="13"/>
  <c r="AG183" i="13"/>
  <c r="AG176" i="13"/>
  <c r="AG190" i="13"/>
  <c r="AG46" i="13"/>
  <c r="AG49" i="13"/>
  <c r="AH48" i="13"/>
  <c r="AB126" i="13"/>
  <c r="AB131" i="13" s="1"/>
  <c r="AC120" i="13"/>
  <c r="AF217" i="13"/>
  <c r="AF220" i="13"/>
  <c r="AF216" i="13"/>
  <c r="AF218" i="13"/>
  <c r="AF219" i="13"/>
  <c r="AF215" i="13"/>
  <c r="AF204" i="13"/>
  <c r="AF202" i="13"/>
  <c r="AF203" i="13"/>
  <c r="AF201" i="13"/>
  <c r="AP102" i="13"/>
  <c r="AT106" i="13"/>
  <c r="AB125" i="13"/>
  <c r="AB130" i="13" s="1"/>
  <c r="AC118" i="13"/>
  <c r="Y55" i="18" l="1"/>
  <c r="U75" i="15"/>
  <c r="U73" i="15" s="1"/>
  <c r="U92" i="15" s="1"/>
  <c r="Y34" i="18"/>
  <c r="W20" i="17"/>
  <c r="Y10" i="18"/>
  <c r="Y9" i="18" s="1"/>
  <c r="X21" i="17" s="1"/>
  <c r="W75" i="15" s="1"/>
  <c r="U63" i="17"/>
  <c r="U18" i="17"/>
  <c r="U15" i="17" s="1"/>
  <c r="S11" i="15"/>
  <c r="S12" i="15" s="1"/>
  <c r="P9" i="38"/>
  <c r="W205" i="13"/>
  <c r="W221" i="13" s="1"/>
  <c r="W223" i="13" s="1"/>
  <c r="X205" i="13"/>
  <c r="Y205" i="13"/>
  <c r="Z205" i="13"/>
  <c r="AA205" i="13"/>
  <c r="AB205" i="13"/>
  <c r="AC205" i="13"/>
  <c r="AD205" i="13"/>
  <c r="AE205" i="13"/>
  <c r="K127" i="13"/>
  <c r="K132" i="13" s="1"/>
  <c r="E143" i="13" s="1"/>
  <c r="AG206" i="13" s="1"/>
  <c r="L122" i="13"/>
  <c r="T7" i="15"/>
  <c r="S13" i="17"/>
  <c r="S81" i="15"/>
  <c r="S80" i="15" s="1"/>
  <c r="T11" i="17"/>
  <c r="AG196" i="13"/>
  <c r="AG197" i="13" s="1"/>
  <c r="AI170" i="13"/>
  <c r="AI169" i="13"/>
  <c r="AI175" i="13"/>
  <c r="AI168" i="13"/>
  <c r="AI158" i="13"/>
  <c r="AI165" i="13"/>
  <c r="AI160" i="13"/>
  <c r="AI167" i="13"/>
  <c r="AI166" i="13"/>
  <c r="AI152" i="13"/>
  <c r="AI154" i="13"/>
  <c r="AI159" i="13"/>
  <c r="AI163" i="13"/>
  <c r="AI157" i="13"/>
  <c r="AI153" i="13"/>
  <c r="AI155" i="13"/>
  <c r="AI162" i="13"/>
  <c r="AI161" i="13"/>
  <c r="AI164" i="13"/>
  <c r="AI151" i="13"/>
  <c r="AI156" i="13"/>
  <c r="AJ150" i="13"/>
  <c r="AK96" i="13"/>
  <c r="AH195" i="13"/>
  <c r="AH193" i="13"/>
  <c r="AH200" i="13"/>
  <c r="AH192" i="13"/>
  <c r="AH194" i="13"/>
  <c r="AH176" i="13"/>
  <c r="AH182" i="13"/>
  <c r="AH183" i="13"/>
  <c r="AH184" i="13"/>
  <c r="AH187" i="13"/>
  <c r="AH177" i="13"/>
  <c r="AH190" i="13"/>
  <c r="AH185" i="13"/>
  <c r="AH179" i="13"/>
  <c r="AH178" i="13"/>
  <c r="AH191" i="13"/>
  <c r="AH188" i="13"/>
  <c r="AH189" i="13"/>
  <c r="AH180" i="13"/>
  <c r="AH186" i="13"/>
  <c r="AH181" i="13"/>
  <c r="AH49" i="13"/>
  <c r="AH46" i="13"/>
  <c r="AI48" i="13"/>
  <c r="AC126" i="13"/>
  <c r="AC131" i="13" s="1"/>
  <c r="AD120" i="13"/>
  <c r="AG219" i="13"/>
  <c r="AG218" i="13"/>
  <c r="AG217" i="13"/>
  <c r="AG220" i="13"/>
  <c r="AG216" i="13"/>
  <c r="AG202" i="13"/>
  <c r="AG205" i="13"/>
  <c r="AG203" i="13"/>
  <c r="AG204" i="13"/>
  <c r="AG201" i="13"/>
  <c r="AH171" i="13"/>
  <c r="AH172" i="13" s="1"/>
  <c r="AQ102" i="13"/>
  <c r="AD118" i="13"/>
  <c r="AC125" i="13"/>
  <c r="AC130" i="13" s="1"/>
  <c r="AU106" i="13"/>
  <c r="P10" i="38" l="1"/>
  <c r="P7" i="41" s="1"/>
  <c r="P6" i="41"/>
  <c r="P9" i="41" s="1"/>
  <c r="P10" i="41" s="1"/>
  <c r="AA9" i="18"/>
  <c r="M122" i="13"/>
  <c r="L127" i="13"/>
  <c r="L132" i="13" s="1"/>
  <c r="V63" i="17"/>
  <c r="V18" i="17"/>
  <c r="V15" i="17" s="1"/>
  <c r="X206" i="13"/>
  <c r="X221" i="13" s="1"/>
  <c r="X223" i="13" s="1"/>
  <c r="Y206" i="13"/>
  <c r="Z206" i="13"/>
  <c r="AA206" i="13"/>
  <c r="AB206" i="13"/>
  <c r="AC206" i="13"/>
  <c r="AD206" i="13"/>
  <c r="AE206" i="13"/>
  <c r="AF206" i="13"/>
  <c r="T81" i="15"/>
  <c r="T80" i="15" s="1"/>
  <c r="U11" i="17"/>
  <c r="U7" i="15"/>
  <c r="T13" i="17"/>
  <c r="T11" i="15"/>
  <c r="T12" i="15" s="1"/>
  <c r="Q9" i="38"/>
  <c r="AI171" i="13"/>
  <c r="AI172" i="13" s="1"/>
  <c r="AE120" i="13"/>
  <c r="AD126" i="13"/>
  <c r="AD131" i="13" s="1"/>
  <c r="AH217" i="13"/>
  <c r="AH220" i="13"/>
  <c r="AH219" i="13"/>
  <c r="AH218" i="13"/>
  <c r="AH202" i="13"/>
  <c r="AH203" i="13"/>
  <c r="AH206" i="13"/>
  <c r="AH201" i="13"/>
  <c r="AH204" i="13"/>
  <c r="AH205" i="13"/>
  <c r="AJ175" i="13"/>
  <c r="AJ170" i="13"/>
  <c r="AJ169" i="13"/>
  <c r="AJ151" i="13"/>
  <c r="AJ153" i="13"/>
  <c r="AJ162" i="13"/>
  <c r="AJ167" i="13"/>
  <c r="AJ161" i="13"/>
  <c r="AJ154" i="13"/>
  <c r="AJ165" i="13"/>
  <c r="AJ163" i="13"/>
  <c r="AJ155" i="13"/>
  <c r="AJ157" i="13"/>
  <c r="AJ152" i="13"/>
  <c r="AJ156" i="13"/>
  <c r="AJ158" i="13"/>
  <c r="AJ166" i="13"/>
  <c r="AJ159" i="13"/>
  <c r="AJ168" i="13"/>
  <c r="AJ160" i="13"/>
  <c r="AJ164" i="13"/>
  <c r="AJ48" i="13"/>
  <c r="AI49" i="13"/>
  <c r="AI46" i="13"/>
  <c r="AL96" i="13"/>
  <c r="AK150" i="13"/>
  <c r="AI194" i="13"/>
  <c r="AI193" i="13"/>
  <c r="AI200" i="13"/>
  <c r="AI195" i="13"/>
  <c r="AI180" i="13"/>
  <c r="AI186" i="13"/>
  <c r="AI187" i="13"/>
  <c r="AI190" i="13"/>
  <c r="AI176" i="13"/>
  <c r="AI191" i="13"/>
  <c r="AI192" i="13"/>
  <c r="AI177" i="13"/>
  <c r="AI182" i="13"/>
  <c r="AI188" i="13"/>
  <c r="AI185" i="13"/>
  <c r="AI179" i="13"/>
  <c r="AI184" i="13"/>
  <c r="AI181" i="13"/>
  <c r="AI183" i="13"/>
  <c r="AI178" i="13"/>
  <c r="AI189" i="13"/>
  <c r="AH196" i="13"/>
  <c r="AH197" i="13" s="1"/>
  <c r="AR102" i="13"/>
  <c r="AD125" i="13"/>
  <c r="AD130" i="13" s="1"/>
  <c r="AE118" i="13"/>
  <c r="AV106" i="13"/>
  <c r="X20" i="17"/>
  <c r="C21" i="17"/>
  <c r="Q10" i="38" l="1"/>
  <c r="Q7" i="41" s="1"/>
  <c r="Q6" i="41"/>
  <c r="Q9" i="41" s="1"/>
  <c r="Q10" i="41" s="1"/>
  <c r="Y207" i="13"/>
  <c r="Y221" i="13" s="1"/>
  <c r="Z207" i="13"/>
  <c r="AA207" i="13"/>
  <c r="AB207" i="13"/>
  <c r="AC207" i="13"/>
  <c r="AD207" i="13"/>
  <c r="AE207" i="13"/>
  <c r="AF207" i="13"/>
  <c r="AG207" i="13"/>
  <c r="AH207" i="13"/>
  <c r="U11" i="15"/>
  <c r="U12" i="15" s="1"/>
  <c r="R9" i="38"/>
  <c r="W63" i="17"/>
  <c r="W18" i="17"/>
  <c r="W15" i="17" s="1"/>
  <c r="M127" i="13"/>
  <c r="M132" i="13" s="1"/>
  <c r="AI208" i="13" s="1"/>
  <c r="N122" i="13"/>
  <c r="V7" i="15"/>
  <c r="U13" i="17"/>
  <c r="U81" i="15"/>
  <c r="U80" i="15" s="1"/>
  <c r="V11" i="17"/>
  <c r="AI196" i="13"/>
  <c r="AI197" i="13" s="1"/>
  <c r="AJ194" i="13"/>
  <c r="AJ195" i="13"/>
  <c r="AJ200" i="13"/>
  <c r="AJ178" i="13"/>
  <c r="AJ186" i="13"/>
  <c r="AJ184" i="13"/>
  <c r="AJ193" i="13"/>
  <c r="AJ188" i="13"/>
  <c r="AJ185" i="13"/>
  <c r="AJ177" i="13"/>
  <c r="AJ192" i="13"/>
  <c r="AJ176" i="13"/>
  <c r="AJ182" i="13"/>
  <c r="AJ189" i="13"/>
  <c r="AJ187" i="13"/>
  <c r="AJ180" i="13"/>
  <c r="AJ191" i="13"/>
  <c r="AJ179" i="13"/>
  <c r="AJ181" i="13"/>
  <c r="AJ183" i="13"/>
  <c r="AJ190" i="13"/>
  <c r="AK175" i="13"/>
  <c r="AK170" i="13"/>
  <c r="AK152" i="13"/>
  <c r="AK164" i="13"/>
  <c r="AK158" i="13"/>
  <c r="AK161" i="13"/>
  <c r="AK154" i="13"/>
  <c r="AK157" i="13"/>
  <c r="AK165" i="13"/>
  <c r="AK167" i="13"/>
  <c r="AK153" i="13"/>
  <c r="AK159" i="13"/>
  <c r="AK156" i="13"/>
  <c r="AK151" i="13"/>
  <c r="AK155" i="13"/>
  <c r="AK168" i="13"/>
  <c r="AK163" i="13"/>
  <c r="AK162" i="13"/>
  <c r="AK169" i="13"/>
  <c r="AK160" i="13"/>
  <c r="AK166" i="13"/>
  <c r="AK48" i="13"/>
  <c r="AJ49" i="13"/>
  <c r="AJ46" i="13"/>
  <c r="AJ171" i="13"/>
  <c r="AJ172" i="13" s="1"/>
  <c r="AI220" i="13"/>
  <c r="AI219" i="13"/>
  <c r="AI218" i="13"/>
  <c r="AI204" i="13"/>
  <c r="AI207" i="13"/>
  <c r="AI203" i="13"/>
  <c r="AI201" i="13"/>
  <c r="AI205" i="13"/>
  <c r="AI202" i="13"/>
  <c r="AI206" i="13"/>
  <c r="AM96" i="13"/>
  <c r="AL150" i="13"/>
  <c r="AE126" i="13"/>
  <c r="AE131" i="13" s="1"/>
  <c r="AF120" i="13"/>
  <c r="AS102" i="13"/>
  <c r="C20" i="17"/>
  <c r="AW106" i="13"/>
  <c r="AE125" i="13"/>
  <c r="AE130" i="13" s="1"/>
  <c r="AF118" i="13"/>
  <c r="G70" i="23"/>
  <c r="G83" i="23" s="1"/>
  <c r="G66" i="23"/>
  <c r="G79" i="23" s="1"/>
  <c r="R10" i="38" l="1"/>
  <c r="R7" i="41" s="1"/>
  <c r="R6" i="41"/>
  <c r="R9" i="41" s="1"/>
  <c r="R10" i="41" s="1"/>
  <c r="W7" i="15"/>
  <c r="V13" i="17"/>
  <c r="V11" i="15"/>
  <c r="V12" i="15" s="1"/>
  <c r="S9" i="38"/>
  <c r="O122" i="13"/>
  <c r="N127" i="13"/>
  <c r="N132" i="13" s="1"/>
  <c r="AJ209" i="13" s="1"/>
  <c r="Z208" i="13"/>
  <c r="Z221" i="13" s="1"/>
  <c r="Z222" i="13" s="1"/>
  <c r="AA208" i="13"/>
  <c r="AB208" i="13"/>
  <c r="AC208" i="13"/>
  <c r="AD208" i="13"/>
  <c r="AE208" i="13"/>
  <c r="AF208" i="13"/>
  <c r="AG208" i="13"/>
  <c r="AH208" i="13"/>
  <c r="V81" i="15"/>
  <c r="V80" i="15" s="1"/>
  <c r="W11" i="17"/>
  <c r="AJ196" i="13"/>
  <c r="AJ197" i="13" s="1"/>
  <c r="AJ219" i="13"/>
  <c r="AJ220" i="13"/>
  <c r="AJ203" i="13"/>
  <c r="AJ204" i="13"/>
  <c r="AJ202" i="13"/>
  <c r="AJ208" i="13"/>
  <c r="AJ201" i="13"/>
  <c r="AJ205" i="13"/>
  <c r="AJ207" i="13"/>
  <c r="AJ206" i="13"/>
  <c r="AF126" i="13"/>
  <c r="AF131" i="13" s="1"/>
  <c r="AG120" i="13"/>
  <c r="AK200" i="13"/>
  <c r="AK195" i="13"/>
  <c r="AK177" i="13"/>
  <c r="AK187" i="13"/>
  <c r="AK183" i="13"/>
  <c r="AK194" i="13"/>
  <c r="AK191" i="13"/>
  <c r="AK189" i="13"/>
  <c r="AK179" i="13"/>
  <c r="AK186" i="13"/>
  <c r="AK180" i="13"/>
  <c r="AK184" i="13"/>
  <c r="AK182" i="13"/>
  <c r="AK185" i="13"/>
  <c r="AK176" i="13"/>
  <c r="AK181" i="13"/>
  <c r="AK178" i="13"/>
  <c r="AK188" i="13"/>
  <c r="AK192" i="13"/>
  <c r="AK190" i="13"/>
  <c r="AK193" i="13"/>
  <c r="AL175" i="13"/>
  <c r="AL151" i="13"/>
  <c r="AL155" i="13"/>
  <c r="AL170" i="13"/>
  <c r="AL158" i="13"/>
  <c r="AL167" i="13"/>
  <c r="AL164" i="13"/>
  <c r="AL152" i="13"/>
  <c r="AL154" i="13"/>
  <c r="AL159" i="13"/>
  <c r="AL168" i="13"/>
  <c r="AL153" i="13"/>
  <c r="AL161" i="13"/>
  <c r="AL169" i="13"/>
  <c r="AL157" i="13"/>
  <c r="AL162" i="13"/>
  <c r="AL165" i="13"/>
  <c r="AL163" i="13"/>
  <c r="AL156" i="13"/>
  <c r="AL166" i="13"/>
  <c r="AL160" i="13"/>
  <c r="AN96" i="13"/>
  <c r="AM150" i="13"/>
  <c r="AK46" i="13"/>
  <c r="AL48" i="13"/>
  <c r="AK49" i="13"/>
  <c r="AK171" i="13"/>
  <c r="AK172" i="13" s="1"/>
  <c r="AT102" i="13"/>
  <c r="AX106" i="13"/>
  <c r="AF125" i="13"/>
  <c r="AF130" i="13" s="1"/>
  <c r="AG118" i="13"/>
  <c r="S10" i="38" l="1"/>
  <c r="S7" i="41" s="1"/>
  <c r="S6" i="41"/>
  <c r="S9" i="41" s="1"/>
  <c r="S10" i="41" s="1"/>
  <c r="X7" i="15"/>
  <c r="W13" i="17"/>
  <c r="AA209" i="13"/>
  <c r="AA221" i="13" s="1"/>
  <c r="AA222" i="13" s="1"/>
  <c r="AB209" i="13"/>
  <c r="AC209" i="13"/>
  <c r="AD209" i="13"/>
  <c r="AE209" i="13"/>
  <c r="AF209" i="13"/>
  <c r="AG209" i="13"/>
  <c r="AH209" i="13"/>
  <c r="AI209" i="13"/>
  <c r="O127" i="13"/>
  <c r="O132" i="13" s="1"/>
  <c r="P122" i="13"/>
  <c r="W11" i="15"/>
  <c r="W12" i="15" s="1"/>
  <c r="T9" i="38"/>
  <c r="AL200" i="13"/>
  <c r="AL177" i="13"/>
  <c r="AL185" i="13"/>
  <c r="AL192" i="13"/>
  <c r="AL183" i="13"/>
  <c r="AL195" i="13"/>
  <c r="AL187" i="13"/>
  <c r="AL184" i="13"/>
  <c r="AL188" i="13"/>
  <c r="AL190" i="13"/>
  <c r="AL193" i="13"/>
  <c r="AL178" i="13"/>
  <c r="AL182" i="13"/>
  <c r="AL179" i="13"/>
  <c r="AL189" i="13"/>
  <c r="AL180" i="13"/>
  <c r="AL186" i="13"/>
  <c r="AL194" i="13"/>
  <c r="AL176" i="13"/>
  <c r="AL191" i="13"/>
  <c r="AL181" i="13"/>
  <c r="AK196" i="13"/>
  <c r="AK197" i="13" s="1"/>
  <c r="AM175" i="13"/>
  <c r="AM153" i="13"/>
  <c r="AM155" i="13"/>
  <c r="AM161" i="13"/>
  <c r="AM166" i="13"/>
  <c r="AM156" i="13"/>
  <c r="AM158" i="13"/>
  <c r="AM157" i="13"/>
  <c r="AM163" i="13"/>
  <c r="AM151" i="13"/>
  <c r="AM169" i="13"/>
  <c r="AM168" i="13"/>
  <c r="AM162" i="13"/>
  <c r="AM159" i="13"/>
  <c r="AM152" i="13"/>
  <c r="AM165" i="13"/>
  <c r="AM167" i="13"/>
  <c r="AM164" i="13"/>
  <c r="AM170" i="13"/>
  <c r="AM154" i="13"/>
  <c r="AM160" i="13"/>
  <c r="AM48" i="13"/>
  <c r="AL49" i="13"/>
  <c r="AL46" i="13"/>
  <c r="AG126" i="13"/>
  <c r="AG131" i="13" s="1"/>
  <c r="AH120" i="13"/>
  <c r="AO96" i="13"/>
  <c r="AN150" i="13"/>
  <c r="AL171" i="13"/>
  <c r="AL172" i="13" s="1"/>
  <c r="AK220" i="13"/>
  <c r="AK204" i="13"/>
  <c r="AK209" i="13"/>
  <c r="AK201" i="13"/>
  <c r="AK207" i="13"/>
  <c r="AK205" i="13"/>
  <c r="AK203" i="13"/>
  <c r="AK202" i="13"/>
  <c r="AK208" i="13"/>
  <c r="AK206" i="13"/>
  <c r="AU102" i="13"/>
  <c r="AH118" i="13"/>
  <c r="AG125" i="13"/>
  <c r="AG130" i="13" s="1"/>
  <c r="AY106" i="13"/>
  <c r="T10" i="38" l="1"/>
  <c r="T7" i="41" s="1"/>
  <c r="T6" i="41"/>
  <c r="T9" i="41" s="1"/>
  <c r="T10" i="41" s="1"/>
  <c r="AB210" i="13"/>
  <c r="AB221" i="13" s="1"/>
  <c r="AB222" i="13" s="1"/>
  <c r="AC210" i="13"/>
  <c r="AD210" i="13"/>
  <c r="AE210" i="13"/>
  <c r="AF210" i="13"/>
  <c r="AG210" i="13"/>
  <c r="AH210" i="13"/>
  <c r="AI210" i="13"/>
  <c r="AJ210" i="13"/>
  <c r="X11" i="15"/>
  <c r="X12" i="15" s="1"/>
  <c r="U9" i="38"/>
  <c r="AK210" i="13"/>
  <c r="P127" i="13"/>
  <c r="P132" i="13" s="1"/>
  <c r="AL211" i="13" s="1"/>
  <c r="Q122" i="13"/>
  <c r="AP96" i="13"/>
  <c r="AO150" i="13"/>
  <c r="AI120" i="13"/>
  <c r="AH126" i="13"/>
  <c r="AH131" i="13" s="1"/>
  <c r="AN48" i="13"/>
  <c r="AM49" i="13"/>
  <c r="AM46" i="13"/>
  <c r="AL196" i="13"/>
  <c r="AL197" i="13" s="1"/>
  <c r="AM171" i="13"/>
  <c r="AM172" i="13" s="1"/>
  <c r="AN175" i="13"/>
  <c r="AN167" i="13"/>
  <c r="AN157" i="13"/>
  <c r="AN163" i="13"/>
  <c r="AN154" i="13"/>
  <c r="AN161" i="13"/>
  <c r="AN153" i="13"/>
  <c r="AN162" i="13"/>
  <c r="AN168" i="13"/>
  <c r="AN164" i="13"/>
  <c r="AN158" i="13"/>
  <c r="AN156" i="13"/>
  <c r="AN169" i="13"/>
  <c r="AN152" i="13"/>
  <c r="AN159" i="13"/>
  <c r="AN166" i="13"/>
  <c r="AN160" i="13"/>
  <c r="AN151" i="13"/>
  <c r="AN155" i="13"/>
  <c r="AN170" i="13"/>
  <c r="AN165" i="13"/>
  <c r="AM200" i="13"/>
  <c r="AM177" i="13"/>
  <c r="AM193" i="13"/>
  <c r="AM182" i="13"/>
  <c r="AM188" i="13"/>
  <c r="AM184" i="13"/>
  <c r="AM178" i="13"/>
  <c r="AM186" i="13"/>
  <c r="AM176" i="13"/>
  <c r="AM183" i="13"/>
  <c r="AM179" i="13"/>
  <c r="AM189" i="13"/>
  <c r="AM192" i="13"/>
  <c r="AM194" i="13"/>
  <c r="AM195" i="13"/>
  <c r="AM180" i="13"/>
  <c r="AM190" i="13"/>
  <c r="AM181" i="13"/>
  <c r="AM185" i="13"/>
  <c r="AM187" i="13"/>
  <c r="AM191" i="13"/>
  <c r="AL203" i="13"/>
  <c r="AL208" i="13"/>
  <c r="AL204" i="13"/>
  <c r="AL202" i="13"/>
  <c r="AL201" i="13"/>
  <c r="AL205" i="13"/>
  <c r="AL207" i="13"/>
  <c r="AL209" i="13"/>
  <c r="AL206" i="13"/>
  <c r="AL210" i="13"/>
  <c r="AV102" i="13"/>
  <c r="AZ106" i="13"/>
  <c r="AI118" i="13"/>
  <c r="AH125" i="13"/>
  <c r="AH130" i="13" s="1"/>
  <c r="U10" i="38" l="1"/>
  <c r="U7" i="41" s="1"/>
  <c r="U6" i="41"/>
  <c r="U9" i="41" s="1"/>
  <c r="U10" i="41" s="1"/>
  <c r="AC211" i="13"/>
  <c r="AC221" i="13" s="1"/>
  <c r="AC222" i="13" s="1"/>
  <c r="AD211" i="13"/>
  <c r="AE211" i="13"/>
  <c r="AF211" i="13"/>
  <c r="AG211" i="13"/>
  <c r="AH211" i="13"/>
  <c r="AI211" i="13"/>
  <c r="AJ211" i="13"/>
  <c r="AK211" i="13"/>
  <c r="R122" i="13"/>
  <c r="Q127" i="13"/>
  <c r="Q132" i="13" s="1"/>
  <c r="AM196" i="13"/>
  <c r="AM197" i="13" s="1"/>
  <c r="AM202" i="13"/>
  <c r="AM206" i="13"/>
  <c r="AM201" i="13"/>
  <c r="AM205" i="13"/>
  <c r="AM207" i="13"/>
  <c r="AM211" i="13"/>
  <c r="AM203" i="13"/>
  <c r="AM208" i="13"/>
  <c r="AM210" i="13"/>
  <c r="AM204" i="13"/>
  <c r="AM209" i="13"/>
  <c r="AN171" i="13"/>
  <c r="AN172" i="13" s="1"/>
  <c r="AO175" i="13"/>
  <c r="AO151" i="13"/>
  <c r="AO153" i="13"/>
  <c r="AO163" i="13"/>
  <c r="AO159" i="13"/>
  <c r="AO160" i="13"/>
  <c r="AO167" i="13"/>
  <c r="AO164" i="13"/>
  <c r="AO154" i="13"/>
  <c r="AO162" i="13"/>
  <c r="AO166" i="13"/>
  <c r="AO155" i="13"/>
  <c r="AO169" i="13"/>
  <c r="AO158" i="13"/>
  <c r="AO156" i="13"/>
  <c r="AO165" i="13"/>
  <c r="AO152" i="13"/>
  <c r="AO168" i="13"/>
  <c r="AO157" i="13"/>
  <c r="AO161" i="13"/>
  <c r="AO170" i="13"/>
  <c r="AI126" i="13"/>
  <c r="AI131" i="13" s="1"/>
  <c r="AJ120" i="13"/>
  <c r="AN200" i="13"/>
  <c r="AN176" i="13"/>
  <c r="AN179" i="13"/>
  <c r="AN182" i="13"/>
  <c r="AN186" i="13"/>
  <c r="AN195" i="13"/>
  <c r="AN184" i="13"/>
  <c r="AN187" i="13"/>
  <c r="AN190" i="13"/>
  <c r="AN188" i="13"/>
  <c r="AN178" i="13"/>
  <c r="AN191" i="13"/>
  <c r="AN193" i="13"/>
  <c r="AN185" i="13"/>
  <c r="AN192" i="13"/>
  <c r="AN177" i="13"/>
  <c r="AN183" i="13"/>
  <c r="AN194" i="13"/>
  <c r="AN180" i="13"/>
  <c r="AN181" i="13"/>
  <c r="AN189" i="13"/>
  <c r="AO48" i="13"/>
  <c r="AN49" i="13"/>
  <c r="AN46" i="13"/>
  <c r="AQ96" i="13"/>
  <c r="AP150" i="13"/>
  <c r="AW102" i="13"/>
  <c r="AJ118" i="13"/>
  <c r="AI125" i="13"/>
  <c r="AI130" i="13" s="1"/>
  <c r="BA106" i="13"/>
  <c r="AD212" i="13" l="1"/>
  <c r="AD221" i="13" s="1"/>
  <c r="AD222" i="13" s="1"/>
  <c r="AE212" i="13"/>
  <c r="AF212" i="13"/>
  <c r="AG212" i="13"/>
  <c r="AH212" i="13"/>
  <c r="AI212" i="13"/>
  <c r="AJ212" i="13"/>
  <c r="AK212" i="13"/>
  <c r="AL212" i="13"/>
  <c r="AM212" i="13"/>
  <c r="R127" i="13"/>
  <c r="R132" i="13" s="1"/>
  <c r="AN213" i="13" s="1"/>
  <c r="S122" i="13"/>
  <c r="AK120" i="13"/>
  <c r="AJ126" i="13"/>
  <c r="AJ131" i="13" s="1"/>
  <c r="AO171" i="13"/>
  <c r="AO172" i="13" s="1"/>
  <c r="AP175" i="13"/>
  <c r="AP168" i="13"/>
  <c r="AP169" i="13"/>
  <c r="AP170" i="13"/>
  <c r="AP152" i="13"/>
  <c r="AP154" i="13"/>
  <c r="AP165" i="13"/>
  <c r="AP158" i="13"/>
  <c r="AP166" i="13"/>
  <c r="AP164" i="13"/>
  <c r="AP156" i="13"/>
  <c r="AP162" i="13"/>
  <c r="AP159" i="13"/>
  <c r="AP160" i="13"/>
  <c r="AP151" i="13"/>
  <c r="AP153" i="13"/>
  <c r="AP155" i="13"/>
  <c r="AP163" i="13"/>
  <c r="AP161" i="13"/>
  <c r="AP167" i="13"/>
  <c r="AP157" i="13"/>
  <c r="AO46" i="13"/>
  <c r="AP48" i="13"/>
  <c r="AO49" i="13"/>
  <c r="AN196" i="13"/>
  <c r="AN197" i="13" s="1"/>
  <c r="AO200" i="13"/>
  <c r="AO194" i="13"/>
  <c r="AO184" i="13"/>
  <c r="AO179" i="13"/>
  <c r="AO195" i="13"/>
  <c r="AO178" i="13"/>
  <c r="AO181" i="13"/>
  <c r="AO180" i="13"/>
  <c r="AO183" i="13"/>
  <c r="AO176" i="13"/>
  <c r="AO185" i="13"/>
  <c r="AO192" i="13"/>
  <c r="AO189" i="13"/>
  <c r="AO177" i="13"/>
  <c r="AO182" i="13"/>
  <c r="AO190" i="13"/>
  <c r="AO193" i="13"/>
  <c r="AO186" i="13"/>
  <c r="AO187" i="13"/>
  <c r="AO191" i="13"/>
  <c r="AO188" i="13"/>
  <c r="AQ150" i="13"/>
  <c r="AR96" i="13"/>
  <c r="AN203" i="13"/>
  <c r="AN206" i="13"/>
  <c r="AN208" i="13"/>
  <c r="AN210" i="13"/>
  <c r="AN211" i="13"/>
  <c r="AN202" i="13"/>
  <c r="AN204" i="13"/>
  <c r="AN207" i="13"/>
  <c r="AN209" i="13"/>
  <c r="AN212" i="13"/>
  <c r="AN201" i="13"/>
  <c r="AN205" i="13"/>
  <c r="AX102" i="13"/>
  <c r="BB106" i="13"/>
  <c r="AJ125" i="13"/>
  <c r="AJ130" i="13" s="1"/>
  <c r="AK118" i="13"/>
  <c r="T122" i="13" l="1"/>
  <c r="S127" i="13"/>
  <c r="S132" i="13" s="1"/>
  <c r="AO214" i="13" s="1"/>
  <c r="AE213" i="13"/>
  <c r="AE221" i="13" s="1"/>
  <c r="AE222" i="13" s="1"/>
  <c r="AF213" i="13"/>
  <c r="AG213" i="13"/>
  <c r="AH213" i="13"/>
  <c r="AI213" i="13"/>
  <c r="AJ213" i="13"/>
  <c r="AK213" i="13"/>
  <c r="AL213" i="13"/>
  <c r="AM213" i="13"/>
  <c r="AP171" i="13"/>
  <c r="AP172" i="13" s="1"/>
  <c r="AO196" i="13"/>
  <c r="AO197" i="13" s="1"/>
  <c r="AO203" i="13"/>
  <c r="AO210" i="13"/>
  <c r="AO205" i="13"/>
  <c r="AO202" i="13"/>
  <c r="AO206" i="13"/>
  <c r="AO204" i="13"/>
  <c r="AO207" i="13"/>
  <c r="AO209" i="13"/>
  <c r="AO211" i="13"/>
  <c r="AO212" i="13"/>
  <c r="AO201" i="13"/>
  <c r="AO213" i="13"/>
  <c r="AO208" i="13"/>
  <c r="AQ48" i="13"/>
  <c r="AP46" i="13"/>
  <c r="AP49" i="13"/>
  <c r="AS96" i="13"/>
  <c r="AR150" i="13"/>
  <c r="AP200" i="13"/>
  <c r="AP192" i="13"/>
  <c r="AP195" i="13"/>
  <c r="AP191" i="13"/>
  <c r="AP186" i="13"/>
  <c r="AP188" i="13"/>
  <c r="AP178" i="13"/>
  <c r="AP184" i="13"/>
  <c r="AP190" i="13"/>
  <c r="AP183" i="13"/>
  <c r="AP185" i="13"/>
  <c r="AP189" i="13"/>
  <c r="AP177" i="13"/>
  <c r="AP179" i="13"/>
  <c r="AP181" i="13"/>
  <c r="AP187" i="13"/>
  <c r="AP180" i="13"/>
  <c r="AP193" i="13"/>
  <c r="AP176" i="13"/>
  <c r="AP194" i="13"/>
  <c r="AP182" i="13"/>
  <c r="AQ175" i="13"/>
  <c r="AQ152" i="13"/>
  <c r="AQ154" i="13"/>
  <c r="AQ158" i="13"/>
  <c r="AQ159" i="13"/>
  <c r="AQ161" i="13"/>
  <c r="AQ167" i="13"/>
  <c r="AQ166" i="13"/>
  <c r="AQ162" i="13"/>
  <c r="AQ160" i="13"/>
  <c r="AQ170" i="13"/>
  <c r="AQ165" i="13"/>
  <c r="AQ153" i="13"/>
  <c r="AQ157" i="13"/>
  <c r="AQ155" i="13"/>
  <c r="AQ169" i="13"/>
  <c r="AQ164" i="13"/>
  <c r="AQ163" i="13"/>
  <c r="AQ168" i="13"/>
  <c r="AQ151" i="13"/>
  <c r="AQ156" i="13"/>
  <c r="AK126" i="13"/>
  <c r="AK131" i="13" s="1"/>
  <c r="AL120" i="13"/>
  <c r="AY102" i="13"/>
  <c r="AL118" i="13"/>
  <c r="AK125" i="13"/>
  <c r="AK130" i="13" s="1"/>
  <c r="BC106" i="13"/>
  <c r="U122" i="13" l="1"/>
  <c r="T127" i="13"/>
  <c r="T132" i="13" s="1"/>
  <c r="AP215" i="13" s="1"/>
  <c r="AF214" i="13"/>
  <c r="AF221" i="13" s="1"/>
  <c r="AF222" i="13" s="1"/>
  <c r="AG214" i="13"/>
  <c r="AH214" i="13"/>
  <c r="AI214" i="13"/>
  <c r="AJ214" i="13"/>
  <c r="AK214" i="13"/>
  <c r="AL214" i="13"/>
  <c r="AM214" i="13"/>
  <c r="AN214" i="13"/>
  <c r="AP196" i="13"/>
  <c r="AP197" i="13" s="1"/>
  <c r="AT96" i="13"/>
  <c r="AS150" i="13"/>
  <c r="AQ200" i="13"/>
  <c r="AQ194" i="13"/>
  <c r="AQ180" i="13"/>
  <c r="AQ187" i="13"/>
  <c r="AQ184" i="13"/>
  <c r="AQ191" i="13"/>
  <c r="AQ176" i="13"/>
  <c r="AQ192" i="13"/>
  <c r="AQ185" i="13"/>
  <c r="AQ186" i="13"/>
  <c r="AQ179" i="13"/>
  <c r="AQ188" i="13"/>
  <c r="AQ189" i="13"/>
  <c r="AQ181" i="13"/>
  <c r="AQ177" i="13"/>
  <c r="AQ193" i="13"/>
  <c r="AQ190" i="13"/>
  <c r="AQ195" i="13"/>
  <c r="AQ183" i="13"/>
  <c r="AQ182" i="13"/>
  <c r="AQ178" i="13"/>
  <c r="AQ171" i="13"/>
  <c r="AQ172" i="13" s="1"/>
  <c r="AP204" i="13"/>
  <c r="AP207" i="13"/>
  <c r="AP209" i="13"/>
  <c r="AP211" i="13"/>
  <c r="AP212" i="13"/>
  <c r="AP201" i="13"/>
  <c r="AP205" i="13"/>
  <c r="AP213" i="13"/>
  <c r="AP206" i="13"/>
  <c r="AP210" i="13"/>
  <c r="AP203" i="13"/>
  <c r="AP202" i="13"/>
  <c r="AP214" i="13"/>
  <c r="AP208" i="13"/>
  <c r="AM120" i="13"/>
  <c r="AL126" i="13"/>
  <c r="AL131" i="13" s="1"/>
  <c r="AR175" i="13"/>
  <c r="AR154" i="13"/>
  <c r="AR165" i="13"/>
  <c r="AR163" i="13"/>
  <c r="AR162" i="13"/>
  <c r="AR168" i="13"/>
  <c r="AR164" i="13"/>
  <c r="AR159" i="13"/>
  <c r="AR161" i="13"/>
  <c r="AR157" i="13"/>
  <c r="AR155" i="13"/>
  <c r="AR156" i="13"/>
  <c r="AR151" i="13"/>
  <c r="AR153" i="13"/>
  <c r="AR167" i="13"/>
  <c r="AR169" i="13"/>
  <c r="AR166" i="13"/>
  <c r="AR160" i="13"/>
  <c r="AR152" i="13"/>
  <c r="AR170" i="13"/>
  <c r="AR158" i="13"/>
  <c r="AQ46" i="13"/>
  <c r="AQ49" i="13"/>
  <c r="AR48" i="13"/>
  <c r="AZ102" i="13"/>
  <c r="BD106" i="13"/>
  <c r="AM118" i="13"/>
  <c r="AL125" i="13"/>
  <c r="AL130" i="13" s="1"/>
  <c r="AG215" i="13" l="1"/>
  <c r="AG221" i="13" s="1"/>
  <c r="AG222" i="13" s="1"/>
  <c r="AH215" i="13"/>
  <c r="AI215" i="13"/>
  <c r="AJ215" i="13"/>
  <c r="AK215" i="13"/>
  <c r="AL215" i="13"/>
  <c r="AM215" i="13"/>
  <c r="AN215" i="13"/>
  <c r="AO215" i="13"/>
  <c r="U127" i="13"/>
  <c r="U132" i="13" s="1"/>
  <c r="AQ216" i="13" s="1"/>
  <c r="V122" i="13"/>
  <c r="AQ204" i="13"/>
  <c r="AQ212" i="13"/>
  <c r="AQ201" i="13"/>
  <c r="AQ207" i="13"/>
  <c r="AQ209" i="13"/>
  <c r="AQ213" i="13"/>
  <c r="AQ203" i="13"/>
  <c r="AQ205" i="13"/>
  <c r="AQ211" i="13"/>
  <c r="AQ202" i="13"/>
  <c r="AQ206" i="13"/>
  <c r="AQ208" i="13"/>
  <c r="AQ214" i="13"/>
  <c r="AQ210" i="13"/>
  <c r="AQ215" i="13"/>
  <c r="AM126" i="13"/>
  <c r="AM131" i="13" s="1"/>
  <c r="AN120" i="13"/>
  <c r="AR171" i="13"/>
  <c r="AR172" i="13" s="1"/>
  <c r="AR200" i="13"/>
  <c r="AR176" i="13"/>
  <c r="AR193" i="13"/>
  <c r="AR178" i="13"/>
  <c r="AR195" i="13"/>
  <c r="AR182" i="13"/>
  <c r="AR181" i="13"/>
  <c r="AR185" i="13"/>
  <c r="AR177" i="13"/>
  <c r="AR180" i="13"/>
  <c r="AR179" i="13"/>
  <c r="AR190" i="13"/>
  <c r="AR192" i="13"/>
  <c r="AR186" i="13"/>
  <c r="AR194" i="13"/>
  <c r="AR187" i="13"/>
  <c r="AR183" i="13"/>
  <c r="AR184" i="13"/>
  <c r="AR191" i="13"/>
  <c r="AR188" i="13"/>
  <c r="AR189" i="13"/>
  <c r="AS175" i="13"/>
  <c r="AS153" i="13"/>
  <c r="AS157" i="13"/>
  <c r="AS163" i="13"/>
  <c r="AS159" i="13"/>
  <c r="AS166" i="13"/>
  <c r="AS162" i="13"/>
  <c r="AS160" i="13"/>
  <c r="AS158" i="13"/>
  <c r="AS165" i="13"/>
  <c r="AS151" i="13"/>
  <c r="AS155" i="13"/>
  <c r="AS156" i="13"/>
  <c r="AS152" i="13"/>
  <c r="AS154" i="13"/>
  <c r="AS170" i="13"/>
  <c r="AS169" i="13"/>
  <c r="AS161" i="13"/>
  <c r="AS164" i="13"/>
  <c r="AS168" i="13"/>
  <c r="AS167" i="13"/>
  <c r="AS48" i="13"/>
  <c r="AR46" i="13"/>
  <c r="AR49" i="13"/>
  <c r="AQ196" i="13"/>
  <c r="AQ197" i="13" s="1"/>
  <c r="AU96" i="13"/>
  <c r="AT150" i="13"/>
  <c r="BA102" i="13"/>
  <c r="AN118" i="13"/>
  <c r="AM125" i="13"/>
  <c r="AM130" i="13" s="1"/>
  <c r="BE106" i="13"/>
  <c r="V127" i="13" l="1"/>
  <c r="V132" i="13" s="1"/>
  <c r="W122" i="13"/>
  <c r="AH216" i="13"/>
  <c r="AH221" i="13" s="1"/>
  <c r="AH222" i="13" s="1"/>
  <c r="AI216" i="13"/>
  <c r="AJ216" i="13"/>
  <c r="AK216" i="13"/>
  <c r="AL216" i="13"/>
  <c r="AM216" i="13"/>
  <c r="AN216" i="13"/>
  <c r="AO216" i="13"/>
  <c r="AP216" i="13"/>
  <c r="AS171" i="13"/>
  <c r="AS172" i="13" s="1"/>
  <c r="AR201" i="13"/>
  <c r="AR205" i="13"/>
  <c r="AR207" i="13"/>
  <c r="AR213" i="13"/>
  <c r="AR217" i="13"/>
  <c r="AR208" i="13"/>
  <c r="AR204" i="13"/>
  <c r="AR209" i="13"/>
  <c r="AR212" i="13"/>
  <c r="AR202" i="13"/>
  <c r="AR206" i="13"/>
  <c r="AR211" i="13"/>
  <c r="AR214" i="13"/>
  <c r="AR203" i="13"/>
  <c r="AR210" i="13"/>
  <c r="AR215" i="13"/>
  <c r="AR216" i="13"/>
  <c r="AT48" i="13"/>
  <c r="AS46" i="13"/>
  <c r="AS49" i="13"/>
  <c r="AT175" i="13"/>
  <c r="AT152" i="13"/>
  <c r="AT154" i="13"/>
  <c r="AT164" i="13"/>
  <c r="AT163" i="13"/>
  <c r="AT162" i="13"/>
  <c r="AT167" i="13"/>
  <c r="AT170" i="13"/>
  <c r="AT155" i="13"/>
  <c r="AT160" i="13"/>
  <c r="AT159" i="13"/>
  <c r="AT151" i="13"/>
  <c r="AT161" i="13"/>
  <c r="AT166" i="13"/>
  <c r="AT165" i="13"/>
  <c r="AT157" i="13"/>
  <c r="AT156" i="13"/>
  <c r="AT168" i="13"/>
  <c r="AT153" i="13"/>
  <c r="AT169" i="13"/>
  <c r="AT158" i="13"/>
  <c r="AS200" i="13"/>
  <c r="AS179" i="13"/>
  <c r="AS193" i="13"/>
  <c r="AS177" i="13"/>
  <c r="AS187" i="13"/>
  <c r="AS186" i="13"/>
  <c r="AS190" i="13"/>
  <c r="AS189" i="13"/>
  <c r="AS183" i="13"/>
  <c r="AS184" i="13"/>
  <c r="AS182" i="13"/>
  <c r="AS180" i="13"/>
  <c r="AS178" i="13"/>
  <c r="AS188" i="13"/>
  <c r="AS176" i="13"/>
  <c r="AS181" i="13"/>
  <c r="AS194" i="13"/>
  <c r="AS185" i="13"/>
  <c r="AS192" i="13"/>
  <c r="AS191" i="13"/>
  <c r="AS195" i="13"/>
  <c r="AN126" i="13"/>
  <c r="AN131" i="13" s="1"/>
  <c r="AO120" i="13"/>
  <c r="AV96" i="13"/>
  <c r="AU150" i="13"/>
  <c r="AR196" i="13"/>
  <c r="AR197" i="13" s="1"/>
  <c r="BB102" i="13"/>
  <c r="BF106" i="13"/>
  <c r="AO118" i="13"/>
  <c r="AN125" i="13"/>
  <c r="AN130" i="13" s="1"/>
  <c r="AI217" i="13" l="1"/>
  <c r="AI221" i="13" s="1"/>
  <c r="AI222" i="13" s="1"/>
  <c r="AJ217" i="13"/>
  <c r="AK217" i="13"/>
  <c r="AL217" i="13"/>
  <c r="AM217" i="13"/>
  <c r="AN217" i="13"/>
  <c r="AO217" i="13"/>
  <c r="AP217" i="13"/>
  <c r="AQ217" i="13"/>
  <c r="W127" i="13"/>
  <c r="W132" i="13" s="1"/>
  <c r="AS218" i="13" s="1"/>
  <c r="X122" i="13"/>
  <c r="AS203" i="13"/>
  <c r="AS206" i="13"/>
  <c r="AS210" i="13"/>
  <c r="AS215" i="13"/>
  <c r="AS207" i="13"/>
  <c r="AS209" i="13"/>
  <c r="AS211" i="13"/>
  <c r="AS212" i="13"/>
  <c r="AS216" i="13"/>
  <c r="AS202" i="13"/>
  <c r="AS214" i="13"/>
  <c r="AS204" i="13"/>
  <c r="AS201" i="13"/>
  <c r="AS205" i="13"/>
  <c r="AS213" i="13"/>
  <c r="AS217" i="13"/>
  <c r="AS208" i="13"/>
  <c r="AT171" i="13"/>
  <c r="AT172" i="13" s="1"/>
  <c r="AW96" i="13"/>
  <c r="AV150" i="13"/>
  <c r="AU175" i="13"/>
  <c r="AU159" i="13"/>
  <c r="AU162" i="13"/>
  <c r="AU164" i="13"/>
  <c r="AU165" i="13"/>
  <c r="AU168" i="13"/>
  <c r="AU158" i="13"/>
  <c r="AU152" i="13"/>
  <c r="AU154" i="13"/>
  <c r="AU160" i="13"/>
  <c r="AU169" i="13"/>
  <c r="AU166" i="13"/>
  <c r="AU156" i="13"/>
  <c r="AU157" i="13"/>
  <c r="AU151" i="13"/>
  <c r="AU153" i="13"/>
  <c r="AU155" i="13"/>
  <c r="AU161" i="13"/>
  <c r="AU167" i="13"/>
  <c r="AU163" i="13"/>
  <c r="AU170" i="13"/>
  <c r="AO126" i="13"/>
  <c r="AO131" i="13" s="1"/>
  <c r="AP120" i="13"/>
  <c r="AS196" i="13"/>
  <c r="AS197" i="13" s="1"/>
  <c r="AT49" i="13"/>
  <c r="AT46" i="13"/>
  <c r="AU48" i="13"/>
  <c r="AT200" i="13"/>
  <c r="AT181" i="13"/>
  <c r="AT187" i="13"/>
  <c r="AT183" i="13"/>
  <c r="AT179" i="13"/>
  <c r="AT192" i="13"/>
  <c r="AT180" i="13"/>
  <c r="AT195" i="13"/>
  <c r="AT184" i="13"/>
  <c r="AT176" i="13"/>
  <c r="AT185" i="13"/>
  <c r="AT186" i="13"/>
  <c r="AT193" i="13"/>
  <c r="AT188" i="13"/>
  <c r="AT177" i="13"/>
  <c r="AT191" i="13"/>
  <c r="AT190" i="13"/>
  <c r="AT189" i="13"/>
  <c r="AT182" i="13"/>
  <c r="AT178" i="13"/>
  <c r="AT194" i="13"/>
  <c r="BC102" i="13"/>
  <c r="AO125" i="13"/>
  <c r="AO130" i="13" s="1"/>
  <c r="AP118" i="13"/>
  <c r="BG106" i="13"/>
  <c r="X127" i="13" l="1"/>
  <c r="X132" i="13" s="1"/>
  <c r="AT219" i="13" s="1"/>
  <c r="Y122" i="13"/>
  <c r="AJ218" i="13"/>
  <c r="AJ221" i="13" s="1"/>
  <c r="AJ222" i="13" s="1"/>
  <c r="AK218" i="13"/>
  <c r="AL218" i="13"/>
  <c r="AM218" i="13"/>
  <c r="AN218" i="13"/>
  <c r="AO218" i="13"/>
  <c r="AP218" i="13"/>
  <c r="AQ218" i="13"/>
  <c r="AR218" i="13"/>
  <c r="AU200" i="13"/>
  <c r="AU179" i="13"/>
  <c r="AU193" i="13"/>
  <c r="AU185" i="13"/>
  <c r="AU182" i="13"/>
  <c r="AU194" i="13"/>
  <c r="AU177" i="13"/>
  <c r="AU191" i="13"/>
  <c r="AU192" i="13"/>
  <c r="AU184" i="13"/>
  <c r="AU187" i="13"/>
  <c r="AU186" i="13"/>
  <c r="AU195" i="13"/>
  <c r="AU181" i="13"/>
  <c r="AU180" i="13"/>
  <c r="AU190" i="13"/>
  <c r="AU183" i="13"/>
  <c r="AU189" i="13"/>
  <c r="AU188" i="13"/>
  <c r="AU176" i="13"/>
  <c r="AU178" i="13"/>
  <c r="AT196" i="13"/>
  <c r="AT197" i="13" s="1"/>
  <c r="AT204" i="13"/>
  <c r="AT211" i="13"/>
  <c r="AT212" i="13"/>
  <c r="AT216" i="13"/>
  <c r="AT217" i="13"/>
  <c r="AT206" i="13"/>
  <c r="AT218" i="13"/>
  <c r="AT210" i="13"/>
  <c r="AT201" i="13"/>
  <c r="AT205" i="13"/>
  <c r="AT207" i="13"/>
  <c r="AT209" i="13"/>
  <c r="AT213" i="13"/>
  <c r="AT202" i="13"/>
  <c r="AT208" i="13"/>
  <c r="AT214" i="13"/>
  <c r="AT203" i="13"/>
  <c r="AT215" i="13"/>
  <c r="AP126" i="13"/>
  <c r="AP131" i="13" s="1"/>
  <c r="AQ120" i="13"/>
  <c r="AU171" i="13"/>
  <c r="AU172" i="13" s="1"/>
  <c r="AX96" i="13"/>
  <c r="AW150" i="13"/>
  <c r="AU46" i="13"/>
  <c r="AV48" i="13"/>
  <c r="AU49" i="13"/>
  <c r="AV175" i="13"/>
  <c r="AV153" i="13"/>
  <c r="AV156" i="13"/>
  <c r="AV163" i="13"/>
  <c r="AV170" i="13"/>
  <c r="AV169" i="13"/>
  <c r="AV155" i="13"/>
  <c r="AV165" i="13"/>
  <c r="AV162" i="13"/>
  <c r="AV154" i="13"/>
  <c r="AV160" i="13"/>
  <c r="AV152" i="13"/>
  <c r="AV157" i="13"/>
  <c r="AV161" i="13"/>
  <c r="AV151" i="13"/>
  <c r="AV166" i="13"/>
  <c r="AV167" i="13"/>
  <c r="AV158" i="13"/>
  <c r="AV159" i="13"/>
  <c r="AV164" i="13"/>
  <c r="AV168" i="13"/>
  <c r="BD102" i="13"/>
  <c r="BH106" i="13"/>
  <c r="AQ118" i="13"/>
  <c r="AP125" i="13"/>
  <c r="AP130" i="13" s="1"/>
  <c r="Z122" i="13" l="1"/>
  <c r="Y127" i="13"/>
  <c r="Y132" i="13" s="1"/>
  <c r="AU220" i="13" s="1"/>
  <c r="AK219" i="13"/>
  <c r="AK221" i="13" s="1"/>
  <c r="AK222" i="13" s="1"/>
  <c r="AL219" i="13"/>
  <c r="AM219" i="13"/>
  <c r="AN219" i="13"/>
  <c r="AO219" i="13"/>
  <c r="AP219" i="13"/>
  <c r="AQ219" i="13"/>
  <c r="AR219" i="13"/>
  <c r="AS219" i="13"/>
  <c r="AU196" i="13"/>
  <c r="AU197" i="13" s="1"/>
  <c r="AV171" i="13"/>
  <c r="AV172" i="13" s="1"/>
  <c r="AW175" i="13"/>
  <c r="AW155" i="13"/>
  <c r="AW163" i="13"/>
  <c r="AW158" i="13"/>
  <c r="AW164" i="13"/>
  <c r="AW165" i="13"/>
  <c r="AW157" i="13"/>
  <c r="AW151" i="13"/>
  <c r="AW170" i="13"/>
  <c r="AW167" i="13"/>
  <c r="AW152" i="13"/>
  <c r="AW154" i="13"/>
  <c r="AW156" i="13"/>
  <c r="AW160" i="13"/>
  <c r="AW162" i="13"/>
  <c r="AW169" i="13"/>
  <c r="AW168" i="13"/>
  <c r="AW161" i="13"/>
  <c r="AW153" i="13"/>
  <c r="AW159" i="13"/>
  <c r="AW166" i="13"/>
  <c r="AV200" i="13"/>
  <c r="AV177" i="13"/>
  <c r="AV189" i="13"/>
  <c r="AV192" i="13"/>
  <c r="AV187" i="13"/>
  <c r="AV184" i="13"/>
  <c r="AV179" i="13"/>
  <c r="AV183" i="13"/>
  <c r="AV182" i="13"/>
  <c r="AV190" i="13"/>
  <c r="AV176" i="13"/>
  <c r="AV180" i="13"/>
  <c r="AV185" i="13"/>
  <c r="AV186" i="13"/>
  <c r="AV188" i="13"/>
  <c r="AV193" i="13"/>
  <c r="AV178" i="13"/>
  <c r="AV181" i="13"/>
  <c r="AV195" i="13"/>
  <c r="AV191" i="13"/>
  <c r="AV194" i="13"/>
  <c r="AV49" i="13"/>
  <c r="AV46" i="13"/>
  <c r="AW48" i="13"/>
  <c r="AY96" i="13"/>
  <c r="AX150" i="13"/>
  <c r="AQ126" i="13"/>
  <c r="AQ131" i="13" s="1"/>
  <c r="AR120" i="13"/>
  <c r="AU204" i="13"/>
  <c r="AU207" i="13"/>
  <c r="AU209" i="13"/>
  <c r="AU212" i="13"/>
  <c r="AU216" i="13"/>
  <c r="AU206" i="13"/>
  <c r="AU215" i="13"/>
  <c r="AU201" i="13"/>
  <c r="AU205" i="13"/>
  <c r="AU213" i="13"/>
  <c r="AU217" i="13"/>
  <c r="AU203" i="13"/>
  <c r="AU208" i="13"/>
  <c r="AU210" i="13"/>
  <c r="AU211" i="13"/>
  <c r="AU219" i="13"/>
  <c r="AU202" i="13"/>
  <c r="AU214" i="13"/>
  <c r="AU218" i="13"/>
  <c r="BE102" i="13"/>
  <c r="AR118" i="13"/>
  <c r="AQ125" i="13"/>
  <c r="AQ130" i="13" s="1"/>
  <c r="BI106" i="13"/>
  <c r="AA122" i="13" l="1"/>
  <c r="Z127" i="13"/>
  <c r="Z132" i="13" s="1"/>
  <c r="AL220" i="13"/>
  <c r="AL221" i="13" s="1"/>
  <c r="AL222" i="13" s="1"/>
  <c r="AM220" i="13"/>
  <c r="AM221" i="13" s="1"/>
  <c r="AM222" i="13" s="1"/>
  <c r="AN220" i="13"/>
  <c r="AN221" i="13" s="1"/>
  <c r="AN222" i="13" s="1"/>
  <c r="AO220" i="13"/>
  <c r="AO221" i="13" s="1"/>
  <c r="AO222" i="13" s="1"/>
  <c r="AP220" i="13"/>
  <c r="AP221" i="13" s="1"/>
  <c r="AP222" i="13" s="1"/>
  <c r="AQ220" i="13"/>
  <c r="AQ221" i="13" s="1"/>
  <c r="AQ222" i="13" s="1"/>
  <c r="AR220" i="13"/>
  <c r="AR221" i="13" s="1"/>
  <c r="AR222" i="13" s="1"/>
  <c r="AS220" i="13"/>
  <c r="AS221" i="13" s="1"/>
  <c r="AS222" i="13" s="1"/>
  <c r="AT220" i="13"/>
  <c r="AT221" i="13" s="1"/>
  <c r="AT222" i="13" s="1"/>
  <c r="AW46" i="13"/>
  <c r="AW49" i="13"/>
  <c r="AX48" i="13"/>
  <c r="AW200" i="13"/>
  <c r="AW178" i="13"/>
  <c r="AW184" i="13"/>
  <c r="AW193" i="13"/>
  <c r="AW191" i="13"/>
  <c r="AW188" i="13"/>
  <c r="AW176" i="13"/>
  <c r="AW182" i="13"/>
  <c r="AW190" i="13"/>
  <c r="AW189" i="13"/>
  <c r="AW177" i="13"/>
  <c r="AW183" i="13"/>
  <c r="AW179" i="13"/>
  <c r="AW180" i="13"/>
  <c r="AW185" i="13"/>
  <c r="AW194" i="13"/>
  <c r="AW192" i="13"/>
  <c r="AW181" i="13"/>
  <c r="AW187" i="13"/>
  <c r="AW195" i="13"/>
  <c r="AW186" i="13"/>
  <c r="AX175" i="13"/>
  <c r="AX152" i="13"/>
  <c r="AX154" i="13"/>
  <c r="AX163" i="13"/>
  <c r="AX169" i="13"/>
  <c r="AX156" i="13"/>
  <c r="AX158" i="13"/>
  <c r="AX166" i="13"/>
  <c r="AX167" i="13"/>
  <c r="AX151" i="13"/>
  <c r="AX153" i="13"/>
  <c r="AX161" i="13"/>
  <c r="AX168" i="13"/>
  <c r="AX165" i="13"/>
  <c r="AX159" i="13"/>
  <c r="AX170" i="13"/>
  <c r="AX160" i="13"/>
  <c r="AX155" i="13"/>
  <c r="AX164" i="13"/>
  <c r="AX157" i="13"/>
  <c r="AX162" i="13"/>
  <c r="AV196" i="13"/>
  <c r="AV197" i="13" s="1"/>
  <c r="AU221" i="13"/>
  <c r="AU222" i="13" s="1"/>
  <c r="AZ96" i="13"/>
  <c r="AY150" i="13"/>
  <c r="AW171" i="13"/>
  <c r="AW172" i="13" s="1"/>
  <c r="AS120" i="13"/>
  <c r="AR126" i="13"/>
  <c r="AR131" i="13" s="1"/>
  <c r="AV202" i="13"/>
  <c r="AV206" i="13"/>
  <c r="AV210" i="13"/>
  <c r="AV214" i="13"/>
  <c r="AV218" i="13"/>
  <c r="AV203" i="13"/>
  <c r="AV208" i="13"/>
  <c r="AV215" i="13"/>
  <c r="AV219" i="13"/>
  <c r="AV216" i="13"/>
  <c r="AV201" i="13"/>
  <c r="AV213" i="13"/>
  <c r="AV204" i="13"/>
  <c r="AV207" i="13"/>
  <c r="AV211" i="13"/>
  <c r="AV212" i="13"/>
  <c r="AV220" i="13"/>
  <c r="AV205" i="13"/>
  <c r="AV209" i="13"/>
  <c r="AV217" i="13"/>
  <c r="BF102" i="13"/>
  <c r="BJ106" i="13"/>
  <c r="AR125" i="13"/>
  <c r="AR130" i="13" s="1"/>
  <c r="AS118" i="13"/>
  <c r="AA127" i="13" l="1"/>
  <c r="AA132" i="13" s="1"/>
  <c r="AB122" i="13"/>
  <c r="AY175" i="13"/>
  <c r="AY151" i="13"/>
  <c r="AY166" i="13"/>
  <c r="AY157" i="13"/>
  <c r="AY160" i="13"/>
  <c r="AY167" i="13"/>
  <c r="AY162" i="13"/>
  <c r="AY170" i="13"/>
  <c r="AY154" i="13"/>
  <c r="AY158" i="13"/>
  <c r="AY156" i="13"/>
  <c r="AY168" i="13"/>
  <c r="AY161" i="13"/>
  <c r="AY153" i="13"/>
  <c r="AY155" i="13"/>
  <c r="AY165" i="13"/>
  <c r="AY169" i="13"/>
  <c r="AY152" i="13"/>
  <c r="AY163" i="13"/>
  <c r="AY159" i="13"/>
  <c r="AY164" i="13"/>
  <c r="AZ150" i="13"/>
  <c r="BA96" i="13"/>
  <c r="AX171" i="13"/>
  <c r="AX172" i="13" s="1"/>
  <c r="AW196" i="13"/>
  <c r="AW197" i="13" s="1"/>
  <c r="AW203" i="13"/>
  <c r="AW206" i="13"/>
  <c r="AW208" i="13"/>
  <c r="AW211" i="13"/>
  <c r="AW215" i="13"/>
  <c r="AW219" i="13"/>
  <c r="AW201" i="13"/>
  <c r="AW205" i="13"/>
  <c r="AW209" i="13"/>
  <c r="AW217" i="13"/>
  <c r="AW210" i="13"/>
  <c r="AW218" i="13"/>
  <c r="AW204" i="13"/>
  <c r="AW212" i="13"/>
  <c r="AW216" i="13"/>
  <c r="AW220" i="13"/>
  <c r="AW207" i="13"/>
  <c r="AW213" i="13"/>
  <c r="AW202" i="13"/>
  <c r="AW214" i="13"/>
  <c r="AX49" i="13"/>
  <c r="AX46" i="13"/>
  <c r="AY48" i="13"/>
  <c r="AV221" i="13"/>
  <c r="AV222" i="13" s="1"/>
  <c r="AT120" i="13"/>
  <c r="AS126" i="13"/>
  <c r="AS131" i="13" s="1"/>
  <c r="AX200" i="13"/>
  <c r="AX176" i="13"/>
  <c r="AX193" i="13"/>
  <c r="AX188" i="13"/>
  <c r="AX180" i="13"/>
  <c r="AX195" i="13"/>
  <c r="AX192" i="13"/>
  <c r="AX184" i="13"/>
  <c r="AX183" i="13"/>
  <c r="AX187" i="13"/>
  <c r="AX191" i="13"/>
  <c r="AX177" i="13"/>
  <c r="AX190" i="13"/>
  <c r="AX189" i="13"/>
  <c r="AX185" i="13"/>
  <c r="AX181" i="13"/>
  <c r="AX178" i="13"/>
  <c r="AX186" i="13"/>
  <c r="AX179" i="13"/>
  <c r="AX194" i="13"/>
  <c r="AX182" i="13"/>
  <c r="BG102" i="13"/>
  <c r="AT118" i="13"/>
  <c r="AS125" i="13"/>
  <c r="AS130" i="13" s="1"/>
  <c r="BK106" i="13"/>
  <c r="AC122" i="13" l="1"/>
  <c r="AB127" i="13"/>
  <c r="AB132" i="13" s="1"/>
  <c r="AX196" i="13"/>
  <c r="AX197" i="13" s="1"/>
  <c r="BB96" i="13"/>
  <c r="BA150" i="13"/>
  <c r="AX201" i="13"/>
  <c r="AX205" i="13"/>
  <c r="AX213" i="13"/>
  <c r="AX217" i="13"/>
  <c r="AX214" i="13"/>
  <c r="AX215" i="13"/>
  <c r="AX204" i="13"/>
  <c r="AX209" i="13"/>
  <c r="AX216" i="13"/>
  <c r="AX202" i="13"/>
  <c r="AX206" i="13"/>
  <c r="AX208" i="13"/>
  <c r="AX210" i="13"/>
  <c r="AX218" i="13"/>
  <c r="AX203" i="13"/>
  <c r="AX219" i="13"/>
  <c r="AX207" i="13"/>
  <c r="AX211" i="13"/>
  <c r="AX212" i="13"/>
  <c r="AX220" i="13"/>
  <c r="AY46" i="13"/>
  <c r="AZ48" i="13"/>
  <c r="AY49" i="13"/>
  <c r="AW221" i="13"/>
  <c r="AW222" i="13" s="1"/>
  <c r="AZ175" i="13"/>
  <c r="AZ152" i="13"/>
  <c r="AZ168" i="13"/>
  <c r="AZ165" i="13"/>
  <c r="AZ160" i="13"/>
  <c r="AZ162" i="13"/>
  <c r="AZ161" i="13"/>
  <c r="AZ157" i="13"/>
  <c r="AZ164" i="13"/>
  <c r="AZ154" i="13"/>
  <c r="AZ151" i="13"/>
  <c r="AZ153" i="13"/>
  <c r="AZ155" i="13"/>
  <c r="AZ159" i="13"/>
  <c r="AZ163" i="13"/>
  <c r="AZ169" i="13"/>
  <c r="AZ156" i="13"/>
  <c r="AZ167" i="13"/>
  <c r="AZ166" i="13"/>
  <c r="AZ158" i="13"/>
  <c r="AZ170" i="13"/>
  <c r="AY171" i="13"/>
  <c r="AY172" i="13" s="1"/>
  <c r="AT126" i="13"/>
  <c r="AT131" i="13" s="1"/>
  <c r="AU120" i="13"/>
  <c r="AY200" i="13"/>
  <c r="AY185" i="13"/>
  <c r="AY179" i="13"/>
  <c r="AY182" i="13"/>
  <c r="AY195" i="13"/>
  <c r="AY180" i="13"/>
  <c r="AY178" i="13"/>
  <c r="AY186" i="13"/>
  <c r="AY191" i="13"/>
  <c r="AY193" i="13"/>
  <c r="AY177" i="13"/>
  <c r="AY188" i="13"/>
  <c r="AY189" i="13"/>
  <c r="AY176" i="13"/>
  <c r="AY190" i="13"/>
  <c r="AY184" i="13"/>
  <c r="AY183" i="13"/>
  <c r="AY181" i="13"/>
  <c r="AY192" i="13"/>
  <c r="AY194" i="13"/>
  <c r="AY187" i="13"/>
  <c r="BH102" i="13"/>
  <c r="BL106" i="13"/>
  <c r="AU118" i="13"/>
  <c r="AT125" i="13"/>
  <c r="AT130" i="13" s="1"/>
  <c r="AD122" i="13" l="1"/>
  <c r="AC127" i="13"/>
  <c r="AC132" i="13" s="1"/>
  <c r="AZ200" i="13"/>
  <c r="AZ178" i="13"/>
  <c r="AZ192" i="13"/>
  <c r="AZ188" i="13"/>
  <c r="AZ191" i="13"/>
  <c r="AZ181" i="13"/>
  <c r="AZ176" i="13"/>
  <c r="AZ177" i="13"/>
  <c r="AZ184" i="13"/>
  <c r="AZ190" i="13"/>
  <c r="AZ187" i="13"/>
  <c r="AZ182" i="13"/>
  <c r="AZ183" i="13"/>
  <c r="AZ185" i="13"/>
  <c r="AZ179" i="13"/>
  <c r="AZ180" i="13"/>
  <c r="AZ186" i="13"/>
  <c r="AZ195" i="13"/>
  <c r="AZ194" i="13"/>
  <c r="AZ193" i="13"/>
  <c r="AZ189" i="13"/>
  <c r="AU126" i="13"/>
  <c r="AU131" i="13" s="1"/>
  <c r="AV120" i="13"/>
  <c r="BB150" i="13"/>
  <c r="BC96" i="13"/>
  <c r="AX221" i="13"/>
  <c r="AX222" i="13" s="1"/>
  <c r="AY196" i="13"/>
  <c r="AY197" i="13" s="1"/>
  <c r="BA175" i="13"/>
  <c r="BA153" i="13"/>
  <c r="BA166" i="13"/>
  <c r="BA159" i="13"/>
  <c r="BA168" i="13"/>
  <c r="BA161" i="13"/>
  <c r="BA151" i="13"/>
  <c r="BA155" i="13"/>
  <c r="BA158" i="13"/>
  <c r="BA163" i="13"/>
  <c r="BA156" i="13"/>
  <c r="BA169" i="13"/>
  <c r="BA167" i="13"/>
  <c r="BA154" i="13"/>
  <c r="BA164" i="13"/>
  <c r="BA160" i="13"/>
  <c r="BA162" i="13"/>
  <c r="BA165" i="13"/>
  <c r="BA152" i="13"/>
  <c r="BA157" i="13"/>
  <c r="BA170" i="13"/>
  <c r="AY202" i="13"/>
  <c r="AY208" i="13"/>
  <c r="AY210" i="13"/>
  <c r="AY214" i="13"/>
  <c r="AY218" i="13"/>
  <c r="AY219" i="13"/>
  <c r="AY204" i="13"/>
  <c r="AY216" i="13"/>
  <c r="AY207" i="13"/>
  <c r="AY213" i="13"/>
  <c r="AY203" i="13"/>
  <c r="AY206" i="13"/>
  <c r="AY215" i="13"/>
  <c r="AY211" i="13"/>
  <c r="AY212" i="13"/>
  <c r="AY220" i="13"/>
  <c r="AY201" i="13"/>
  <c r="AY205" i="13"/>
  <c r="AY209" i="13"/>
  <c r="AY217" i="13"/>
  <c r="AZ171" i="13"/>
  <c r="AZ172" i="13" s="1"/>
  <c r="AZ46" i="13"/>
  <c r="AZ49" i="13"/>
  <c r="BA48" i="13"/>
  <c r="BI102" i="13"/>
  <c r="AV118" i="13"/>
  <c r="AU125" i="13"/>
  <c r="AU130" i="13" s="1"/>
  <c r="BM106" i="13"/>
  <c r="AE122" i="13" l="1"/>
  <c r="AD127" i="13"/>
  <c r="AD132" i="13" s="1"/>
  <c r="AY221" i="13"/>
  <c r="AY222" i="13" s="1"/>
  <c r="AZ196" i="13"/>
  <c r="AZ197" i="13" s="1"/>
  <c r="BA46" i="13"/>
  <c r="BB48" i="13"/>
  <c r="BA49" i="13"/>
  <c r="BA200" i="13"/>
  <c r="BA177" i="13"/>
  <c r="BA182" i="13"/>
  <c r="BA178" i="13"/>
  <c r="BA184" i="13"/>
  <c r="BA187" i="13"/>
  <c r="BA190" i="13"/>
  <c r="BA180" i="13"/>
  <c r="BA194" i="13"/>
  <c r="BA183" i="13"/>
  <c r="BA195" i="13"/>
  <c r="BA188" i="13"/>
  <c r="BA176" i="13"/>
  <c r="BA192" i="13"/>
  <c r="BA191" i="13"/>
  <c r="BA193" i="13"/>
  <c r="BA179" i="13"/>
  <c r="BA185" i="13"/>
  <c r="BA181" i="13"/>
  <c r="BA189" i="13"/>
  <c r="BA186" i="13"/>
  <c r="BA171" i="13"/>
  <c r="BA172" i="13" s="1"/>
  <c r="BB175" i="13"/>
  <c r="BB161" i="13"/>
  <c r="BB164" i="13"/>
  <c r="BB169" i="13"/>
  <c r="BB156" i="13"/>
  <c r="BB153" i="13"/>
  <c r="BB155" i="13"/>
  <c r="BB163" i="13"/>
  <c r="BB162" i="13"/>
  <c r="BB167" i="13"/>
  <c r="BB152" i="13"/>
  <c r="BB157" i="13"/>
  <c r="BB151" i="13"/>
  <c r="BB154" i="13"/>
  <c r="BB165" i="13"/>
  <c r="BB159" i="13"/>
  <c r="BB168" i="13"/>
  <c r="BB170" i="13"/>
  <c r="BB160" i="13"/>
  <c r="BB166" i="13"/>
  <c r="BB158" i="13"/>
  <c r="AV126" i="13"/>
  <c r="AV131" i="13" s="1"/>
  <c r="AW120" i="13"/>
  <c r="BD96" i="13"/>
  <c r="BC150" i="13"/>
  <c r="AZ201" i="13"/>
  <c r="AZ205" i="13"/>
  <c r="AZ209" i="13"/>
  <c r="AZ213" i="13"/>
  <c r="AZ217" i="13"/>
  <c r="AZ214" i="13"/>
  <c r="AZ219" i="13"/>
  <c r="AZ212" i="13"/>
  <c r="AZ202" i="13"/>
  <c r="AZ218" i="13"/>
  <c r="AZ215" i="13"/>
  <c r="AZ207" i="13"/>
  <c r="AZ216" i="13"/>
  <c r="AZ203" i="13"/>
  <c r="AZ206" i="13"/>
  <c r="AZ208" i="13"/>
  <c r="AZ210" i="13"/>
  <c r="AZ204" i="13"/>
  <c r="AZ211" i="13"/>
  <c r="AZ220" i="13"/>
  <c r="BJ102" i="13"/>
  <c r="BN106" i="13"/>
  <c r="AV125" i="13"/>
  <c r="AV130" i="13" s="1"/>
  <c r="AW118" i="13"/>
  <c r="AF122" i="13" l="1"/>
  <c r="AE127" i="13"/>
  <c r="AE132" i="13" s="1"/>
  <c r="AX120" i="13"/>
  <c r="AW126" i="13"/>
  <c r="AW131" i="13" s="1"/>
  <c r="BC48" i="13"/>
  <c r="BB49" i="13"/>
  <c r="BB46" i="13"/>
  <c r="BC175" i="13"/>
  <c r="BC155" i="13"/>
  <c r="BC169" i="13"/>
  <c r="BC165" i="13"/>
  <c r="BC170" i="13"/>
  <c r="BC161" i="13"/>
  <c r="BC160" i="13"/>
  <c r="BC157" i="13"/>
  <c r="BC168" i="13"/>
  <c r="BC163" i="13"/>
  <c r="BC151" i="13"/>
  <c r="BC159" i="13"/>
  <c r="BC152" i="13"/>
  <c r="BC154" i="13"/>
  <c r="BC164" i="13"/>
  <c r="BC167" i="13"/>
  <c r="BC166" i="13"/>
  <c r="BC162" i="13"/>
  <c r="BC153" i="13"/>
  <c r="BC158" i="13"/>
  <c r="BC156" i="13"/>
  <c r="BB171" i="13"/>
  <c r="BB172" i="13" s="1"/>
  <c r="BB200" i="13"/>
  <c r="BB184" i="13"/>
  <c r="BB183" i="13"/>
  <c r="BB194" i="13"/>
  <c r="BB189" i="13"/>
  <c r="BB181" i="13"/>
  <c r="BB191" i="13"/>
  <c r="BB180" i="13"/>
  <c r="BB182" i="13"/>
  <c r="BB192" i="13"/>
  <c r="BB177" i="13"/>
  <c r="BB179" i="13"/>
  <c r="BB188" i="13"/>
  <c r="BB187" i="13"/>
  <c r="BB185" i="13"/>
  <c r="BB186" i="13"/>
  <c r="BB178" i="13"/>
  <c r="BB176" i="13"/>
  <c r="BB193" i="13"/>
  <c r="BB195" i="13"/>
  <c r="BB190" i="13"/>
  <c r="BA196" i="13"/>
  <c r="BA197" i="13" s="1"/>
  <c r="BA202" i="13"/>
  <c r="BA206" i="13"/>
  <c r="BA210" i="13"/>
  <c r="BA214" i="13"/>
  <c r="BA218" i="13"/>
  <c r="BA208" i="13"/>
  <c r="BA219" i="13"/>
  <c r="BA213" i="13"/>
  <c r="BA203" i="13"/>
  <c r="BA215" i="13"/>
  <c r="BA201" i="13"/>
  <c r="BA204" i="13"/>
  <c r="BA207" i="13"/>
  <c r="BA209" i="13"/>
  <c r="BA211" i="13"/>
  <c r="BA212" i="13"/>
  <c r="BA216" i="13"/>
  <c r="BA220" i="13"/>
  <c r="BA205" i="13"/>
  <c r="BA217" i="13"/>
  <c r="AZ221" i="13"/>
  <c r="AZ222" i="13" s="1"/>
  <c r="BD150" i="13"/>
  <c r="BE96" i="13"/>
  <c r="BK102" i="13"/>
  <c r="AW125" i="13"/>
  <c r="AW130" i="13" s="1"/>
  <c r="AX118" i="13"/>
  <c r="BO106" i="13"/>
  <c r="AG122" i="13" l="1"/>
  <c r="AF127" i="13"/>
  <c r="AF132" i="13" s="1"/>
  <c r="BC200" i="13"/>
  <c r="BC181" i="13"/>
  <c r="BC189" i="13"/>
  <c r="BC187" i="13"/>
  <c r="BC182" i="13"/>
  <c r="BC191" i="13"/>
  <c r="BC177" i="13"/>
  <c r="BC179" i="13"/>
  <c r="BC180" i="13"/>
  <c r="BC194" i="13"/>
  <c r="BC185" i="13"/>
  <c r="BC195" i="13"/>
  <c r="BC186" i="13"/>
  <c r="BC184" i="13"/>
  <c r="BC178" i="13"/>
  <c r="BC190" i="13"/>
  <c r="BC176" i="13"/>
  <c r="BC193" i="13"/>
  <c r="BC192" i="13"/>
  <c r="BC188" i="13"/>
  <c r="BC183" i="13"/>
  <c r="BC46" i="13"/>
  <c r="BC49" i="13"/>
  <c r="BD48" i="13"/>
  <c r="BF96" i="13"/>
  <c r="BE150" i="13"/>
  <c r="BA221" i="13"/>
  <c r="BA222" i="13" s="1"/>
  <c r="BB202" i="13"/>
  <c r="BB206" i="13"/>
  <c r="BB208" i="13"/>
  <c r="BB210" i="13"/>
  <c r="BB214" i="13"/>
  <c r="BB218" i="13"/>
  <c r="BB203" i="13"/>
  <c r="BB215" i="13"/>
  <c r="BB211" i="13"/>
  <c r="BB219" i="13"/>
  <c r="BB201" i="13"/>
  <c r="BB213" i="13"/>
  <c r="BB204" i="13"/>
  <c r="BB207" i="13"/>
  <c r="BB209" i="13"/>
  <c r="BB212" i="13"/>
  <c r="BB216" i="13"/>
  <c r="BB220" i="13"/>
  <c r="BB205" i="13"/>
  <c r="BB217" i="13"/>
  <c r="BC171" i="13"/>
  <c r="BC172" i="13" s="1"/>
  <c r="BB196" i="13"/>
  <c r="BB197" i="13" s="1"/>
  <c r="BD175" i="13"/>
  <c r="BD152" i="13"/>
  <c r="BD154" i="13"/>
  <c r="BD165" i="13"/>
  <c r="BD157" i="13"/>
  <c r="BD170" i="13"/>
  <c r="BD166" i="13"/>
  <c r="BD151" i="13"/>
  <c r="BD155" i="13"/>
  <c r="BD159" i="13"/>
  <c r="BD158" i="13"/>
  <c r="BD164" i="13"/>
  <c r="BD161" i="13"/>
  <c r="BD162" i="13"/>
  <c r="BD169" i="13"/>
  <c r="BD168" i="13"/>
  <c r="BD160" i="13"/>
  <c r="BD167" i="13"/>
  <c r="BD163" i="13"/>
  <c r="BD153" i="13"/>
  <c r="BD156" i="13"/>
  <c r="AY120" i="13"/>
  <c r="AX126" i="13"/>
  <c r="AX131" i="13" s="1"/>
  <c r="BL102" i="13"/>
  <c r="BP106" i="13"/>
  <c r="AX125" i="13"/>
  <c r="AX130" i="13" s="1"/>
  <c r="AY118" i="13"/>
  <c r="AG127" i="13" l="1"/>
  <c r="AG132" i="13" s="1"/>
  <c r="AH122" i="13"/>
  <c r="BD200" i="13"/>
  <c r="BD178" i="13"/>
  <c r="BD193" i="13"/>
  <c r="BD180" i="13"/>
  <c r="BD185" i="13"/>
  <c r="BD194" i="13"/>
  <c r="BD179" i="13"/>
  <c r="BD189" i="13"/>
  <c r="BD183" i="13"/>
  <c r="BD182" i="13"/>
  <c r="BD181" i="13"/>
  <c r="BD177" i="13"/>
  <c r="BD191" i="13"/>
  <c r="BD186" i="13"/>
  <c r="BD190" i="13"/>
  <c r="BD187" i="13"/>
  <c r="BD192" i="13"/>
  <c r="BD195" i="13"/>
  <c r="BD176" i="13"/>
  <c r="BD184" i="13"/>
  <c r="BD188" i="13"/>
  <c r="BD46" i="13"/>
  <c r="BE48" i="13"/>
  <c r="BD49" i="13"/>
  <c r="BB221" i="13"/>
  <c r="BB222" i="13" s="1"/>
  <c r="BE175" i="13"/>
  <c r="BE152" i="13"/>
  <c r="BE163" i="13"/>
  <c r="BE157" i="13"/>
  <c r="BE167" i="13"/>
  <c r="BE153" i="13"/>
  <c r="BE170" i="13"/>
  <c r="BE156" i="13"/>
  <c r="BE162" i="13"/>
  <c r="BE160" i="13"/>
  <c r="BE154" i="13"/>
  <c r="BE161" i="13"/>
  <c r="BE159" i="13"/>
  <c r="BE168" i="13"/>
  <c r="BE158" i="13"/>
  <c r="BE151" i="13"/>
  <c r="BE155" i="13"/>
  <c r="BE164" i="13"/>
  <c r="BE166" i="13"/>
  <c r="BE165" i="13"/>
  <c r="BE169" i="13"/>
  <c r="BD171" i="13"/>
  <c r="BD172" i="13" s="1"/>
  <c r="AZ120" i="13"/>
  <c r="AY126" i="13"/>
  <c r="AY131" i="13" s="1"/>
  <c r="BF150" i="13"/>
  <c r="BG96" i="13"/>
  <c r="BC196" i="13"/>
  <c r="BC197" i="13" s="1"/>
  <c r="BC203" i="13"/>
  <c r="BC206" i="13"/>
  <c r="BC208" i="13"/>
  <c r="BC211" i="13"/>
  <c r="BC215" i="13"/>
  <c r="BC219" i="13"/>
  <c r="BC204" i="13"/>
  <c r="BC207" i="13"/>
  <c r="BC212" i="13"/>
  <c r="BC216" i="13"/>
  <c r="BC220" i="13"/>
  <c r="BC202" i="13"/>
  <c r="BC210" i="13"/>
  <c r="BC218" i="13"/>
  <c r="BC209" i="13"/>
  <c r="BC214" i="13"/>
  <c r="BC201" i="13"/>
  <c r="BC205" i="13"/>
  <c r="BC213" i="13"/>
  <c r="BC217" i="13"/>
  <c r="BM102" i="13"/>
  <c r="AY125" i="13"/>
  <c r="AY130" i="13" s="1"/>
  <c r="AZ118" i="13"/>
  <c r="BQ106" i="13"/>
  <c r="AI122" i="13" l="1"/>
  <c r="AH127" i="13"/>
  <c r="AH132" i="13" s="1"/>
  <c r="BC221" i="13"/>
  <c r="BC222" i="13" s="1"/>
  <c r="BD196" i="13"/>
  <c r="BD197" i="13" s="1"/>
  <c r="BE200" i="13"/>
  <c r="BE177" i="13"/>
  <c r="BE190" i="13"/>
  <c r="BE184" i="13"/>
  <c r="BE191" i="13"/>
  <c r="BE183" i="13"/>
  <c r="BE194" i="13"/>
  <c r="BE179" i="13"/>
  <c r="BE185" i="13"/>
  <c r="BE182" i="13"/>
  <c r="BE176" i="13"/>
  <c r="BE189" i="13"/>
  <c r="BE195" i="13"/>
  <c r="BE178" i="13"/>
  <c r="BE186" i="13"/>
  <c r="BE180" i="13"/>
  <c r="BE187" i="13"/>
  <c r="BE188" i="13"/>
  <c r="BE192" i="13"/>
  <c r="BE181" i="13"/>
  <c r="BE193" i="13"/>
  <c r="BF175" i="13"/>
  <c r="BF154" i="13"/>
  <c r="BF160" i="13"/>
  <c r="BF170" i="13"/>
  <c r="BF168" i="13"/>
  <c r="BF162" i="13"/>
  <c r="BF157" i="13"/>
  <c r="BF151" i="13"/>
  <c r="BF169" i="13"/>
  <c r="BF161" i="13"/>
  <c r="BF152" i="13"/>
  <c r="BF156" i="13"/>
  <c r="BF167" i="13"/>
  <c r="BF166" i="13"/>
  <c r="BF165" i="13"/>
  <c r="BF155" i="13"/>
  <c r="BF163" i="13"/>
  <c r="BF164" i="13"/>
  <c r="BF153" i="13"/>
  <c r="BF158" i="13"/>
  <c r="BF159" i="13"/>
  <c r="BA120" i="13"/>
  <c r="AZ126" i="13"/>
  <c r="AZ131" i="13" s="1"/>
  <c r="BE46" i="13"/>
  <c r="BF48" i="13"/>
  <c r="BE49" i="13"/>
  <c r="BH96" i="13"/>
  <c r="BG150" i="13"/>
  <c r="BE171" i="13"/>
  <c r="BE172" i="13" s="1"/>
  <c r="BD204" i="13"/>
  <c r="BD212" i="13"/>
  <c r="BD216" i="13"/>
  <c r="BD220" i="13"/>
  <c r="BD218" i="13"/>
  <c r="BD206" i="13"/>
  <c r="BD210" i="13"/>
  <c r="BD201" i="13"/>
  <c r="BD205" i="13"/>
  <c r="BD207" i="13"/>
  <c r="BD209" i="13"/>
  <c r="BD213" i="13"/>
  <c r="BD217" i="13"/>
  <c r="BD202" i="13"/>
  <c r="BD208" i="13"/>
  <c r="BD214" i="13"/>
  <c r="BD203" i="13"/>
  <c r="BD211" i="13"/>
  <c r="BD215" i="13"/>
  <c r="BD219" i="13"/>
  <c r="BN102" i="13"/>
  <c r="BR106" i="13"/>
  <c r="AZ125" i="13"/>
  <c r="AZ130" i="13" s="1"/>
  <c r="BA118" i="13"/>
  <c r="AI127" i="13" l="1"/>
  <c r="AI132" i="13" s="1"/>
  <c r="AJ122" i="13"/>
  <c r="BI96" i="13"/>
  <c r="BH150" i="13"/>
  <c r="BB120" i="13"/>
  <c r="BA126" i="13"/>
  <c r="BA131" i="13" s="1"/>
  <c r="BE196" i="13"/>
  <c r="BE197" i="13" s="1"/>
  <c r="BD221" i="13"/>
  <c r="BD222" i="13" s="1"/>
  <c r="BG48" i="13"/>
  <c r="BF46" i="13"/>
  <c r="BF49" i="13"/>
  <c r="BF200" i="13"/>
  <c r="BF185" i="13"/>
  <c r="BF177" i="13"/>
  <c r="BF186" i="13"/>
  <c r="BF190" i="13"/>
  <c r="BF194" i="13"/>
  <c r="BF178" i="13"/>
  <c r="BF188" i="13"/>
  <c r="BF191" i="13"/>
  <c r="BF179" i="13"/>
  <c r="BF184" i="13"/>
  <c r="BF176" i="13"/>
  <c r="BF187" i="13"/>
  <c r="BF180" i="13"/>
  <c r="BF181" i="13"/>
  <c r="BF183" i="13"/>
  <c r="BF193" i="13"/>
  <c r="BF192" i="13"/>
  <c r="BF189" i="13"/>
  <c r="BF182" i="13"/>
  <c r="BF195" i="13"/>
  <c r="BG175" i="13"/>
  <c r="BG152" i="13"/>
  <c r="BG159" i="13"/>
  <c r="BG163" i="13"/>
  <c r="BG161" i="13"/>
  <c r="BG156" i="13"/>
  <c r="BG169" i="13"/>
  <c r="BG162" i="13"/>
  <c r="BG157" i="13"/>
  <c r="BG164" i="13"/>
  <c r="BG154" i="13"/>
  <c r="BG166" i="13"/>
  <c r="BG160" i="13"/>
  <c r="BG168" i="13"/>
  <c r="BG153" i="13"/>
  <c r="BG165" i="13"/>
  <c r="BG151" i="13"/>
  <c r="BG155" i="13"/>
  <c r="BG170" i="13"/>
  <c r="BG167" i="13"/>
  <c r="BG158" i="13"/>
  <c r="BF171" i="13"/>
  <c r="BF172" i="13" s="1"/>
  <c r="BE204" i="13"/>
  <c r="BE209" i="13"/>
  <c r="BE211" i="13"/>
  <c r="BE212" i="13"/>
  <c r="BE216" i="13"/>
  <c r="BE220" i="13"/>
  <c r="BE202" i="13"/>
  <c r="BE214" i="13"/>
  <c r="BE203" i="13"/>
  <c r="BE208" i="13"/>
  <c r="BE215" i="13"/>
  <c r="BE201" i="13"/>
  <c r="BE205" i="13"/>
  <c r="BE207" i="13"/>
  <c r="BE213" i="13"/>
  <c r="BE217" i="13"/>
  <c r="BE218" i="13"/>
  <c r="BE206" i="13"/>
  <c r="BE210" i="13"/>
  <c r="BE219" i="13"/>
  <c r="BO102" i="13"/>
  <c r="BA125" i="13"/>
  <c r="BA130" i="13" s="1"/>
  <c r="BB118" i="13"/>
  <c r="BS106" i="13"/>
  <c r="AK122" i="13" l="1"/>
  <c r="AJ127" i="13"/>
  <c r="AJ132" i="13" s="1"/>
  <c r="BG49" i="13"/>
  <c r="BH48" i="13"/>
  <c r="BG46" i="13"/>
  <c r="BB126" i="13"/>
  <c r="BB131" i="13" s="1"/>
  <c r="BC120" i="13"/>
  <c r="BE221" i="13"/>
  <c r="BE222" i="13" s="1"/>
  <c r="BF204" i="13"/>
  <c r="BF207" i="13"/>
  <c r="BF211" i="13"/>
  <c r="BF212" i="13"/>
  <c r="BF216" i="13"/>
  <c r="BF220" i="13"/>
  <c r="BF202" i="13"/>
  <c r="BF208" i="13"/>
  <c r="BF214" i="13"/>
  <c r="BF210" i="13"/>
  <c r="BF219" i="13"/>
  <c r="BF201" i="13"/>
  <c r="BF205" i="13"/>
  <c r="BF209" i="13"/>
  <c r="BF213" i="13"/>
  <c r="BF217" i="13"/>
  <c r="BF206" i="13"/>
  <c r="BF218" i="13"/>
  <c r="BF203" i="13"/>
  <c r="BF215" i="13"/>
  <c r="BH175" i="13"/>
  <c r="BH152" i="13"/>
  <c r="BH154" i="13"/>
  <c r="BH162" i="13"/>
  <c r="BH158" i="13"/>
  <c r="BH165" i="13"/>
  <c r="BH163" i="13"/>
  <c r="BH151" i="13"/>
  <c r="BH168" i="13"/>
  <c r="BH157" i="13"/>
  <c r="BH161" i="13"/>
  <c r="BH155" i="13"/>
  <c r="BH159" i="13"/>
  <c r="BH169" i="13"/>
  <c r="BH170" i="13"/>
  <c r="BH167" i="13"/>
  <c r="BH153" i="13"/>
  <c r="BH156" i="13"/>
  <c r="BH166" i="13"/>
  <c r="BH160" i="13"/>
  <c r="BH164" i="13"/>
  <c r="BG171" i="13"/>
  <c r="BG172" i="13" s="1"/>
  <c r="BG200" i="13"/>
  <c r="BG178" i="13"/>
  <c r="BG183" i="13"/>
  <c r="BG193" i="13"/>
  <c r="BG182" i="13"/>
  <c r="BG181" i="13"/>
  <c r="BG176" i="13"/>
  <c r="BG177" i="13"/>
  <c r="BG185" i="13"/>
  <c r="BG190" i="13"/>
  <c r="BG184" i="13"/>
  <c r="BG189" i="13"/>
  <c r="BG179" i="13"/>
  <c r="BG188" i="13"/>
  <c r="BG180" i="13"/>
  <c r="BG186" i="13"/>
  <c r="BG195" i="13"/>
  <c r="BG194" i="13"/>
  <c r="BG187" i="13"/>
  <c r="BG191" i="13"/>
  <c r="BG192" i="13"/>
  <c r="BF196" i="13"/>
  <c r="BF197" i="13" s="1"/>
  <c r="BJ96" i="13"/>
  <c r="BI150" i="13"/>
  <c r="BP102" i="13"/>
  <c r="BC118" i="13"/>
  <c r="BB125" i="13"/>
  <c r="BB130" i="13" s="1"/>
  <c r="BT106" i="13"/>
  <c r="AK127" i="13" l="1"/>
  <c r="AK132" i="13" s="1"/>
  <c r="AL122" i="13"/>
  <c r="BI175" i="13"/>
  <c r="BI152" i="13"/>
  <c r="BI154" i="13"/>
  <c r="BI164" i="13"/>
  <c r="BI168" i="13"/>
  <c r="BI170" i="13"/>
  <c r="BI169" i="13"/>
  <c r="BI153" i="13"/>
  <c r="BI158" i="13"/>
  <c r="BI157" i="13"/>
  <c r="BI155" i="13"/>
  <c r="BI159" i="13"/>
  <c r="BI162" i="13"/>
  <c r="BI166" i="13"/>
  <c r="BI160" i="13"/>
  <c r="BI151" i="13"/>
  <c r="BI167" i="13"/>
  <c r="BI161" i="13"/>
  <c r="BI163" i="13"/>
  <c r="BI156" i="13"/>
  <c r="BI165" i="13"/>
  <c r="BH171" i="13"/>
  <c r="BH172" i="13" s="1"/>
  <c r="BF221" i="13"/>
  <c r="BF222" i="13" s="1"/>
  <c r="BH46" i="13"/>
  <c r="BH49" i="13"/>
  <c r="BI48" i="13"/>
  <c r="BG201" i="13"/>
  <c r="BG205" i="13"/>
  <c r="BG209" i="13"/>
  <c r="BG213" i="13"/>
  <c r="BG217" i="13"/>
  <c r="BG218" i="13"/>
  <c r="BG203" i="13"/>
  <c r="BG208" i="13"/>
  <c r="BG215" i="13"/>
  <c r="BG219" i="13"/>
  <c r="BG207" i="13"/>
  <c r="BG212" i="13"/>
  <c r="BG220" i="13"/>
  <c r="BG202" i="13"/>
  <c r="BG206" i="13"/>
  <c r="BG210" i="13"/>
  <c r="BG211" i="13"/>
  <c r="BG214" i="13"/>
  <c r="BG204" i="13"/>
  <c r="BG216" i="13"/>
  <c r="BC126" i="13"/>
  <c r="BC131" i="13" s="1"/>
  <c r="BD120" i="13"/>
  <c r="BJ150" i="13"/>
  <c r="BK96" i="13"/>
  <c r="BG196" i="13"/>
  <c r="BG197" i="13" s="1"/>
  <c r="BH200" i="13"/>
  <c r="BH177" i="13"/>
  <c r="BH183" i="13"/>
  <c r="BH193" i="13"/>
  <c r="BH189" i="13"/>
  <c r="BH190" i="13"/>
  <c r="BH178" i="13"/>
  <c r="BH184" i="13"/>
  <c r="BH192" i="13"/>
  <c r="BH179" i="13"/>
  <c r="BH195" i="13"/>
  <c r="BH187" i="13"/>
  <c r="BH176" i="13"/>
  <c r="BH181" i="13"/>
  <c r="BH180" i="13"/>
  <c r="BH191" i="13"/>
  <c r="BH188" i="13"/>
  <c r="BH186" i="13"/>
  <c r="BH194" i="13"/>
  <c r="BH182" i="13"/>
  <c r="BH185" i="13"/>
  <c r="BQ102" i="13"/>
  <c r="BU106" i="13"/>
  <c r="BC125" i="13"/>
  <c r="BC130" i="13" s="1"/>
  <c r="BD118" i="13"/>
  <c r="AL127" i="13" l="1"/>
  <c r="AL132" i="13" s="1"/>
  <c r="AM122" i="13"/>
  <c r="BE120" i="13"/>
  <c r="BD126" i="13"/>
  <c r="BD131" i="13" s="1"/>
  <c r="BI171" i="13"/>
  <c r="BI172" i="13" s="1"/>
  <c r="BG221" i="13"/>
  <c r="BG222" i="13" s="1"/>
  <c r="BL96" i="13"/>
  <c r="BK150" i="13"/>
  <c r="BJ48" i="13"/>
  <c r="BI46" i="13"/>
  <c r="BI49" i="13"/>
  <c r="BH196" i="13"/>
  <c r="BH197" i="13" s="1"/>
  <c r="BH201" i="13"/>
  <c r="BH205" i="13"/>
  <c r="BH213" i="13"/>
  <c r="BH217" i="13"/>
  <c r="BH210" i="13"/>
  <c r="BH211" i="13"/>
  <c r="BH219" i="13"/>
  <c r="BH204" i="13"/>
  <c r="BH209" i="13"/>
  <c r="BH212" i="13"/>
  <c r="BH220" i="13"/>
  <c r="BH202" i="13"/>
  <c r="BH206" i="13"/>
  <c r="BH208" i="13"/>
  <c r="BH214" i="13"/>
  <c r="BH218" i="13"/>
  <c r="BH203" i="13"/>
  <c r="BH215" i="13"/>
  <c r="BH207" i="13"/>
  <c r="BH216" i="13"/>
  <c r="BJ175" i="13"/>
  <c r="BJ152" i="13"/>
  <c r="BJ154" i="13"/>
  <c r="BJ170" i="13"/>
  <c r="BJ169" i="13"/>
  <c r="BJ167" i="13"/>
  <c r="BJ164" i="13"/>
  <c r="BJ161" i="13"/>
  <c r="BJ163" i="13"/>
  <c r="BJ158" i="13"/>
  <c r="BJ160" i="13"/>
  <c r="BJ166" i="13"/>
  <c r="BJ165" i="13"/>
  <c r="BJ157" i="13"/>
  <c r="BJ151" i="13"/>
  <c r="BJ155" i="13"/>
  <c r="BJ156" i="13"/>
  <c r="BJ159" i="13"/>
  <c r="BJ153" i="13"/>
  <c r="BJ162" i="13"/>
  <c r="BJ168" i="13"/>
  <c r="BI200" i="13"/>
  <c r="BI177" i="13"/>
  <c r="BI187" i="13"/>
  <c r="BI178" i="13"/>
  <c r="BI181" i="13"/>
  <c r="BI190" i="13"/>
  <c r="BI188" i="13"/>
  <c r="BI180" i="13"/>
  <c r="BI186" i="13"/>
  <c r="BI192" i="13"/>
  <c r="BI183" i="13"/>
  <c r="BI194" i="13"/>
  <c r="BI179" i="13"/>
  <c r="BI195" i="13"/>
  <c r="BI191" i="13"/>
  <c r="BI189" i="13"/>
  <c r="BI182" i="13"/>
  <c r="BI185" i="13"/>
  <c r="BI193" i="13"/>
  <c r="BI176" i="13"/>
  <c r="BI184" i="13"/>
  <c r="BR102" i="13"/>
  <c r="BE118" i="13"/>
  <c r="BD125" i="13"/>
  <c r="BD130" i="13" s="1"/>
  <c r="BV106" i="13"/>
  <c r="AN122" i="13" l="1"/>
  <c r="AM127" i="13"/>
  <c r="AM132" i="13" s="1"/>
  <c r="BK175" i="13"/>
  <c r="BK151" i="13"/>
  <c r="BK170" i="13"/>
  <c r="BK166" i="13"/>
  <c r="BK167" i="13"/>
  <c r="BK163" i="13"/>
  <c r="BK152" i="13"/>
  <c r="BK165" i="13"/>
  <c r="BK164" i="13"/>
  <c r="BK159" i="13"/>
  <c r="BK161" i="13"/>
  <c r="BK158" i="13"/>
  <c r="BK155" i="13"/>
  <c r="BK157" i="13"/>
  <c r="BK168" i="13"/>
  <c r="BK156" i="13"/>
  <c r="BK154" i="13"/>
  <c r="BK160" i="13"/>
  <c r="BK153" i="13"/>
  <c r="BK162" i="13"/>
  <c r="BK169" i="13"/>
  <c r="BI201" i="13"/>
  <c r="BI205" i="13"/>
  <c r="BI213" i="13"/>
  <c r="BI217" i="13"/>
  <c r="BI206" i="13"/>
  <c r="BI211" i="13"/>
  <c r="BI214" i="13"/>
  <c r="BI218" i="13"/>
  <c r="BI203" i="13"/>
  <c r="BI208" i="13"/>
  <c r="BI219" i="13"/>
  <c r="BI207" i="13"/>
  <c r="BI212" i="13"/>
  <c r="BI220" i="13"/>
  <c r="BI202" i="13"/>
  <c r="BI210" i="13"/>
  <c r="BI215" i="13"/>
  <c r="BI204" i="13"/>
  <c r="BI209" i="13"/>
  <c r="BI216" i="13"/>
  <c r="BJ171" i="13"/>
  <c r="BJ172" i="13" s="1"/>
  <c r="BL150" i="13"/>
  <c r="BM96" i="13"/>
  <c r="BI196" i="13"/>
  <c r="BI197" i="13" s="1"/>
  <c r="BJ200" i="13"/>
  <c r="BJ176" i="13"/>
  <c r="BJ187" i="13"/>
  <c r="BJ186" i="13"/>
  <c r="BJ192" i="13"/>
  <c r="BJ195" i="13"/>
  <c r="BJ193" i="13"/>
  <c r="BJ184" i="13"/>
  <c r="BJ189" i="13"/>
  <c r="BJ194" i="13"/>
  <c r="BJ183" i="13"/>
  <c r="BJ182" i="13"/>
  <c r="BJ180" i="13"/>
  <c r="BJ191" i="13"/>
  <c r="BJ190" i="13"/>
  <c r="BJ188" i="13"/>
  <c r="BJ178" i="13"/>
  <c r="BJ181" i="13"/>
  <c r="BJ177" i="13"/>
  <c r="BJ179" i="13"/>
  <c r="BJ185" i="13"/>
  <c r="BH221" i="13"/>
  <c r="BH222" i="13" s="1"/>
  <c r="BK48" i="13"/>
  <c r="BJ46" i="13"/>
  <c r="BJ49" i="13"/>
  <c r="BF120" i="13"/>
  <c r="BE126" i="13"/>
  <c r="BE131" i="13" s="1"/>
  <c r="BS102" i="13"/>
  <c r="BF118" i="13"/>
  <c r="BE125" i="13"/>
  <c r="BE130" i="13" s="1"/>
  <c r="BW106" i="13"/>
  <c r="AN127" i="13" l="1"/>
  <c r="AN132" i="13" s="1"/>
  <c r="AO122" i="13"/>
  <c r="BL175" i="13"/>
  <c r="BL152" i="13"/>
  <c r="BL168" i="13"/>
  <c r="BL169" i="13"/>
  <c r="BL164" i="13"/>
  <c r="BL165" i="13"/>
  <c r="BL160" i="13"/>
  <c r="BL155" i="13"/>
  <c r="BL163" i="13"/>
  <c r="BL170" i="13"/>
  <c r="BL154" i="13"/>
  <c r="BL162" i="13"/>
  <c r="BL161" i="13"/>
  <c r="BL159" i="13"/>
  <c r="BL158" i="13"/>
  <c r="BL151" i="13"/>
  <c r="BL156" i="13"/>
  <c r="BL166" i="13"/>
  <c r="BL153" i="13"/>
  <c r="BL157" i="13"/>
  <c r="BL167" i="13"/>
  <c r="BJ204" i="13"/>
  <c r="BJ211" i="13"/>
  <c r="BJ212" i="13"/>
  <c r="BJ216" i="13"/>
  <c r="BJ220" i="13"/>
  <c r="BJ202" i="13"/>
  <c r="BJ208" i="13"/>
  <c r="BJ214" i="13"/>
  <c r="BJ206" i="13"/>
  <c r="BJ210" i="13"/>
  <c r="BJ219" i="13"/>
  <c r="BJ201" i="13"/>
  <c r="BJ205" i="13"/>
  <c r="BJ207" i="13"/>
  <c r="BJ209" i="13"/>
  <c r="BJ213" i="13"/>
  <c r="BJ217" i="13"/>
  <c r="BJ218" i="13"/>
  <c r="BJ203" i="13"/>
  <c r="BJ215" i="13"/>
  <c r="BI221" i="13"/>
  <c r="BI222" i="13" s="1"/>
  <c r="BK171" i="13"/>
  <c r="BK172" i="13" s="1"/>
  <c r="BK46" i="13"/>
  <c r="BK49" i="13"/>
  <c r="BL48" i="13"/>
  <c r="BM150" i="13"/>
  <c r="BN96" i="13"/>
  <c r="BJ196" i="13"/>
  <c r="BJ197" i="13" s="1"/>
  <c r="BF126" i="13"/>
  <c r="BF131" i="13" s="1"/>
  <c r="BG120" i="13"/>
  <c r="BK200" i="13"/>
  <c r="BK188" i="13"/>
  <c r="BK177" i="13"/>
  <c r="BK191" i="13"/>
  <c r="BK185" i="13"/>
  <c r="BK183" i="13"/>
  <c r="BK190" i="13"/>
  <c r="BK186" i="13"/>
  <c r="BK182" i="13"/>
  <c r="BK189" i="13"/>
  <c r="BK193" i="13"/>
  <c r="BK187" i="13"/>
  <c r="BK180" i="13"/>
  <c r="BK181" i="13"/>
  <c r="BK178" i="13"/>
  <c r="BK195" i="13"/>
  <c r="BK176" i="13"/>
  <c r="BK179" i="13"/>
  <c r="BK194" i="13"/>
  <c r="BK184" i="13"/>
  <c r="BK192" i="13"/>
  <c r="BT102" i="13"/>
  <c r="BG118" i="13"/>
  <c r="BF125" i="13"/>
  <c r="BF130" i="13" s="1"/>
  <c r="BX106" i="13"/>
  <c r="AP122" i="13" l="1"/>
  <c r="AO127" i="13"/>
  <c r="AO132" i="13" s="1"/>
  <c r="BL46" i="13"/>
  <c r="BL49" i="13"/>
  <c r="BM48" i="13"/>
  <c r="BK196" i="13"/>
  <c r="BK197" i="13" s="1"/>
  <c r="BK203" i="13"/>
  <c r="BK208" i="13"/>
  <c r="BK210" i="13"/>
  <c r="BK215" i="13"/>
  <c r="BK219" i="13"/>
  <c r="BK204" i="13"/>
  <c r="BK212" i="13"/>
  <c r="BK216" i="13"/>
  <c r="BK220" i="13"/>
  <c r="BK201" i="13"/>
  <c r="BK207" i="13"/>
  <c r="BK211" i="13"/>
  <c r="BK217" i="13"/>
  <c r="BK206" i="13"/>
  <c r="BK218" i="13"/>
  <c r="BK209" i="13"/>
  <c r="BK205" i="13"/>
  <c r="BK213" i="13"/>
  <c r="BK202" i="13"/>
  <c r="BK214" i="13"/>
  <c r="BO96" i="13"/>
  <c r="BN150" i="13"/>
  <c r="BL171" i="13"/>
  <c r="BL172" i="13" s="1"/>
  <c r="BG126" i="13"/>
  <c r="BG131" i="13" s="1"/>
  <c r="BH120" i="13"/>
  <c r="BM175" i="13"/>
  <c r="BM154" i="13"/>
  <c r="BM160" i="13"/>
  <c r="BM157" i="13"/>
  <c r="BM166" i="13"/>
  <c r="BM153" i="13"/>
  <c r="BM156" i="13"/>
  <c r="BM165" i="13"/>
  <c r="BM169" i="13"/>
  <c r="BM161" i="13"/>
  <c r="BM155" i="13"/>
  <c r="BM168" i="13"/>
  <c r="BM163" i="13"/>
  <c r="BM159" i="13"/>
  <c r="BM158" i="13"/>
  <c r="BM151" i="13"/>
  <c r="BM170" i="13"/>
  <c r="BM167" i="13"/>
  <c r="BM152" i="13"/>
  <c r="BM164" i="13"/>
  <c r="BM162" i="13"/>
  <c r="BJ221" i="13"/>
  <c r="BJ222" i="13" s="1"/>
  <c r="BL200" i="13"/>
  <c r="BL186" i="13"/>
  <c r="BL193" i="13"/>
  <c r="BL190" i="13"/>
  <c r="BL183" i="13"/>
  <c r="BL182" i="13"/>
  <c r="BL195" i="13"/>
  <c r="BL179" i="13"/>
  <c r="BL180" i="13"/>
  <c r="BL192" i="13"/>
  <c r="BL177" i="13"/>
  <c r="BL188" i="13"/>
  <c r="BL189" i="13"/>
  <c r="BL194" i="13"/>
  <c r="BL184" i="13"/>
  <c r="BL176" i="13"/>
  <c r="BL191" i="13"/>
  <c r="BL181" i="13"/>
  <c r="BL187" i="13"/>
  <c r="BL178" i="13"/>
  <c r="BL185" i="13"/>
  <c r="BU102" i="13"/>
  <c r="BH118" i="13"/>
  <c r="BG125" i="13"/>
  <c r="BG130" i="13" s="1"/>
  <c r="BY106" i="13"/>
  <c r="AQ122" i="13" l="1"/>
  <c r="AP127" i="13"/>
  <c r="AP132" i="13" s="1"/>
  <c r="BM200" i="13"/>
  <c r="BM176" i="13"/>
  <c r="BM187" i="13"/>
  <c r="BM195" i="13"/>
  <c r="BM177" i="13"/>
  <c r="BM189" i="13"/>
  <c r="BM179" i="13"/>
  <c r="BM188" i="13"/>
  <c r="BM185" i="13"/>
  <c r="BM190" i="13"/>
  <c r="BM191" i="13"/>
  <c r="BM183" i="13"/>
  <c r="BM178" i="13"/>
  <c r="BM181" i="13"/>
  <c r="BM194" i="13"/>
  <c r="BM180" i="13"/>
  <c r="BM192" i="13"/>
  <c r="BM186" i="13"/>
  <c r="BM182" i="13"/>
  <c r="BM193" i="13"/>
  <c r="BM184" i="13"/>
  <c r="BN175" i="13"/>
  <c r="BN162" i="13"/>
  <c r="BN156" i="13"/>
  <c r="BN169" i="13"/>
  <c r="BN163" i="13"/>
  <c r="BN159" i="13"/>
  <c r="BN161" i="13"/>
  <c r="BN165" i="13"/>
  <c r="BN152" i="13"/>
  <c r="BN154" i="13"/>
  <c r="BN168" i="13"/>
  <c r="BN158" i="13"/>
  <c r="BN170" i="13"/>
  <c r="BN166" i="13"/>
  <c r="BN151" i="13"/>
  <c r="BN155" i="13"/>
  <c r="BN157" i="13"/>
  <c r="BN160" i="13"/>
  <c r="BN153" i="13"/>
  <c r="BN164" i="13"/>
  <c r="BN167" i="13"/>
  <c r="BK221" i="13"/>
  <c r="BK222" i="13" s="1"/>
  <c r="BM171" i="13"/>
  <c r="BM172" i="13" s="1"/>
  <c r="BI120" i="13"/>
  <c r="BH126" i="13"/>
  <c r="BH131" i="13" s="1"/>
  <c r="BP96" i="13"/>
  <c r="BO150" i="13"/>
  <c r="BN48" i="13"/>
  <c r="BM46" i="13"/>
  <c r="BM49" i="13"/>
  <c r="BL204" i="13"/>
  <c r="BL209" i="13"/>
  <c r="BL212" i="13"/>
  <c r="BL216" i="13"/>
  <c r="BL220" i="13"/>
  <c r="BL208" i="13"/>
  <c r="BL211" i="13"/>
  <c r="BL214" i="13"/>
  <c r="BL206" i="13"/>
  <c r="BL219" i="13"/>
  <c r="BL201" i="13"/>
  <c r="BL205" i="13"/>
  <c r="BL207" i="13"/>
  <c r="BL213" i="13"/>
  <c r="BL217" i="13"/>
  <c r="BL202" i="13"/>
  <c r="BL210" i="13"/>
  <c r="BL218" i="13"/>
  <c r="BL203" i="13"/>
  <c r="BL215" i="13"/>
  <c r="BL196" i="13"/>
  <c r="BL197" i="13" s="1"/>
  <c r="BV102" i="13"/>
  <c r="BH125" i="13"/>
  <c r="BH130" i="13" s="1"/>
  <c r="BI118" i="13"/>
  <c r="BZ106" i="13"/>
  <c r="AQ127" i="13" l="1"/>
  <c r="AQ132" i="13" s="1"/>
  <c r="AR122" i="13"/>
  <c r="BQ96" i="13"/>
  <c r="BP150" i="13"/>
  <c r="BL221" i="13"/>
  <c r="BL222" i="13" s="1"/>
  <c r="BN200" i="13"/>
  <c r="BN184" i="13"/>
  <c r="BN188" i="13"/>
  <c r="BN193" i="13"/>
  <c r="BN177" i="13"/>
  <c r="BN195" i="13"/>
  <c r="BN180" i="13"/>
  <c r="BN191" i="13"/>
  <c r="BN186" i="13"/>
  <c r="BN185" i="13"/>
  <c r="BN178" i="13"/>
  <c r="BN194" i="13"/>
  <c r="BN176" i="13"/>
  <c r="BN190" i="13"/>
  <c r="BN192" i="13"/>
  <c r="BN187" i="13"/>
  <c r="BN179" i="13"/>
  <c r="BN189" i="13"/>
  <c r="BN182" i="13"/>
  <c r="BN181" i="13"/>
  <c r="BN183" i="13"/>
  <c r="BM196" i="13"/>
  <c r="BM197" i="13" s="1"/>
  <c r="BO175" i="13"/>
  <c r="BO161" i="13"/>
  <c r="BO163" i="13"/>
  <c r="BO164" i="13"/>
  <c r="BO165" i="13"/>
  <c r="BO159" i="13"/>
  <c r="BO153" i="13"/>
  <c r="BO156" i="13"/>
  <c r="BO169" i="13"/>
  <c r="BO154" i="13"/>
  <c r="BO166" i="13"/>
  <c r="BO167" i="13"/>
  <c r="BO151" i="13"/>
  <c r="BO160" i="13"/>
  <c r="BO162" i="13"/>
  <c r="BO155" i="13"/>
  <c r="BO170" i="13"/>
  <c r="BO158" i="13"/>
  <c r="BO152" i="13"/>
  <c r="BO157" i="13"/>
  <c r="BO168" i="13"/>
  <c r="BN171" i="13"/>
  <c r="BN172" i="13" s="1"/>
  <c r="BO48" i="13"/>
  <c r="BN49" i="13"/>
  <c r="BN46" i="13"/>
  <c r="BJ120" i="13"/>
  <c r="BI126" i="13"/>
  <c r="BI131" i="13" s="1"/>
  <c r="BM201" i="13"/>
  <c r="BM205" i="13"/>
  <c r="BM207" i="13"/>
  <c r="BM211" i="13"/>
  <c r="BM213" i="13"/>
  <c r="BM217" i="13"/>
  <c r="BM203" i="13"/>
  <c r="BM215" i="13"/>
  <c r="BM204" i="13"/>
  <c r="BM209" i="13"/>
  <c r="BM212" i="13"/>
  <c r="BM220" i="13"/>
  <c r="BM202" i="13"/>
  <c r="BM206" i="13"/>
  <c r="BM208" i="13"/>
  <c r="BM214" i="13"/>
  <c r="BM218" i="13"/>
  <c r="BM210" i="13"/>
  <c r="BM219" i="13"/>
  <c r="BM216" i="13"/>
  <c r="BW102" i="13"/>
  <c r="CA106" i="13"/>
  <c r="BI125" i="13"/>
  <c r="BI130" i="13" s="1"/>
  <c r="BJ118" i="13"/>
  <c r="AR127" i="13" l="1"/>
  <c r="AR132" i="13" s="1"/>
  <c r="AS122" i="13"/>
  <c r="BN196" i="13"/>
  <c r="BN197" i="13" s="1"/>
  <c r="BM221" i="13"/>
  <c r="BM222" i="13" s="1"/>
  <c r="BO46" i="13"/>
  <c r="BO49" i="13"/>
  <c r="BP48" i="13"/>
  <c r="BO171" i="13"/>
  <c r="BO172" i="13" s="1"/>
  <c r="BO200" i="13"/>
  <c r="BO178" i="13"/>
  <c r="BO194" i="13"/>
  <c r="BO176" i="13"/>
  <c r="BO187" i="13"/>
  <c r="BO193" i="13"/>
  <c r="BO186" i="13"/>
  <c r="BO180" i="13"/>
  <c r="BO192" i="13"/>
  <c r="BO191" i="13"/>
  <c r="BO179" i="13"/>
  <c r="BO183" i="13"/>
  <c r="BO182" i="13"/>
  <c r="BO184" i="13"/>
  <c r="BO185" i="13"/>
  <c r="BO177" i="13"/>
  <c r="BO181" i="13"/>
  <c r="BO190" i="13"/>
  <c r="BO189" i="13"/>
  <c r="BO188" i="13"/>
  <c r="BO195" i="13"/>
  <c r="BP175" i="13"/>
  <c r="BP152" i="13"/>
  <c r="BP160" i="13"/>
  <c r="BP163" i="13"/>
  <c r="BP165" i="13"/>
  <c r="BP166" i="13"/>
  <c r="BP155" i="13"/>
  <c r="BP170" i="13"/>
  <c r="BP159" i="13"/>
  <c r="BP153" i="13"/>
  <c r="BP162" i="13"/>
  <c r="BP161" i="13"/>
  <c r="BP154" i="13"/>
  <c r="BP168" i="13"/>
  <c r="BP156" i="13"/>
  <c r="BP167" i="13"/>
  <c r="BP169" i="13"/>
  <c r="BP157" i="13"/>
  <c r="BP151" i="13"/>
  <c r="BP164" i="13"/>
  <c r="BP158" i="13"/>
  <c r="BN204" i="13"/>
  <c r="BN207" i="13"/>
  <c r="BN209" i="13"/>
  <c r="BN212" i="13"/>
  <c r="BN216" i="13"/>
  <c r="BN220" i="13"/>
  <c r="BN202" i="13"/>
  <c r="BN208" i="13"/>
  <c r="BN214" i="13"/>
  <c r="BN206" i="13"/>
  <c r="BN210" i="13"/>
  <c r="BN219" i="13"/>
  <c r="BN201" i="13"/>
  <c r="BN205" i="13"/>
  <c r="BN213" i="13"/>
  <c r="BN217" i="13"/>
  <c r="BN218" i="13"/>
  <c r="BN203" i="13"/>
  <c r="BN211" i="13"/>
  <c r="BN215" i="13"/>
  <c r="BJ126" i="13"/>
  <c r="BJ131" i="13" s="1"/>
  <c r="BK120" i="13"/>
  <c r="BQ150" i="13"/>
  <c r="BR96" i="13"/>
  <c r="BX102" i="13"/>
  <c r="BK118" i="13"/>
  <c r="BJ125" i="13"/>
  <c r="BJ130" i="13" s="1"/>
  <c r="CB106" i="13"/>
  <c r="AT122" i="13" l="1"/>
  <c r="AS127" i="13"/>
  <c r="AS132" i="13" s="1"/>
  <c r="BL120" i="13"/>
  <c r="BK126" i="13"/>
  <c r="BK131" i="13" s="1"/>
  <c r="BP200" i="13"/>
  <c r="BP186" i="13"/>
  <c r="BP178" i="13"/>
  <c r="BP187" i="13"/>
  <c r="BP183" i="13"/>
  <c r="BP184" i="13"/>
  <c r="BP176" i="13"/>
  <c r="BP195" i="13"/>
  <c r="BP191" i="13"/>
  <c r="BP193" i="13"/>
  <c r="BP182" i="13"/>
  <c r="BP177" i="13"/>
  <c r="BP194" i="13"/>
  <c r="BP180" i="13"/>
  <c r="BP188" i="13"/>
  <c r="BP190" i="13"/>
  <c r="BP181" i="13"/>
  <c r="BP189" i="13"/>
  <c r="BP179" i="13"/>
  <c r="BP185" i="13"/>
  <c r="BP192" i="13"/>
  <c r="BN221" i="13"/>
  <c r="BN222" i="13" s="1"/>
  <c r="BO201" i="13"/>
  <c r="BO205" i="13"/>
  <c r="BO207" i="13"/>
  <c r="BO209" i="13"/>
  <c r="BO213" i="13"/>
  <c r="BO217" i="13"/>
  <c r="BO214" i="13"/>
  <c r="BO215" i="13"/>
  <c r="BO204" i="13"/>
  <c r="BO216" i="13"/>
  <c r="BO202" i="13"/>
  <c r="BO208" i="13"/>
  <c r="BO210" i="13"/>
  <c r="BO211" i="13"/>
  <c r="BO218" i="13"/>
  <c r="BO203" i="13"/>
  <c r="BO206" i="13"/>
  <c r="BO219" i="13"/>
  <c r="BO212" i="13"/>
  <c r="BO220" i="13"/>
  <c r="BR150" i="13"/>
  <c r="BS96" i="13"/>
  <c r="BP171" i="13"/>
  <c r="BP172" i="13" s="1"/>
  <c r="BO196" i="13"/>
  <c r="BO197" i="13" s="1"/>
  <c r="BQ175" i="13"/>
  <c r="BQ152" i="13"/>
  <c r="BQ166" i="13"/>
  <c r="BQ161" i="13"/>
  <c r="BQ162" i="13"/>
  <c r="BQ164" i="13"/>
  <c r="BQ151" i="13"/>
  <c r="BQ169" i="13"/>
  <c r="BQ156" i="13"/>
  <c r="BQ160" i="13"/>
  <c r="BQ158" i="13"/>
  <c r="BQ154" i="13"/>
  <c r="BQ170" i="13"/>
  <c r="BQ165" i="13"/>
  <c r="BQ168" i="13"/>
  <c r="BQ159" i="13"/>
  <c r="BQ155" i="13"/>
  <c r="BQ167" i="13"/>
  <c r="BQ157" i="13"/>
  <c r="BQ153" i="13"/>
  <c r="BQ163" i="13"/>
  <c r="BP46" i="13"/>
  <c r="BP49" i="13"/>
  <c r="BQ48" i="13"/>
  <c r="BY102" i="13"/>
  <c r="BK125" i="13"/>
  <c r="BK130" i="13" s="1"/>
  <c r="BL118" i="13"/>
  <c r="AU122" i="13" l="1"/>
  <c r="AT127" i="13"/>
  <c r="AT132" i="13" s="1"/>
  <c r="BQ171" i="13"/>
  <c r="BQ172" i="13" s="1"/>
  <c r="BQ46" i="13"/>
  <c r="BR48" i="13"/>
  <c r="BQ49" i="13"/>
  <c r="BT96" i="13"/>
  <c r="BS150" i="13"/>
  <c r="BP204" i="13"/>
  <c r="BP209" i="13"/>
  <c r="BP212" i="13"/>
  <c r="BP216" i="13"/>
  <c r="BP220" i="13"/>
  <c r="BP211" i="13"/>
  <c r="BP213" i="13"/>
  <c r="BP202" i="13"/>
  <c r="BP208" i="13"/>
  <c r="BP218" i="13"/>
  <c r="BP203" i="13"/>
  <c r="BP201" i="13"/>
  <c r="BP205" i="13"/>
  <c r="BP207" i="13"/>
  <c r="BP217" i="13"/>
  <c r="BP206" i="13"/>
  <c r="BP214" i="13"/>
  <c r="BP210" i="13"/>
  <c r="BP215" i="13"/>
  <c r="BP219" i="13"/>
  <c r="BQ200" i="13"/>
  <c r="BQ193" i="13"/>
  <c r="BQ184" i="13"/>
  <c r="BQ190" i="13"/>
  <c r="BQ194" i="13"/>
  <c r="BQ183" i="13"/>
  <c r="BQ177" i="13"/>
  <c r="BQ188" i="13"/>
  <c r="BQ192" i="13"/>
  <c r="BQ191" i="13"/>
  <c r="BQ195" i="13"/>
  <c r="BQ176" i="13"/>
  <c r="BQ185" i="13"/>
  <c r="BQ181" i="13"/>
  <c r="BQ189" i="13"/>
  <c r="BQ180" i="13"/>
  <c r="BQ187" i="13"/>
  <c r="BQ182" i="13"/>
  <c r="BQ179" i="13"/>
  <c r="BQ178" i="13"/>
  <c r="BQ186" i="13"/>
  <c r="BR175" i="13"/>
  <c r="BR152" i="13"/>
  <c r="BR169" i="13"/>
  <c r="BR161" i="13"/>
  <c r="BR168" i="13"/>
  <c r="BR164" i="13"/>
  <c r="BR151" i="13"/>
  <c r="BR155" i="13"/>
  <c r="BR165" i="13"/>
  <c r="BR158" i="13"/>
  <c r="BR159" i="13"/>
  <c r="BR156" i="13"/>
  <c r="BR154" i="13"/>
  <c r="BR160" i="13"/>
  <c r="BR170" i="13"/>
  <c r="BR157" i="13"/>
  <c r="BR153" i="13"/>
  <c r="BR166" i="13"/>
  <c r="BR162" i="13"/>
  <c r="BR167" i="13"/>
  <c r="BR163" i="13"/>
  <c r="BO221" i="13"/>
  <c r="BO222" i="13" s="1"/>
  <c r="BP196" i="13"/>
  <c r="BP197" i="13" s="1"/>
  <c r="BL126" i="13"/>
  <c r="BL131" i="13" s="1"/>
  <c r="BM120" i="13"/>
  <c r="BZ102" i="13"/>
  <c r="BL125" i="13"/>
  <c r="BL130" i="13" s="1"/>
  <c r="BM118" i="13"/>
  <c r="AU127" i="13" l="1"/>
  <c r="AU132" i="13" s="1"/>
  <c r="AV122" i="13"/>
  <c r="BR49" i="13"/>
  <c r="BR46" i="13"/>
  <c r="BS48" i="13"/>
  <c r="BR200" i="13"/>
  <c r="BR179" i="13"/>
  <c r="BR177" i="13"/>
  <c r="BR195" i="13"/>
  <c r="BR182" i="13"/>
  <c r="BR188" i="13"/>
  <c r="BR180" i="13"/>
  <c r="BR194" i="13"/>
  <c r="BR183" i="13"/>
  <c r="BR187" i="13"/>
  <c r="BR185" i="13"/>
  <c r="BR186" i="13"/>
  <c r="BR176" i="13"/>
  <c r="BR193" i="13"/>
  <c r="BR189" i="13"/>
  <c r="BR181" i="13"/>
  <c r="BR184" i="13"/>
  <c r="BR191" i="13"/>
  <c r="BR178" i="13"/>
  <c r="BR190" i="13"/>
  <c r="BR192" i="13"/>
  <c r="BR171" i="13"/>
  <c r="BR172" i="13" s="1"/>
  <c r="BQ196" i="13"/>
  <c r="BQ197" i="13" s="1"/>
  <c r="BP221" i="13"/>
  <c r="BP222" i="13" s="1"/>
  <c r="BS175" i="13"/>
  <c r="BS170" i="13"/>
  <c r="BS161" i="13"/>
  <c r="BS162" i="13"/>
  <c r="BS169" i="13"/>
  <c r="BS168" i="13"/>
  <c r="BS151" i="13"/>
  <c r="BS163" i="13"/>
  <c r="BS160" i="13"/>
  <c r="BS152" i="13"/>
  <c r="BS154" i="13"/>
  <c r="BS164" i="13"/>
  <c r="BS159" i="13"/>
  <c r="BS158" i="13"/>
  <c r="BS156" i="13"/>
  <c r="BS155" i="13"/>
  <c r="BS167" i="13"/>
  <c r="BS165" i="13"/>
  <c r="BS153" i="13"/>
  <c r="BS166" i="13"/>
  <c r="BS157" i="13"/>
  <c r="BU96" i="13"/>
  <c r="BT150" i="13"/>
  <c r="BN120" i="13"/>
  <c r="BM126" i="13"/>
  <c r="BM131" i="13" s="1"/>
  <c r="BQ204" i="13"/>
  <c r="BQ209" i="13"/>
  <c r="BQ212" i="13"/>
  <c r="BQ216" i="13"/>
  <c r="BQ220" i="13"/>
  <c r="BQ208" i="13"/>
  <c r="BQ214" i="13"/>
  <c r="BQ206" i="13"/>
  <c r="BQ210" i="13"/>
  <c r="BQ219" i="13"/>
  <c r="BQ201" i="13"/>
  <c r="BQ205" i="13"/>
  <c r="BQ207" i="13"/>
  <c r="BQ213" i="13"/>
  <c r="BQ217" i="13"/>
  <c r="BQ202" i="13"/>
  <c r="BQ218" i="13"/>
  <c r="BQ203" i="13"/>
  <c r="BQ211" i="13"/>
  <c r="BQ215" i="13"/>
  <c r="CA102" i="13"/>
  <c r="BM125" i="13"/>
  <c r="BM130" i="13" s="1"/>
  <c r="BN118" i="13"/>
  <c r="AW122" i="13" l="1"/>
  <c r="AV127" i="13"/>
  <c r="AV132" i="13" s="1"/>
  <c r="BS200" i="13"/>
  <c r="BS191" i="13"/>
  <c r="BS177" i="13"/>
  <c r="BS184" i="13"/>
  <c r="BS182" i="13"/>
  <c r="BS190" i="13"/>
  <c r="BS189" i="13"/>
  <c r="BS187" i="13"/>
  <c r="BS185" i="13"/>
  <c r="BS178" i="13"/>
  <c r="BS183" i="13"/>
  <c r="BS180" i="13"/>
  <c r="BS194" i="13"/>
  <c r="BS193" i="13"/>
  <c r="BS179" i="13"/>
  <c r="BS181" i="13"/>
  <c r="BS192" i="13"/>
  <c r="BS176" i="13"/>
  <c r="BS195" i="13"/>
  <c r="BS186" i="13"/>
  <c r="BS188" i="13"/>
  <c r="BR204" i="13"/>
  <c r="BR209" i="13"/>
  <c r="BR212" i="13"/>
  <c r="BR216" i="13"/>
  <c r="BR220" i="13"/>
  <c r="BR214" i="13"/>
  <c r="BR203" i="13"/>
  <c r="BR208" i="13"/>
  <c r="BR215" i="13"/>
  <c r="BR201" i="13"/>
  <c r="BR205" i="13"/>
  <c r="BR207" i="13"/>
  <c r="BR211" i="13"/>
  <c r="BR213" i="13"/>
  <c r="BR217" i="13"/>
  <c r="BR202" i="13"/>
  <c r="BR218" i="13"/>
  <c r="BR206" i="13"/>
  <c r="BR210" i="13"/>
  <c r="BR219" i="13"/>
  <c r="BQ221" i="13"/>
  <c r="BQ222" i="13" s="1"/>
  <c r="BO120" i="13"/>
  <c r="BN126" i="13"/>
  <c r="BN131" i="13" s="1"/>
  <c r="BT48" i="13"/>
  <c r="BS46" i="13"/>
  <c r="BS49" i="13"/>
  <c r="BR196" i="13"/>
  <c r="BR197" i="13" s="1"/>
  <c r="BT175" i="13"/>
  <c r="BT152" i="13"/>
  <c r="BT154" i="13"/>
  <c r="BT163" i="13"/>
  <c r="BT170" i="13"/>
  <c r="BT156" i="13"/>
  <c r="BT164" i="13"/>
  <c r="BT159" i="13"/>
  <c r="BT157" i="13"/>
  <c r="BT166" i="13"/>
  <c r="BT151" i="13"/>
  <c r="BT153" i="13"/>
  <c r="BT155" i="13"/>
  <c r="BT169" i="13"/>
  <c r="BT165" i="13"/>
  <c r="BT161" i="13"/>
  <c r="BT158" i="13"/>
  <c r="BT167" i="13"/>
  <c r="BT162" i="13"/>
  <c r="BT168" i="13"/>
  <c r="BT160" i="13"/>
  <c r="BS171" i="13"/>
  <c r="BS172" i="13" s="1"/>
  <c r="BU150" i="13"/>
  <c r="BV96" i="13"/>
  <c r="CB102" i="13"/>
  <c r="BO118" i="13"/>
  <c r="BN125" i="13"/>
  <c r="BN130" i="13" s="1"/>
  <c r="AW127" i="13" l="1"/>
  <c r="AW132" i="13" s="1"/>
  <c r="AX122" i="13"/>
  <c r="BT171" i="13"/>
  <c r="BT172" i="13" s="1"/>
  <c r="BO126" i="13"/>
  <c r="BO131" i="13" s="1"/>
  <c r="BP120" i="13"/>
  <c r="BR221" i="13"/>
  <c r="BR222" i="13" s="1"/>
  <c r="BS196" i="13"/>
  <c r="BS197" i="13" s="1"/>
  <c r="BW96" i="13"/>
  <c r="BV150" i="13"/>
  <c r="BU175" i="13"/>
  <c r="BU154" i="13"/>
  <c r="BU170" i="13"/>
  <c r="BU159" i="13"/>
  <c r="BU167" i="13"/>
  <c r="BU162" i="13"/>
  <c r="BU151" i="13"/>
  <c r="BU156" i="13"/>
  <c r="BU166" i="13"/>
  <c r="BU155" i="13"/>
  <c r="BU152" i="13"/>
  <c r="BU169" i="13"/>
  <c r="BU163" i="13"/>
  <c r="BU164" i="13"/>
  <c r="BU161" i="13"/>
  <c r="BU158" i="13"/>
  <c r="BU153" i="13"/>
  <c r="BU157" i="13"/>
  <c r="BU168" i="13"/>
  <c r="BU165" i="13"/>
  <c r="BU160" i="13"/>
  <c r="BT200" i="13"/>
  <c r="BT177" i="13"/>
  <c r="BT194" i="13"/>
  <c r="BT183" i="13"/>
  <c r="BT181" i="13"/>
  <c r="BT185" i="13"/>
  <c r="BT187" i="13"/>
  <c r="BT189" i="13"/>
  <c r="BT193" i="13"/>
  <c r="BT191" i="13"/>
  <c r="BT179" i="13"/>
  <c r="BT188" i="13"/>
  <c r="BT186" i="13"/>
  <c r="BT180" i="13"/>
  <c r="BT182" i="13"/>
  <c r="BT190" i="13"/>
  <c r="BT184" i="13"/>
  <c r="BT195" i="13"/>
  <c r="BT176" i="13"/>
  <c r="BT178" i="13"/>
  <c r="BT192" i="13"/>
  <c r="BU48" i="13"/>
  <c r="BT49" i="13"/>
  <c r="BT46" i="13"/>
  <c r="BS204" i="13"/>
  <c r="BS207" i="13"/>
  <c r="BS209" i="13"/>
  <c r="BS211" i="13"/>
  <c r="BS212" i="13"/>
  <c r="BS216" i="13"/>
  <c r="BS220" i="13"/>
  <c r="BS202" i="13"/>
  <c r="BS208" i="13"/>
  <c r="BS214" i="13"/>
  <c r="BS210" i="13"/>
  <c r="BS219" i="13"/>
  <c r="BS201" i="13"/>
  <c r="BS205" i="13"/>
  <c r="BS213" i="13"/>
  <c r="BS217" i="13"/>
  <c r="BS206" i="13"/>
  <c r="BS218" i="13"/>
  <c r="BS203" i="13"/>
  <c r="BS215" i="13"/>
  <c r="BP118" i="13"/>
  <c r="BO125" i="13"/>
  <c r="BO130" i="13" s="1"/>
  <c r="AY122" i="13" l="1"/>
  <c r="AX127" i="13"/>
  <c r="AX132" i="13" s="1"/>
  <c r="BU46" i="13"/>
  <c r="BV48" i="13"/>
  <c r="BU49" i="13"/>
  <c r="BU171" i="13"/>
  <c r="BU172" i="13" s="1"/>
  <c r="BX96" i="13"/>
  <c r="BW150" i="13"/>
  <c r="BS221" i="13"/>
  <c r="BS222" i="13" s="1"/>
  <c r="BT201" i="13"/>
  <c r="BT205" i="13"/>
  <c r="BT213" i="13"/>
  <c r="BT217" i="13"/>
  <c r="BT206" i="13"/>
  <c r="BT210" i="13"/>
  <c r="BT219" i="13"/>
  <c r="BT207" i="13"/>
  <c r="BT211" i="13"/>
  <c r="BT212" i="13"/>
  <c r="BT220" i="13"/>
  <c r="BT202" i="13"/>
  <c r="BT214" i="13"/>
  <c r="BT218" i="13"/>
  <c r="BT203" i="13"/>
  <c r="BT208" i="13"/>
  <c r="BT215" i="13"/>
  <c r="BT204" i="13"/>
  <c r="BT209" i="13"/>
  <c r="BT216" i="13"/>
  <c r="BU200" i="13"/>
  <c r="BU176" i="13"/>
  <c r="BU188" i="13"/>
  <c r="BU180" i="13"/>
  <c r="BU179" i="13"/>
  <c r="BU181" i="13"/>
  <c r="BU195" i="13"/>
  <c r="BU190" i="13"/>
  <c r="BU183" i="13"/>
  <c r="BU186" i="13"/>
  <c r="BU189" i="13"/>
  <c r="BU187" i="13"/>
  <c r="BU194" i="13"/>
  <c r="BU177" i="13"/>
  <c r="BU182" i="13"/>
  <c r="BU191" i="13"/>
  <c r="BU178" i="13"/>
  <c r="BU193" i="13"/>
  <c r="BU192" i="13"/>
  <c r="BU185" i="13"/>
  <c r="BU184" i="13"/>
  <c r="BT196" i="13"/>
  <c r="BT197" i="13" s="1"/>
  <c r="BV175" i="13"/>
  <c r="BV167" i="13"/>
  <c r="BV157" i="13"/>
  <c r="BV168" i="13"/>
  <c r="BV166" i="13"/>
  <c r="BV169" i="13"/>
  <c r="BV164" i="13"/>
  <c r="BV161" i="13"/>
  <c r="BV152" i="13"/>
  <c r="BV154" i="13"/>
  <c r="BV162" i="13"/>
  <c r="BV165" i="13"/>
  <c r="BV159" i="13"/>
  <c r="BV163" i="13"/>
  <c r="BV153" i="13"/>
  <c r="BV160" i="13"/>
  <c r="BV156" i="13"/>
  <c r="BV151" i="13"/>
  <c r="BV155" i="13"/>
  <c r="BV170" i="13"/>
  <c r="BV158" i="13"/>
  <c r="BQ120" i="13"/>
  <c r="BP126" i="13"/>
  <c r="BP131" i="13" s="1"/>
  <c r="BP125" i="13"/>
  <c r="BP130" i="13" s="1"/>
  <c r="BQ118" i="13"/>
  <c r="AZ122" i="13" l="1"/>
  <c r="AY127" i="13"/>
  <c r="AY132" i="13" s="1"/>
  <c r="BU204" i="13"/>
  <c r="BU207" i="13"/>
  <c r="BU212" i="13"/>
  <c r="BU216" i="13"/>
  <c r="BU220" i="13"/>
  <c r="BU210" i="13"/>
  <c r="BU214" i="13"/>
  <c r="BU219" i="13"/>
  <c r="BU201" i="13"/>
  <c r="BU205" i="13"/>
  <c r="BU209" i="13"/>
  <c r="BU211" i="13"/>
  <c r="BU213" i="13"/>
  <c r="BU217" i="13"/>
  <c r="BU202" i="13"/>
  <c r="BU208" i="13"/>
  <c r="BU218" i="13"/>
  <c r="BU203" i="13"/>
  <c r="BU206" i="13"/>
  <c r="BU215" i="13"/>
  <c r="BW175" i="13"/>
  <c r="BW151" i="13"/>
  <c r="BW153" i="13"/>
  <c r="BW155" i="13"/>
  <c r="BW157" i="13"/>
  <c r="BW158" i="13"/>
  <c r="BW156" i="13"/>
  <c r="BW167" i="13"/>
  <c r="BW165" i="13"/>
  <c r="BW154" i="13"/>
  <c r="BW164" i="13"/>
  <c r="BW152" i="13"/>
  <c r="BW161" i="13"/>
  <c r="BW169" i="13"/>
  <c r="BW170" i="13"/>
  <c r="BW168" i="13"/>
  <c r="BW159" i="13"/>
  <c r="BW162" i="13"/>
  <c r="BW160" i="13"/>
  <c r="BW166" i="13"/>
  <c r="BW163" i="13"/>
  <c r="BV46" i="13"/>
  <c r="BV49" i="13"/>
  <c r="BW48" i="13"/>
  <c r="BV200" i="13"/>
  <c r="BV179" i="13"/>
  <c r="BV178" i="13"/>
  <c r="BV189" i="13"/>
  <c r="BV181" i="13"/>
  <c r="BV187" i="13"/>
  <c r="BV180" i="13"/>
  <c r="BV191" i="13"/>
  <c r="BV184" i="13"/>
  <c r="BV193" i="13"/>
  <c r="BV182" i="13"/>
  <c r="BV183" i="13"/>
  <c r="BV177" i="13"/>
  <c r="BV190" i="13"/>
  <c r="BV195" i="13"/>
  <c r="BV192" i="13"/>
  <c r="BV186" i="13"/>
  <c r="BV194" i="13"/>
  <c r="BV176" i="13"/>
  <c r="BV185" i="13"/>
  <c r="BV188" i="13"/>
  <c r="BT221" i="13"/>
  <c r="BT222" i="13" s="1"/>
  <c r="BR120" i="13"/>
  <c r="BQ126" i="13"/>
  <c r="BQ131" i="13" s="1"/>
  <c r="BV171" i="13"/>
  <c r="BV172" i="13" s="1"/>
  <c r="BU196" i="13"/>
  <c r="BU197" i="13" s="1"/>
  <c r="BX150" i="13"/>
  <c r="BY96" i="13"/>
  <c r="BQ125" i="13"/>
  <c r="BQ130" i="13" s="1"/>
  <c r="BR118" i="13"/>
  <c r="AZ127" i="13" l="1"/>
  <c r="AZ132" i="13" s="1"/>
  <c r="BA122" i="13"/>
  <c r="BW171" i="13"/>
  <c r="BW172" i="13" s="1"/>
  <c r="BV204" i="13"/>
  <c r="BV207" i="13"/>
  <c r="BV209" i="13"/>
  <c r="BV211" i="13"/>
  <c r="BV212" i="13"/>
  <c r="BV216" i="13"/>
  <c r="BV220" i="13"/>
  <c r="BV206" i="13"/>
  <c r="BV210" i="13"/>
  <c r="BV214" i="13"/>
  <c r="BV203" i="13"/>
  <c r="BV208" i="13"/>
  <c r="BV215" i="13"/>
  <c r="BV201" i="13"/>
  <c r="BV205" i="13"/>
  <c r="BV213" i="13"/>
  <c r="BV217" i="13"/>
  <c r="BV202" i="13"/>
  <c r="BV218" i="13"/>
  <c r="BV219" i="13"/>
  <c r="BW200" i="13"/>
  <c r="BW179" i="13"/>
  <c r="BW185" i="13"/>
  <c r="BW184" i="13"/>
  <c r="BW188" i="13"/>
  <c r="BW181" i="13"/>
  <c r="BW177" i="13"/>
  <c r="BW186" i="13"/>
  <c r="BW189" i="13"/>
  <c r="BW195" i="13"/>
  <c r="BW192" i="13"/>
  <c r="BW187" i="13"/>
  <c r="BW180" i="13"/>
  <c r="BW193" i="13"/>
  <c r="BW182" i="13"/>
  <c r="BW194" i="13"/>
  <c r="BW183" i="13"/>
  <c r="BW178" i="13"/>
  <c r="BW191" i="13"/>
  <c r="BW190" i="13"/>
  <c r="BW176" i="13"/>
  <c r="BZ96" i="13"/>
  <c r="BY150" i="13"/>
  <c r="BW49" i="13"/>
  <c r="BX48" i="13"/>
  <c r="BW46" i="13"/>
  <c r="BX175" i="13"/>
  <c r="BX152" i="13"/>
  <c r="BX154" i="13"/>
  <c r="BX158" i="13"/>
  <c r="BX159" i="13"/>
  <c r="BX156" i="13"/>
  <c r="BX161" i="13"/>
  <c r="BX167" i="13"/>
  <c r="BX155" i="13"/>
  <c r="BX170" i="13"/>
  <c r="BX169" i="13"/>
  <c r="BX165" i="13"/>
  <c r="BX160" i="13"/>
  <c r="BX168" i="13"/>
  <c r="BX151" i="13"/>
  <c r="BX162" i="13"/>
  <c r="BX157" i="13"/>
  <c r="BX153" i="13"/>
  <c r="BX163" i="13"/>
  <c r="BX166" i="13"/>
  <c r="BX164" i="13"/>
  <c r="BS120" i="13"/>
  <c r="BR126" i="13"/>
  <c r="BR131" i="13" s="1"/>
  <c r="BV196" i="13"/>
  <c r="BV197" i="13" s="1"/>
  <c r="BU221" i="13"/>
  <c r="BU222" i="13" s="1"/>
  <c r="BS118" i="13"/>
  <c r="BR125" i="13"/>
  <c r="BR130" i="13" s="1"/>
  <c r="BA127" i="13" l="1"/>
  <c r="BA132" i="13" s="1"/>
  <c r="BB122" i="13"/>
  <c r="BX171" i="13"/>
  <c r="BX172" i="13" s="1"/>
  <c r="BT120" i="13"/>
  <c r="BS126" i="13"/>
  <c r="BS131" i="13" s="1"/>
  <c r="BV221" i="13"/>
  <c r="BV222" i="13" s="1"/>
  <c r="BX200" i="13"/>
  <c r="BX193" i="13"/>
  <c r="BX185" i="13"/>
  <c r="BX181" i="13"/>
  <c r="BX191" i="13"/>
  <c r="BX190" i="13"/>
  <c r="BX179" i="13"/>
  <c r="BX180" i="13"/>
  <c r="BX184" i="13"/>
  <c r="BX183" i="13"/>
  <c r="BX178" i="13"/>
  <c r="BX194" i="13"/>
  <c r="BX188" i="13"/>
  <c r="BX177" i="13"/>
  <c r="BX195" i="13"/>
  <c r="BX189" i="13"/>
  <c r="BX187" i="13"/>
  <c r="BX182" i="13"/>
  <c r="BX192" i="13"/>
  <c r="BX176" i="13"/>
  <c r="BX186" i="13"/>
  <c r="BY48" i="13"/>
  <c r="BX46" i="13"/>
  <c r="BX49" i="13"/>
  <c r="BW196" i="13"/>
  <c r="BW197" i="13" s="1"/>
  <c r="BW202" i="13"/>
  <c r="BW211" i="13"/>
  <c r="BW214" i="13"/>
  <c r="BW218" i="13"/>
  <c r="BW206" i="13"/>
  <c r="BW210" i="13"/>
  <c r="BW215" i="13"/>
  <c r="BW204" i="13"/>
  <c r="BW212" i="13"/>
  <c r="BW220" i="13"/>
  <c r="BW201" i="13"/>
  <c r="BW213" i="13"/>
  <c r="BW203" i="13"/>
  <c r="BW208" i="13"/>
  <c r="BW219" i="13"/>
  <c r="BW207" i="13"/>
  <c r="BW216" i="13"/>
  <c r="BW205" i="13"/>
  <c r="BW209" i="13"/>
  <c r="BW217" i="13"/>
  <c r="BY175" i="13"/>
  <c r="BY166" i="13"/>
  <c r="BY157" i="13"/>
  <c r="BY165" i="13"/>
  <c r="BY152" i="13"/>
  <c r="BY161" i="13"/>
  <c r="BY170" i="13"/>
  <c r="BY164" i="13"/>
  <c r="BY158" i="13"/>
  <c r="BY163" i="13"/>
  <c r="BY160" i="13"/>
  <c r="BY156" i="13"/>
  <c r="BY154" i="13"/>
  <c r="BY168" i="13"/>
  <c r="BY159" i="13"/>
  <c r="BY153" i="13"/>
  <c r="BY167" i="13"/>
  <c r="BY162" i="13"/>
  <c r="BY151" i="13"/>
  <c r="BY155" i="13"/>
  <c r="BY169" i="13"/>
  <c r="CA96" i="13"/>
  <c r="BZ150" i="13"/>
  <c r="BS125" i="13"/>
  <c r="BS130" i="13" s="1"/>
  <c r="BT118" i="13"/>
  <c r="BC122" i="13" l="1"/>
  <c r="BB127" i="13"/>
  <c r="BB132" i="13" s="1"/>
  <c r="BY49" i="13"/>
  <c r="BY46" i="13"/>
  <c r="BZ48" i="13"/>
  <c r="BU120" i="13"/>
  <c r="BT126" i="13"/>
  <c r="BT131" i="13" s="1"/>
  <c r="BY171" i="13"/>
  <c r="BY172" i="13" s="1"/>
  <c r="BW221" i="13"/>
  <c r="BW222" i="13" s="1"/>
  <c r="BX196" i="13"/>
  <c r="BX197" i="13" s="1"/>
  <c r="BY200" i="13"/>
  <c r="BY190" i="13"/>
  <c r="BY180" i="13"/>
  <c r="BY177" i="13"/>
  <c r="BY184" i="13"/>
  <c r="BY181" i="13"/>
  <c r="BY185" i="13"/>
  <c r="BY191" i="13"/>
  <c r="BY178" i="13"/>
  <c r="BY192" i="13"/>
  <c r="BY183" i="13"/>
  <c r="BY179" i="13"/>
  <c r="BY189" i="13"/>
  <c r="BY176" i="13"/>
  <c r="BY187" i="13"/>
  <c r="BY194" i="13"/>
  <c r="BY186" i="13"/>
  <c r="BY182" i="13"/>
  <c r="BY193" i="13"/>
  <c r="BY195" i="13"/>
  <c r="BY188" i="13"/>
  <c r="BX204" i="13"/>
  <c r="BX211" i="13"/>
  <c r="BX212" i="13"/>
  <c r="BX216" i="13"/>
  <c r="BX220" i="13"/>
  <c r="BX202" i="13"/>
  <c r="BX208" i="13"/>
  <c r="BX214" i="13"/>
  <c r="BX206" i="13"/>
  <c r="BX215" i="13"/>
  <c r="BX201" i="13"/>
  <c r="BX205" i="13"/>
  <c r="BX207" i="13"/>
  <c r="BX209" i="13"/>
  <c r="BX213" i="13"/>
  <c r="BX217" i="13"/>
  <c r="BX210" i="13"/>
  <c r="BX218" i="13"/>
  <c r="BX203" i="13"/>
  <c r="BX219" i="13"/>
  <c r="BZ175" i="13"/>
  <c r="BZ152" i="13"/>
  <c r="BZ154" i="13"/>
  <c r="BZ157" i="13"/>
  <c r="BZ161" i="13"/>
  <c r="BZ164" i="13"/>
  <c r="BZ169" i="13"/>
  <c r="BZ163" i="13"/>
  <c r="BZ160" i="13"/>
  <c r="BZ158" i="13"/>
  <c r="BZ162" i="13"/>
  <c r="BZ151" i="13"/>
  <c r="BZ155" i="13"/>
  <c r="BZ165" i="13"/>
  <c r="BZ167" i="13"/>
  <c r="BZ170" i="13"/>
  <c r="BZ156" i="13"/>
  <c r="BZ153" i="13"/>
  <c r="BZ168" i="13"/>
  <c r="BZ166" i="13"/>
  <c r="BZ159" i="13"/>
  <c r="CB96" i="13"/>
  <c r="CB150" i="13" s="1"/>
  <c r="CA150" i="13"/>
  <c r="BT125" i="13"/>
  <c r="BT130" i="13" s="1"/>
  <c r="BU118" i="13"/>
  <c r="BC127" i="13" l="1"/>
  <c r="BC132" i="13" s="1"/>
  <c r="BD122" i="13"/>
  <c r="BY196" i="13"/>
  <c r="BY197" i="13" s="1"/>
  <c r="BZ171" i="13"/>
  <c r="BZ172" i="13" s="1"/>
  <c r="BY204" i="13"/>
  <c r="BY207" i="13"/>
  <c r="BY209" i="13"/>
  <c r="BY211" i="13"/>
  <c r="BY212" i="13"/>
  <c r="BY216" i="13"/>
  <c r="BY220" i="13"/>
  <c r="BY201" i="13"/>
  <c r="BY213" i="13"/>
  <c r="BY217" i="13"/>
  <c r="BY206" i="13"/>
  <c r="BY210" i="13"/>
  <c r="BY218" i="13"/>
  <c r="BY203" i="13"/>
  <c r="BY208" i="13"/>
  <c r="BY215" i="13"/>
  <c r="BY219" i="13"/>
  <c r="BY205" i="13"/>
  <c r="BY202" i="13"/>
  <c r="BY214" i="13"/>
  <c r="CA175" i="13"/>
  <c r="CA157" i="13"/>
  <c r="CA163" i="13"/>
  <c r="CA159" i="13"/>
  <c r="CA161" i="13"/>
  <c r="CA169" i="13"/>
  <c r="CA170" i="13"/>
  <c r="CA151" i="13"/>
  <c r="CA165" i="13"/>
  <c r="CA167" i="13"/>
  <c r="CA155" i="13"/>
  <c r="CA158" i="13"/>
  <c r="CA162" i="13"/>
  <c r="CA152" i="13"/>
  <c r="CA154" i="13"/>
  <c r="CA168" i="13"/>
  <c r="CA164" i="13"/>
  <c r="CA160" i="13"/>
  <c r="CA153" i="13"/>
  <c r="CA156" i="13"/>
  <c r="CA166" i="13"/>
  <c r="BX221" i="13"/>
  <c r="BX222" i="13" s="1"/>
  <c r="BZ200" i="13"/>
  <c r="BZ190" i="13"/>
  <c r="BZ178" i="13"/>
  <c r="BZ183" i="13"/>
  <c r="BZ184" i="13"/>
  <c r="BZ181" i="13"/>
  <c r="BZ185" i="13"/>
  <c r="BZ186" i="13"/>
  <c r="BZ180" i="13"/>
  <c r="BZ177" i="13"/>
  <c r="BZ195" i="13"/>
  <c r="BZ182" i="13"/>
  <c r="BZ194" i="13"/>
  <c r="BZ176" i="13"/>
  <c r="BZ188" i="13"/>
  <c r="BZ192" i="13"/>
  <c r="BZ189" i="13"/>
  <c r="BZ179" i="13"/>
  <c r="BZ191" i="13"/>
  <c r="BZ187" i="13"/>
  <c r="BZ193" i="13"/>
  <c r="BV120" i="13"/>
  <c r="BU126" i="13"/>
  <c r="BU131" i="13" s="1"/>
  <c r="CA48" i="13"/>
  <c r="BZ46" i="13"/>
  <c r="BZ49" i="13"/>
  <c r="CB175" i="13"/>
  <c r="CB151" i="13"/>
  <c r="CB153" i="13"/>
  <c r="CB168" i="13"/>
  <c r="CB159" i="13"/>
  <c r="CB169" i="13"/>
  <c r="CB152" i="13"/>
  <c r="CB170" i="13"/>
  <c r="CB165" i="13"/>
  <c r="CB167" i="13"/>
  <c r="CB156" i="13"/>
  <c r="CB154" i="13"/>
  <c r="CB163" i="13"/>
  <c r="CB162" i="13"/>
  <c r="CB164" i="13"/>
  <c r="CB158" i="13"/>
  <c r="CB157" i="13"/>
  <c r="CB166" i="13"/>
  <c r="CB155" i="13"/>
  <c r="CB161" i="13"/>
  <c r="CB160" i="13"/>
  <c r="BV118" i="13"/>
  <c r="BU125" i="13"/>
  <c r="BU130" i="13" s="1"/>
  <c r="BE122" i="13" l="1"/>
  <c r="BD127" i="13"/>
  <c r="BD132" i="13" s="1"/>
  <c r="BZ201" i="13"/>
  <c r="BZ205" i="13"/>
  <c r="BZ213" i="13"/>
  <c r="BZ217" i="13"/>
  <c r="BZ206" i="13"/>
  <c r="BZ210" i="13"/>
  <c r="BZ219" i="13"/>
  <c r="BZ204" i="13"/>
  <c r="BZ209" i="13"/>
  <c r="BZ216" i="13"/>
  <c r="BZ202" i="13"/>
  <c r="BZ208" i="13"/>
  <c r="BZ214" i="13"/>
  <c r="BZ218" i="13"/>
  <c r="BZ203" i="13"/>
  <c r="BZ215" i="13"/>
  <c r="BZ207" i="13"/>
  <c r="BZ211" i="13"/>
  <c r="BZ212" i="13"/>
  <c r="BZ220" i="13"/>
  <c r="CA200" i="13"/>
  <c r="CA195" i="13"/>
  <c r="CA181" i="13"/>
  <c r="CA191" i="13"/>
  <c r="CA183" i="13"/>
  <c r="CA193" i="13"/>
  <c r="CA180" i="13"/>
  <c r="CA192" i="13"/>
  <c r="CA182" i="13"/>
  <c r="CA184" i="13"/>
  <c r="CA177" i="13"/>
  <c r="CA186" i="13"/>
  <c r="CA189" i="13"/>
  <c r="CA176" i="13"/>
  <c r="CA178" i="13"/>
  <c r="CA194" i="13"/>
  <c r="CA179" i="13"/>
  <c r="CA187" i="13"/>
  <c r="CA185" i="13"/>
  <c r="CA190" i="13"/>
  <c r="CA188" i="13"/>
  <c r="CB200" i="13"/>
  <c r="CB190" i="13"/>
  <c r="CB187" i="13"/>
  <c r="CB184" i="13"/>
  <c r="CB194" i="13"/>
  <c r="CB195" i="13"/>
  <c r="CB176" i="13"/>
  <c r="CB177" i="13"/>
  <c r="CB179" i="13"/>
  <c r="CB181" i="13"/>
  <c r="CB193" i="13"/>
  <c r="CB182" i="13"/>
  <c r="CB185" i="13"/>
  <c r="CB191" i="13"/>
  <c r="CB183" i="13"/>
  <c r="CB188" i="13"/>
  <c r="CB192" i="13"/>
  <c r="CB178" i="13"/>
  <c r="CB180" i="13"/>
  <c r="CB186" i="13"/>
  <c r="CB189" i="13"/>
  <c r="BV126" i="13"/>
  <c r="BV131" i="13" s="1"/>
  <c r="BW120" i="13"/>
  <c r="BZ196" i="13"/>
  <c r="BZ197" i="13" s="1"/>
  <c r="CB171" i="13"/>
  <c r="CB172" i="13" s="1"/>
  <c r="CA49" i="13"/>
  <c r="CB48" i="13"/>
  <c r="CA46" i="13"/>
  <c r="CA171" i="13"/>
  <c r="CA172" i="13" s="1"/>
  <c r="BY221" i="13"/>
  <c r="BY222" i="13" s="1"/>
  <c r="BW118" i="13"/>
  <c r="BV125" i="13"/>
  <c r="BV130" i="13" s="1"/>
  <c r="BE127" i="13" l="1"/>
  <c r="BE132" i="13" s="1"/>
  <c r="BF122" i="13"/>
  <c r="CB49" i="13"/>
  <c r="CB46" i="13"/>
  <c r="BW126" i="13"/>
  <c r="BW131" i="13" s="1"/>
  <c r="BX120" i="13"/>
  <c r="CB196" i="13"/>
  <c r="CB197" i="13" s="1"/>
  <c r="Y173" i="13"/>
  <c r="X16" i="17" s="1"/>
  <c r="CB203" i="13"/>
  <c r="CB210" i="13"/>
  <c r="CB211" i="13"/>
  <c r="CB215" i="13"/>
  <c r="CB219" i="13"/>
  <c r="CB201" i="13"/>
  <c r="CB213" i="13"/>
  <c r="CB202" i="13"/>
  <c r="CB208" i="13"/>
  <c r="CB214" i="13"/>
  <c r="CB204" i="13"/>
  <c r="CB207" i="13"/>
  <c r="CB212" i="13"/>
  <c r="CB216" i="13"/>
  <c r="CB220" i="13"/>
  <c r="CB205" i="13"/>
  <c r="CB209" i="13"/>
  <c r="CB217" i="13"/>
  <c r="CB206" i="13"/>
  <c r="CB218" i="13"/>
  <c r="CA196" i="13"/>
  <c r="CA197" i="13" s="1"/>
  <c r="CA204" i="13"/>
  <c r="CA207" i="13"/>
  <c r="CA209" i="13"/>
  <c r="CA212" i="13"/>
  <c r="CA216" i="13"/>
  <c r="CA220" i="13"/>
  <c r="CA213" i="13"/>
  <c r="CA210" i="13"/>
  <c r="CA218" i="13"/>
  <c r="CA206" i="13"/>
  <c r="CA219" i="13"/>
  <c r="CA201" i="13"/>
  <c r="CA205" i="13"/>
  <c r="CA211" i="13"/>
  <c r="CA217" i="13"/>
  <c r="CA202" i="13"/>
  <c r="CA208" i="13"/>
  <c r="CA214" i="13"/>
  <c r="CA203" i="13"/>
  <c r="CA215" i="13"/>
  <c r="BZ221" i="13"/>
  <c r="BZ222" i="13" s="1"/>
  <c r="BX118" i="13"/>
  <c r="BW125" i="13"/>
  <c r="BW130" i="13" s="1"/>
  <c r="BG122" i="13" l="1"/>
  <c r="BF127" i="13"/>
  <c r="BF132" i="13" s="1"/>
  <c r="W74" i="15"/>
  <c r="W73" i="15" s="1"/>
  <c r="C16" i="17"/>
  <c r="CB221" i="13"/>
  <c r="CB222" i="13" s="1"/>
  <c r="BX126" i="13"/>
  <c r="BX131" i="13" s="1"/>
  <c r="BY120" i="13"/>
  <c r="CA221" i="13"/>
  <c r="CA222" i="13" s="1"/>
  <c r="Y198" i="13"/>
  <c r="X17" i="17" s="1"/>
  <c r="BX125" i="13"/>
  <c r="BX130" i="13" s="1"/>
  <c r="BY118" i="13"/>
  <c r="BH122" i="13" l="1"/>
  <c r="BG127" i="13"/>
  <c r="BG132" i="13" s="1"/>
  <c r="Y223" i="13"/>
  <c r="X63" i="17" s="1"/>
  <c r="C63" i="17" s="1"/>
  <c r="C378" i="1" s="1"/>
  <c r="W78" i="15"/>
  <c r="W77" i="15" s="1"/>
  <c r="X77" i="15" s="1"/>
  <c r="C88" i="15" s="1"/>
  <c r="C17" i="17"/>
  <c r="BY126" i="13"/>
  <c r="BY131" i="13" s="1"/>
  <c r="BZ120" i="13"/>
  <c r="W70" i="15"/>
  <c r="W68" i="15" s="1"/>
  <c r="X68" i="15" s="1"/>
  <c r="C86" i="15" s="1"/>
  <c r="C19" i="17"/>
  <c r="E66" i="23"/>
  <c r="C137" i="15"/>
  <c r="C138" i="15" s="1"/>
  <c r="C139" i="15" s="1"/>
  <c r="E139" i="15"/>
  <c r="E70" i="23"/>
  <c r="B23" i="17"/>
  <c r="X73" i="15"/>
  <c r="C87" i="15" s="1"/>
  <c r="BZ118" i="13"/>
  <c r="BY125" i="13"/>
  <c r="BY130" i="13" s="1"/>
  <c r="BH127" i="13" l="1"/>
  <c r="BH132" i="13" s="1"/>
  <c r="BI122" i="13"/>
  <c r="X18" i="17"/>
  <c r="W92" i="15"/>
  <c r="C93" i="15" s="1"/>
  <c r="D140" i="15"/>
  <c r="C140" i="15" s="1"/>
  <c r="CA120" i="13"/>
  <c r="BZ126" i="13"/>
  <c r="BZ131" i="13" s="1"/>
  <c r="H133" i="23"/>
  <c r="G133" i="23"/>
  <c r="E133" i="23"/>
  <c r="E79" i="23"/>
  <c r="F133" i="23"/>
  <c r="H173" i="23"/>
  <c r="E83" i="23"/>
  <c r="F173" i="23"/>
  <c r="G173" i="23"/>
  <c r="E173" i="23"/>
  <c r="C145" i="15"/>
  <c r="C146" i="15" s="1"/>
  <c r="C147" i="15" s="1"/>
  <c r="E67" i="23"/>
  <c r="BZ125" i="13"/>
  <c r="BZ130" i="13" s="1"/>
  <c r="CA118" i="13"/>
  <c r="C18" i="17" l="1"/>
  <c r="E72" i="23" s="1"/>
  <c r="F123" i="23" s="1"/>
  <c r="X15" i="17"/>
  <c r="W81" i="15"/>
  <c r="W80" i="15" s="1"/>
  <c r="X80" i="15" s="1"/>
  <c r="C89" i="15" s="1"/>
  <c r="BJ122" i="13"/>
  <c r="BI127" i="13"/>
  <c r="BI132" i="13" s="1"/>
  <c r="E80" i="23"/>
  <c r="G143" i="23"/>
  <c r="H153" i="23"/>
  <c r="H154" i="23" s="1"/>
  <c r="F143" i="23"/>
  <c r="G153" i="23"/>
  <c r="G154" i="23" s="1"/>
  <c r="H143" i="23"/>
  <c r="E153" i="23"/>
  <c r="E154" i="23" s="1"/>
  <c r="F153" i="23"/>
  <c r="F154" i="23" s="1"/>
  <c r="E143" i="23"/>
  <c r="F174" i="23"/>
  <c r="D7" i="27"/>
  <c r="D15" i="27" s="1"/>
  <c r="E23" i="27" s="1"/>
  <c r="E44" i="27" s="1"/>
  <c r="H174" i="23"/>
  <c r="F7" i="27"/>
  <c r="F15" i="27" s="1"/>
  <c r="E25" i="27" s="1"/>
  <c r="E46" i="27" s="1"/>
  <c r="F134" i="23"/>
  <c r="D5" i="27"/>
  <c r="F5" i="27"/>
  <c r="H134" i="23"/>
  <c r="E134" i="23"/>
  <c r="C5" i="27"/>
  <c r="D133" i="23"/>
  <c r="CA126" i="13"/>
  <c r="CA131" i="13" s="1"/>
  <c r="CB120" i="13"/>
  <c r="CB126" i="13" s="1"/>
  <c r="CB131" i="13" s="1"/>
  <c r="G134" i="23"/>
  <c r="E5" i="27"/>
  <c r="D173" i="23"/>
  <c r="C7" i="27"/>
  <c r="C15" i="27" s="1"/>
  <c r="E22" i="27" s="1"/>
  <c r="E43" i="27" s="1"/>
  <c r="E174" i="23"/>
  <c r="G174" i="23"/>
  <c r="E7" i="27"/>
  <c r="E15" i="27" s="1"/>
  <c r="E24" i="27" s="1"/>
  <c r="E45" i="27" s="1"/>
  <c r="H123" i="23"/>
  <c r="G123" i="23"/>
  <c r="CB118" i="13"/>
  <c r="CB125" i="13" s="1"/>
  <c r="CB130" i="13" s="1"/>
  <c r="CA125" i="13"/>
  <c r="CA130" i="13" s="1"/>
  <c r="E123" i="23" l="1"/>
  <c r="D123" i="23" s="1"/>
  <c r="E85" i="23"/>
  <c r="X11" i="17"/>
  <c r="Y7" i="15" s="1"/>
  <c r="C15" i="17"/>
  <c r="BJ127" i="13"/>
  <c r="BJ132" i="13" s="1"/>
  <c r="BK122" i="13"/>
  <c r="G214" i="23"/>
  <c r="D134" i="23"/>
  <c r="E214" i="23"/>
  <c r="G124" i="23"/>
  <c r="G215" i="23" s="1"/>
  <c r="E8" i="27"/>
  <c r="E16" i="27" s="1"/>
  <c r="F24" i="27" s="1"/>
  <c r="D36" i="27" s="1"/>
  <c r="F8" i="27"/>
  <c r="F16" i="27" s="1"/>
  <c r="F25" i="27" s="1"/>
  <c r="D37" i="27" s="1"/>
  <c r="H124" i="23"/>
  <c r="H215" i="23" s="1"/>
  <c r="E13" i="27"/>
  <c r="C24" i="27" s="1"/>
  <c r="C45" i="27" s="1"/>
  <c r="F13" i="27"/>
  <c r="C25" i="27" s="1"/>
  <c r="C46" i="27" s="1"/>
  <c r="H214" i="23"/>
  <c r="I214" i="23"/>
  <c r="F6" i="27"/>
  <c r="F14" i="27" s="1"/>
  <c r="D25" i="27" s="1"/>
  <c r="D46" i="27" s="1"/>
  <c r="H144" i="23"/>
  <c r="G144" i="23"/>
  <c r="E6" i="27"/>
  <c r="E14" i="27" s="1"/>
  <c r="D24" i="27" s="1"/>
  <c r="D45" i="27" s="1"/>
  <c r="F124" i="23"/>
  <c r="I215" i="23" s="1"/>
  <c r="D8" i="27"/>
  <c r="D16" i="27" s="1"/>
  <c r="F23" i="27" s="1"/>
  <c r="D35" i="27" s="1"/>
  <c r="F144" i="23"/>
  <c r="D6" i="27"/>
  <c r="D14" i="27" s="1"/>
  <c r="D23" i="27" s="1"/>
  <c r="D44" i="27" s="1"/>
  <c r="E124" i="23"/>
  <c r="E215" i="23" s="1"/>
  <c r="D174" i="23"/>
  <c r="C13" i="27"/>
  <c r="C22" i="27" s="1"/>
  <c r="C43" i="27" s="1"/>
  <c r="D13" i="27"/>
  <c r="C23" i="27" s="1"/>
  <c r="C44" i="27" s="1"/>
  <c r="D143" i="23"/>
  <c r="D153" i="23" s="1"/>
  <c r="C6" i="27"/>
  <c r="C14" i="27" s="1"/>
  <c r="D22" i="27" s="1"/>
  <c r="D43" i="27" s="1"/>
  <c r="E144" i="23"/>
  <c r="C8" i="27" l="1"/>
  <c r="C16" i="27" s="1"/>
  <c r="F22" i="27" s="1"/>
  <c r="D34" i="27" s="1"/>
  <c r="X13" i="17"/>
  <c r="C11" i="17"/>
  <c r="C41" i="17" s="1"/>
  <c r="BK127" i="13"/>
  <c r="BK132" i="13" s="1"/>
  <c r="BL122" i="13"/>
  <c r="F214" i="23"/>
  <c r="D18" i="27"/>
  <c r="C35" i="27" s="1"/>
  <c r="F215" i="23"/>
  <c r="D144" i="23"/>
  <c r="D154" i="23" s="1"/>
  <c r="E18" i="27"/>
  <c r="C36" i="27" s="1"/>
  <c r="F18" i="27"/>
  <c r="C37" i="27" s="1"/>
  <c r="V9" i="38"/>
  <c r="V6" i="41" s="1"/>
  <c r="V9" i="41" s="1"/>
  <c r="V10" i="41" s="1"/>
  <c r="B12" i="41" s="1"/>
  <c r="Y11" i="15"/>
  <c r="Y12" i="15" s="1"/>
  <c r="D12" i="15" s="1"/>
  <c r="D7" i="15"/>
  <c r="C18" i="27"/>
  <c r="C34" i="27" s="1"/>
  <c r="C43" i="17" l="1"/>
  <c r="C44" i="17"/>
  <c r="C42" i="17"/>
  <c r="B17" i="38"/>
  <c r="D26" i="34" s="1"/>
  <c r="C40" i="17"/>
  <c r="BL127" i="13"/>
  <c r="BL132" i="13" s="1"/>
  <c r="BM122" i="13"/>
  <c r="C7" i="15"/>
  <c r="I2" i="15"/>
  <c r="C172" i="15" s="1"/>
  <c r="D11" i="15"/>
  <c r="V10" i="38"/>
  <c r="B16" i="38" l="1"/>
  <c r="V7" i="41"/>
  <c r="C45" i="17"/>
  <c r="BM127" i="13"/>
  <c r="BM132" i="13" s="1"/>
  <c r="BN122" i="13"/>
  <c r="C131" i="15"/>
  <c r="C90" i="15" s="1"/>
  <c r="H183" i="23"/>
  <c r="F183" i="23"/>
  <c r="E183" i="23"/>
  <c r="G183" i="23"/>
  <c r="B13" i="38"/>
  <c r="BO122" i="13" l="1"/>
  <c r="BN127" i="13"/>
  <c r="BN132" i="13" s="1"/>
  <c r="D9" i="27"/>
  <c r="D17" i="27" s="1"/>
  <c r="B29" i="27" s="1"/>
  <c r="F184" i="23"/>
  <c r="G26" i="26" s="1"/>
  <c r="F9" i="27"/>
  <c r="F17" i="27" s="1"/>
  <c r="B31" i="27" s="1"/>
  <c r="H184" i="23"/>
  <c r="I26" i="26" s="1"/>
  <c r="I27" i="26" s="1"/>
  <c r="E9" i="27"/>
  <c r="E17" i="27" s="1"/>
  <c r="B30" i="27" s="1"/>
  <c r="G184" i="23"/>
  <c r="H26" i="26" s="1"/>
  <c r="H27" i="26" s="1"/>
  <c r="D183" i="23"/>
  <c r="H31" i="26" s="1"/>
  <c r="E184" i="23"/>
  <c r="F26" i="26" s="1"/>
  <c r="F27" i="26" s="1"/>
  <c r="C9" i="27"/>
  <c r="C17" i="27" s="1"/>
  <c r="B28" i="27" s="1"/>
  <c r="F31" i="26" l="1"/>
  <c r="I31" i="26"/>
  <c r="D31" i="27" s="1"/>
  <c r="G27" i="26"/>
  <c r="D27" i="26" s="1"/>
  <c r="D26" i="26"/>
  <c r="G31" i="26"/>
  <c r="BO127" i="13"/>
  <c r="BO132" i="13" s="1"/>
  <c r="BP122" i="13"/>
  <c r="D28" i="27"/>
  <c r="E28" i="27" s="1"/>
  <c r="F28" i="27" s="1"/>
  <c r="C62" i="27" s="1"/>
  <c r="D184" i="23"/>
  <c r="D30" i="27"/>
  <c r="E30" i="27" s="1"/>
  <c r="BP127" i="13" l="1"/>
  <c r="BP132" i="13" s="1"/>
  <c r="BQ122" i="13"/>
  <c r="B62" i="27"/>
  <c r="F30" i="27"/>
  <c r="C64" i="27" s="1"/>
  <c r="B64" i="27"/>
  <c r="BQ127" i="13" l="1"/>
  <c r="BQ132" i="13" s="1"/>
  <c r="BR122" i="13"/>
  <c r="D29" i="27"/>
  <c r="E29" i="27" s="1"/>
  <c r="F29" i="27" s="1"/>
  <c r="C63" i="27" s="1"/>
  <c r="BS122" i="13" l="1"/>
  <c r="BR127" i="13"/>
  <c r="BR132" i="13" s="1"/>
  <c r="B63" i="27"/>
  <c r="BT122" i="13" l="1"/>
  <c r="BS127" i="13"/>
  <c r="BS132" i="13" s="1"/>
  <c r="BT127" i="13" l="1"/>
  <c r="BT132" i="13" s="1"/>
  <c r="BU122" i="13"/>
  <c r="BV122" i="13" l="1"/>
  <c r="BU127" i="13"/>
  <c r="BU132" i="13" s="1"/>
  <c r="BV127" i="13" l="1"/>
  <c r="BV132" i="13" s="1"/>
  <c r="BW122" i="13"/>
  <c r="BX122" i="13" l="1"/>
  <c r="BW127" i="13"/>
  <c r="BW132" i="13" s="1"/>
  <c r="BX127" i="13" l="1"/>
  <c r="BX132" i="13" s="1"/>
  <c r="BY122" i="13"/>
  <c r="BY127" i="13" l="1"/>
  <c r="BY132" i="13" s="1"/>
  <c r="BZ122" i="13"/>
  <c r="CA122" i="13" l="1"/>
  <c r="BZ127" i="13"/>
  <c r="BZ132" i="13" s="1"/>
  <c r="CA127" i="13" l="1"/>
  <c r="CA132" i="13" s="1"/>
  <c r="CB122" i="13"/>
  <c r="CB127" i="13" s="1"/>
  <c r="CB13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tc={C9717011-9F49-40FE-8EBE-0219D0A1A462}</author>
  </authors>
  <commentList>
    <comment ref="B32" authorId="0" shapeId="0" xr:uid="{C9717011-9F49-40FE-8EBE-0219D0A1A462}">
      <text>
        <t>[Threaded comment]
Your version of Excel allows you to read this threaded comment; however, any edits to it will get removed if the file is opened in a newer version of Excel. Learn more: https://go.microsoft.com/fwlink/?linkid=870924
Comment:
    MCC should not publicly state that any utility that MCC is supporting is dysfunctional.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tc={F06C953F-8E64-407B-B20B-B2FED2154828}</author>
  </authors>
  <commentList>
    <comment ref="B3" authorId="0" shapeId="0" xr:uid="{F06C953F-8E64-407B-B20B-B2FED2154828}">
      <text>
        <t>[Threaded comment]
Your version of Excel allows you to read this threaded comment; however, any edits to it will get removed if the file is opened in a newer version of Excel. Learn more: https://go.microsoft.com/fwlink/?linkid=870924
Comment:
    Why is stunting mentioned here? It does not appear in the Compact.</t>
      </text>
    </comment>
  </commentList>
</comments>
</file>

<file path=xl/sharedStrings.xml><?xml version="1.0" encoding="utf-8"?>
<sst xmlns="http://schemas.openxmlformats.org/spreadsheetml/2006/main" count="3519" uniqueCount="1768">
  <si>
    <t>Comments/references:</t>
  </si>
  <si>
    <t>See "GBD2004_DisabilityWeights.pdf," found at http://www.who.int/healthinfo/global_burden_disease/GBD2004_DisabilityWeights.pdf</t>
  </si>
  <si>
    <t>See http://www.xe.com/ucc/convert/?Amount=1&amp;From=USD&amp;To=ZMK for latest exchange rate and 2008 Labourforce Survey Report.pdf found at http://www.mlss.gov.zm/upload/2008%20Labourforce%20Survey%20Report.pdf for unemployment rates.</t>
  </si>
  <si>
    <t>Opportunity cost of time ($/hour):</t>
  </si>
  <si>
    <t>The 2012 minimum wage for Zambia is 419,000 kwacha per month.  In Dec 2012 the kwacha/USD exchange rate was 5,292, so assuming 8 hours of work a day, 22 days a month, that comes out to about 45 cents/hour.  According to the latest labor survey, the overall unemployment rate in urban Lusaka was 35%.  If we interpret that as the probability of not finding a job, then the opportunity cost of time is $0.45*(1-0.35)=$0.29/hour overall.  Again, this is the best assumption we can make based on what we know now.  We will see if the M&amp;E data we collect confirms this.</t>
  </si>
  <si>
    <t>http://www.xe.com/ucc/convert/?Amount=1&amp;From=USD&amp;To=ZMK</t>
  </si>
  <si>
    <t>urban Lusaka unemployment rate:</t>
  </si>
  <si>
    <t>http://www.mlss.gov.zm/upload/2008%20Labourforce%20Survey%20Report.pdf</t>
  </si>
  <si>
    <t>Opportunity cost of time ($/month):</t>
  </si>
  <si>
    <t>See 3ie.2009.Water, Sanitation and Hygiene Interventions to Combat Childhood Diarrhea in Developing Countries.pdf, page 27, found at http://www.dfid.gov.uk/R4D//PDF/Articles/SR_Sanitation.pdf and http://www.bvsde.paho.org/bvsaar/fulltext/drainage.pdf</t>
  </si>
  <si>
    <t>Disease incidence reduction:</t>
  </si>
  <si>
    <t>Water Quality</t>
  </si>
  <si>
    <t>Sanitation</t>
  </si>
  <si>
    <t>Drainage</t>
  </si>
  <si>
    <t>Infectious Diarrhea</t>
  </si>
  <si>
    <t>Intestinal nematodes</t>
  </si>
  <si>
    <t>Comments/References:</t>
  </si>
  <si>
    <t>Malaria</t>
  </si>
  <si>
    <t>Rosen and Vincent (1999:17) (http://www.cid.harvard.edu/archive/events/cidneudc/papers/rosenvincent.pdf), Table 4 note median reductions in prevalence of 4% for hookworm 29% for ascariasis. (from better studies).  Use the average (16.5%) here, split evenly between water &amp; sanitation.</t>
  </si>
  <si>
    <t>Castro et al. (2010:1) (http://www.ncbi.nlm.nih.gov/pmc/articles/PMC2876116/) notes "restoring and maintaining drains in Dar es Salaam has the potential to eliminate more than 40% of all potential mosquito larval habitats." Use 20% reduction in prevalence for conservatism.</t>
  </si>
  <si>
    <t>Lymphatic filariasis (LF)</t>
  </si>
  <si>
    <t>See comment for malaria benefit above, and assume impact for LF is of the same magnitude.</t>
  </si>
  <si>
    <t>Schistosomiasis</t>
  </si>
  <si>
    <t>Water quality</t>
  </si>
  <si>
    <t>Beneficiaries by subproject - 
"Switchboard"</t>
  </si>
  <si>
    <t>Priority I</t>
  </si>
  <si>
    <t>Priority II</t>
  </si>
  <si>
    <t>Priority III*</t>
  </si>
  <si>
    <t>Core water network - NRW</t>
  </si>
  <si>
    <t>Water network rehab/ expansion</t>
  </si>
  <si>
    <t>Sewershed expansions &amp; upgrades</t>
  </si>
  <si>
    <t>Lp1</t>
  </si>
  <si>
    <t>Lp6</t>
  </si>
  <si>
    <t>Ls1</t>
  </si>
  <si>
    <t>Chelston &amp; Kaunda Sq.</t>
  </si>
  <si>
    <t>Chunga/Matero</t>
  </si>
  <si>
    <t>Ls2 
(Central)</t>
  </si>
  <si>
    <t>Total beneficiaries by subproject</t>
  </si>
  <si>
    <t>No. Rehabilitation Beneficiaries</t>
  </si>
  <si>
    <t>No. of Treatment Beneficiaries</t>
  </si>
  <si>
    <t>No. of Primary Pipes Beneficiaries</t>
  </si>
  <si>
    <t>No. of NRW Beneficiaries</t>
  </si>
  <si>
    <t>Ls3 
(Chelston)*</t>
  </si>
  <si>
    <t>*Ls3 covers peri-urban areas of Chainda, Kalikiliki, Kamanga, Mtendere and part of Chongwe.</t>
  </si>
  <si>
    <t>**Ls6 covers peri-urban areas of Chawama, Chibolya, Chunga, John Laing, Kanyama and Misisi.</t>
  </si>
  <si>
    <t>Ls6 
(Lumumba)**</t>
  </si>
  <si>
    <t>***Ls2 covers peri-urban areas of Chipata, Garden, Chaisa, Kabanana and Ngombe.</t>
  </si>
  <si>
    <t>No. of Network Expansion Beneficiaries (i.e., new connections)</t>
  </si>
  <si>
    <t>****Note that Lp1, Lp6, and Ls1 overlap - cell at right gives total for thse SPs</t>
  </si>
  <si>
    <t>Water, Sanitation, &amp; Drainage Model</t>
  </si>
  <si>
    <t>Kanyama</t>
  </si>
  <si>
    <t>Bombay</t>
  </si>
  <si>
    <t>Total beneficiaries by subproject (2012)</t>
  </si>
  <si>
    <t>No. of Resident Beneficiaries</t>
  </si>
  <si>
    <t>No. of Non-resident Beneficiaries</t>
  </si>
  <si>
    <t>These beneficiaries enjoy * health benefits * avoided property damage</t>
  </si>
  <si>
    <t>Unlike water and sanitation investments, drainage beneficiaries are not infrastructure capacity constrained and will increase with population growth and economic growth at rates specified on sheet "Drainage."</t>
  </si>
  <si>
    <t>Health beneficiaries by subproject:</t>
  </si>
  <si>
    <t>Adjust "Incidence per 1,000" for males and females (ages 0-14) in YLD template by this amount</t>
  </si>
  <si>
    <t>Modeling instructions:</t>
  </si>
  <si>
    <t>Adjust "Incidence per 1,000" for males and females (ages 0-14) in YLD and YLL template by this amount, and by half this for ages 15 and up</t>
  </si>
  <si>
    <t>Expansion</t>
  </si>
  <si>
    <t>Rehabilitation</t>
  </si>
  <si>
    <t>Note: Health beneficiaries are all expansion beneficiaries and 15% of rehabilitation beneficiaries</t>
  </si>
  <si>
    <t>Adjust "Incidence per 1,000" for males and females (ages 15 and up) in YLD template by this amount</t>
  </si>
  <si>
    <t>These beneficiaries enjoy * avoided loss in value added * avoided travel time (flooding)</t>
  </si>
  <si>
    <t>Now, for the reduction in DALY's.  For each disease we estimate the reduction in DALY's that we estimate will result from the project.  We need the number of beneficiaries, the prevailing incidence rate, and an estimated incidence reduction rate for each disease and each subproject -- water quality improvement, sanitation, and drainage.</t>
  </si>
  <si>
    <t>Prevailing incidence rates:</t>
  </si>
  <si>
    <t>Infectious diarrhea</t>
  </si>
  <si>
    <t>Number of cases per '000 population</t>
  </si>
  <si>
    <t>Total</t>
  </si>
  <si>
    <t>Under 5:</t>
  </si>
  <si>
    <t>Over 5:</t>
  </si>
  <si>
    <t>Case fatality rate (per '000 cases)</t>
  </si>
  <si>
    <t>Estimated death rate per '000 population</t>
  </si>
  <si>
    <t>Includes some cholera</t>
  </si>
  <si>
    <t>Notes:</t>
  </si>
  <si>
    <t>Incidence of non-bloody diarrhea, Lusaka District, 2008 (duration is brief, so incidence ~= prevalence)</t>
  </si>
  <si>
    <t xml:space="preserve"> </t>
  </si>
  <si>
    <t>Bauleni</t>
  </si>
  <si>
    <t>Mandevu</t>
  </si>
  <si>
    <t>Chainda</t>
  </si>
  <si>
    <t>Kabwata</t>
  </si>
  <si>
    <t>Chipata</t>
  </si>
  <si>
    <t>Kalingalinga</t>
  </si>
  <si>
    <t>Kamwala</t>
  </si>
  <si>
    <t>Mtendere</t>
  </si>
  <si>
    <t>Chazanga</t>
  </si>
  <si>
    <t>Lilayi</t>
  </si>
  <si>
    <t>Chilenje</t>
  </si>
  <si>
    <t>Chawama</t>
  </si>
  <si>
    <t>Year</t>
  </si>
  <si>
    <r>
      <t xml:space="preserve">All diseases (except malaria): Fraction of cases </t>
    </r>
    <r>
      <rPr>
        <i/>
        <sz val="10"/>
        <rFont val="Arial"/>
        <family val="2"/>
      </rPr>
      <t>not</t>
    </r>
    <r>
      <rPr>
        <sz val="10"/>
        <rFont val="Arial"/>
        <family val="2"/>
      </rPr>
      <t xml:space="preserve"> reported in health statistics:</t>
    </r>
  </si>
  <si>
    <t>Non-severe flood year:</t>
  </si>
  <si>
    <t>Note: Specifically for malaria, DHMT reports case #s based on suspected rather than confirmed cases.  25% is an MCC assumption</t>
  </si>
  <si>
    <t>Non-bloody diarrhea, Lusaka District, 2008, CFR = Case Fatality Rate = (# deaths/(1000 cases))</t>
  </si>
  <si>
    <t>Zambian population by five-year age group (thousands)</t>
  </si>
  <si>
    <t>Zambian population by five-year age group (% of total)</t>
  </si>
  <si>
    <t>Working age</t>
  </si>
  <si>
    <t>Source:</t>
  </si>
  <si>
    <t>Age group</t>
  </si>
  <si>
    <t>Females</t>
  </si>
  <si>
    <t>Males</t>
  </si>
  <si>
    <t>Avg age</t>
  </si>
  <si>
    <t>Overall</t>
  </si>
  <si>
    <t>World Population Prospects: The 2010 Revision</t>
  </si>
  <si>
    <t>0-4</t>
  </si>
  <si>
    <t>5-9</t>
  </si>
  <si>
    <t>1-4</t>
  </si>
  <si>
    <t>File 3B: Female population by five-year age group, major area, region and country, annually for 2011-2100 (thousands)</t>
  </si>
  <si>
    <t>10-14</t>
  </si>
  <si>
    <t>"Annual Population 2011-2100 - Female"</t>
  </si>
  <si>
    <t>15-19</t>
  </si>
  <si>
    <t>File 2B: Male population by five-year age group, major area, region and country, annually for 2011-2100 (thousands)</t>
  </si>
  <si>
    <t>20-24</t>
  </si>
  <si>
    <t>"Annual Population 2011-2100 - Male"</t>
  </si>
  <si>
    <t>25-29</t>
  </si>
  <si>
    <t>30-34</t>
  </si>
  <si>
    <t>35-39</t>
  </si>
  <si>
    <t>40-44</t>
  </si>
  <si>
    <t>45-49</t>
  </si>
  <si>
    <t>50-54</t>
  </si>
  <si>
    <t>55-59</t>
  </si>
  <si>
    <t>Average age of worker:</t>
  </si>
  <si>
    <t>60-64</t>
  </si>
  <si>
    <t>65-69</t>
  </si>
  <si>
    <t>70-74</t>
  </si>
  <si>
    <t>75-79</t>
  </si>
  <si>
    <t>80-84</t>
  </si>
  <si>
    <t>85-89</t>
  </si>
  <si>
    <t>90-94</t>
  </si>
  <si>
    <t>85+</t>
  </si>
  <si>
    <t>95-99</t>
  </si>
  <si>
    <t>TOTAL</t>
  </si>
  <si>
    <t>100+</t>
  </si>
  <si>
    <t>GRAND TOTAL:</t>
  </si>
  <si>
    <t>% of GRAND TOTAL</t>
  </si>
  <si>
    <t>Severe flood year</t>
  </si>
  <si>
    <t>Average year</t>
  </si>
  <si>
    <t>Diarrhea other than cholera</t>
  </si>
  <si>
    <t>Cholera</t>
  </si>
  <si>
    <t>This is a frequency of</t>
  </si>
  <si>
    <t>of years as severe flood events.</t>
  </si>
  <si>
    <t>(incidence ~= prevalence)</t>
  </si>
  <si>
    <t>Cholera scenario for severe flood year</t>
  </si>
  <si>
    <t>Cholera incidence:</t>
  </si>
  <si>
    <t>per 1000 population</t>
  </si>
  <si>
    <t>Cholera case fatality rate:</t>
  </si>
  <si>
    <t>Wtd. average</t>
  </si>
  <si>
    <t>Fraction under 5:</t>
  </si>
  <si>
    <t>Fraction 5 and over:</t>
  </si>
  <si>
    <t>Use this to weight two disease scenarios below</t>
  </si>
  <si>
    <t>Munali</t>
  </si>
  <si>
    <t>Chakunkula</t>
  </si>
  <si>
    <t>Matero</t>
  </si>
  <si>
    <t>Muchinga</t>
  </si>
  <si>
    <t>Raphael Chota</t>
  </si>
  <si>
    <t>Chaisa</t>
  </si>
  <si>
    <t>Ngwerere</t>
  </si>
  <si>
    <t>Roma</t>
  </si>
  <si>
    <t>Kabulonga</t>
  </si>
  <si>
    <t>Lubwa</t>
  </si>
  <si>
    <t>Independence</t>
  </si>
  <si>
    <t>Silwizya</t>
  </si>
  <si>
    <t>Munkolo</t>
  </si>
  <si>
    <t>Harry Mwaanga Nkumbula</t>
  </si>
  <si>
    <t>Kamulanga</t>
  </si>
  <si>
    <t>Libala</t>
  </si>
  <si>
    <t>Nkoloma</t>
  </si>
  <si>
    <t>DMA</t>
  </si>
  <si>
    <t>Total infectious diarrhoea incidence:</t>
  </si>
  <si>
    <t>Incidence per '000 population</t>
  </si>
  <si>
    <t>Prevalence per '000 population</t>
  </si>
  <si>
    <t>Other</t>
  </si>
  <si>
    <t>Female</t>
  </si>
  <si>
    <t>Male</t>
  </si>
  <si>
    <t>Disease</t>
  </si>
  <si>
    <t>No.</t>
  </si>
  <si>
    <t>Lymphatic filariasis</t>
  </si>
  <si>
    <t>Schistosomiasis cases</t>
  </si>
  <si>
    <t>Increase in # of cases of disease, 2006-2010</t>
  </si>
  <si>
    <t>Fraction of 2006 cases that would have died by 2010</t>
  </si>
  <si>
    <t>% deaths due to malaria</t>
  </si>
  <si>
    <t>Deaths per '000</t>
  </si>
  <si>
    <t># 2006 cases to be replaced by 2010</t>
  </si>
  <si>
    <t>Age cohort</t>
  </si>
  <si>
    <t>Total # cases to be added, 2006-2010</t>
  </si>
  <si>
    <t>Incidence rate to apply to 2008 (average year) population to generate above # of cases</t>
  </si>
  <si>
    <t>Factor to scale down Lusaka DHMT incidence data</t>
  </si>
  <si>
    <t>Alternative incidence estimate per '000 population</t>
  </si>
  <si>
    <t>5-85+</t>
  </si>
  <si>
    <t>Not needed</t>
  </si>
  <si>
    <t>(Check - shd = "Estimated death rate per '000 population" at left)</t>
  </si>
  <si>
    <t>Treatment fraction:</t>
  </si>
  <si>
    <t>Weighted average, untreated</t>
  </si>
  <si>
    <t>Weighted average, population</t>
  </si>
  <si>
    <t>Fraction of cases developing sequelae (clinical manifestations)</t>
  </si>
  <si>
    <t>Malaria parasites</t>
  </si>
  <si>
    <t>vivax</t>
  </si>
  <si>
    <t>ovale</t>
  </si>
  <si>
    <t>malariae</t>
  </si>
  <si>
    <t>falciparum</t>
  </si>
  <si>
    <t>Distribution in Africa</t>
  </si>
  <si>
    <t>Estimated disease durations</t>
  </si>
  <si>
    <t>Typical symptom duration (y)</t>
  </si>
  <si>
    <t xml:space="preserve">Duration (y) </t>
  </si>
  <si>
    <t>Symptoms recur so frequently (a few days to a week) that we use "maximum infection duration below" for duration</t>
  </si>
  <si>
    <t>For those treated assume it is successful (as in most cases not too advanced) and quick so that no disability is incurred.</t>
  </si>
  <si>
    <t>Maximum infection duration (y)</t>
  </si>
  <si>
    <t>Anemia</t>
  </si>
  <si>
    <t>Probabilities</t>
  </si>
  <si>
    <t>Permanent (i.e., expected lifetime)</t>
  </si>
  <si>
    <t>Other complications</t>
  </si>
  <si>
    <t>cerebral</t>
  </si>
  <si>
    <t>Estimated using trend in prevalence in http://www.who.int/neglected_diseases/preventive_chemotherapy/sch/db/index.html?units=minimal&amp;region=all&amp;country=zmb&amp;countries=zmb&amp;year=all#.  Scanned as S:\_countryfile\Zambia\_ Team Documents\Sector Folders (ME and Econ, ESA)\M&amp;E&amp;E\_LWSSDP\Economic analysis\ERR\Supporting Files\WHO.Schistosomiasis - Zambia.pdf</t>
  </si>
  <si>
    <t>Remission rate (WHO (2008:110))</t>
  </si>
  <si>
    <t>Case fatality rate (WHO (2008:110))</t>
  </si>
  <si>
    <t>All other cause annual mortality rate (Adult mortality rate adults, both genders (2008 as benchmark), WB WDI.)</t>
  </si>
  <si>
    <t>Disagg. death rates analysis: WHO (2004c:109) - "The revised death rates for malaria at ages five years and over result in an estimated
10% of malaria deaths at ages five years and over in the African region"</t>
  </si>
  <si>
    <t>WHO (2004b)</t>
  </si>
  <si>
    <t xml:space="preserve">Lusaka DHMT reports that malaria data indicated suspected, not confirmed, cases, and that confirmed cases can be as few as &lt;5% of suspected cases.  On the other hand, national incidence data is 244 per 1000, very close to what the Lusaka DHMT reports.  Use this value to scale down the Lusaka DHMT malaria data for potential overreporting. </t>
  </si>
  <si>
    <t>Zambian population, 2011</t>
  </si>
  <si>
    <t>people</t>
  </si>
  <si>
    <t>National population growth rate, 2009</t>
  </si>
  <si>
    <t>%</t>
  </si>
  <si>
    <t>Lusaka population growth rate, 2011</t>
  </si>
  <si>
    <t>https://www.cia.gov/library/publications/the-world-factbook/geos/za.html</t>
  </si>
  <si>
    <t>WHO (2004b) for Zambia</t>
  </si>
  <si>
    <t xml:space="preserve">Ottesen et al. (2008:3) - LF infections occur in 10% of at-risk population. At-risk population in Zambia in 2011 estimated at 1,548,811, based on WHO (2006:10) estimates updated for more 2011 population.  </t>
  </si>
  <si>
    <t>Ottesen et al. (2008:3)</t>
  </si>
  <si>
    <t>Pathophysiology of Malaria (File: PATHOPHYSIOLOGY OF MALARIA.pdf)</t>
  </si>
  <si>
    <t>http://www.malariasite.com/malaria/MalarialParasite.htm#P. falciparum</t>
  </si>
  <si>
    <t>untreated</t>
  </si>
  <si>
    <t>(Using treatment fraction at left)</t>
  </si>
  <si>
    <t>Assumed based on PATHOPHYSIOLOGY OF MALARIA.pdf</t>
  </si>
  <si>
    <t>Ignores renal and others, for simplicity (and since no DWs available)</t>
  </si>
  <si>
    <t>Ottesen et al. (2008:9)</t>
  </si>
  <si>
    <t>Mathers et al. (2006:79)</t>
  </si>
  <si>
    <t>(See page 4 of PATHOPHYSIOLOGY OF MALARIA.pdf)</t>
  </si>
  <si>
    <t>Assume that the total incidence doesn't change with flooding; only the fraction of cholera cases.</t>
  </si>
  <si>
    <t>* letting U5/O5 incidence ratio for cholera equal that for diarrhea overall.</t>
  </si>
  <si>
    <t xml:space="preserve">Solve for E84 by </t>
  </si>
  <si>
    <t xml:space="preserve">* letting weighted share equal cholera incidence at D77 (5.3/1000), and </t>
  </si>
  <si>
    <t xml:space="preserve">Solve for E87 by </t>
  </si>
  <si>
    <t xml:space="preserve">* letting weighted share equal cholera case fatality rate at D78 (36/1000), and </t>
  </si>
  <si>
    <t>* letting U5/O5 fatality rate for cholera equal that for diarrhea overall.</t>
  </si>
  <si>
    <t>Filename</t>
  </si>
  <si>
    <t>3ie (2009)</t>
  </si>
  <si>
    <t>3ie.2009.Water, Sanitation and Hygiene Interventions to Combat Childhood Diarrhea in Developing Countries.pdf</t>
  </si>
  <si>
    <t>Alderman, Hoddinott, &amp; Kinsey (2006)</t>
  </si>
  <si>
    <t>Alderman, Hoddinott, &amp; Kinsey. 2006.Long term consequences of early childhood malnutrition.pdf</t>
  </si>
  <si>
    <t xml:space="preserve">Bigsten, et al. (2000) </t>
  </si>
  <si>
    <t>Bigsten.2000.Rates of Return on Physical and Human Capital in Africa's Manufacturing Sector.pdf</t>
  </si>
  <si>
    <t>Castro et al. (2010)</t>
  </si>
  <si>
    <t>Castro et al.2010.The Importance of Drains for the Larval Development of Lymphatic Filariasis and Malaria Vectors.pdf</t>
  </si>
  <si>
    <t>CH2MHILL (2011a)</t>
  </si>
  <si>
    <t>Final_Assessment_Report_Submitted 1-2011.pdf</t>
  </si>
  <si>
    <t>CH2MHILL (2011b)</t>
  </si>
  <si>
    <t>Draft Drainage IMP Summary_31 Jan 2011.docx</t>
  </si>
  <si>
    <t>CH2MHILL (2011c)</t>
  </si>
  <si>
    <t>Drainage Investment Plan for Priority Areas in Lusaka, Zambia</t>
  </si>
  <si>
    <t>Gauff Ingenieure (2011a)</t>
  </si>
  <si>
    <t>Lusaka Water Master Plan investment strategy report-summary.pdf</t>
  </si>
  <si>
    <t>Gauff Ingenieure (2011b)</t>
  </si>
  <si>
    <t>Lusaka Water Final Master Plan Report-r1.pdf</t>
  </si>
  <si>
    <t>Gauff Ingenieure (2011c)</t>
  </si>
  <si>
    <t>Preparation of Feasibility Study and (30%) Preliminary Design for Drainage Projects - Lusaka, Zambia</t>
  </si>
  <si>
    <t>Gauff Ingenieure (2011d)</t>
  </si>
  <si>
    <t>Lusaka Water Final Master Plan, Annex 10</t>
  </si>
  <si>
    <t>GKW Consult (2006)</t>
  </si>
  <si>
    <t>Zambia WSPIP Social Assessment Part1.pdf</t>
  </si>
  <si>
    <t>ILO (2010)</t>
  </si>
  <si>
    <t>ILO.2010.Global Wage Report.pdf</t>
  </si>
  <si>
    <t>KRI International Corp. (2009)</t>
  </si>
  <si>
    <t>EIDJR09041 FR ANNEX I.pdf</t>
  </si>
  <si>
    <t>Lusaka City Council (LCC) (2011)</t>
  </si>
  <si>
    <t>Lusaka main Valuation Roll v2.xlsx</t>
  </si>
  <si>
    <t>Manan, Ali, &amp; Lal (2006)</t>
  </si>
  <si>
    <t>Manan, Ali, &amp; Lal.2006.Acute Renal Failure Associated with Malaria.pdf</t>
  </si>
  <si>
    <t>Mathers et al. (2006)</t>
  </si>
  <si>
    <t>Mathers et al (GBD).2006.Burden of Disease and Mortality by Condition.pdf</t>
  </si>
  <si>
    <t>Moraes et al (2003)</t>
  </si>
  <si>
    <t>Moraes et al.2003.Impact of drainage and sewerage on diarrhoea in poor urban areas in Salvador, Brazil.mht</t>
  </si>
  <si>
    <t>Ottesen et al. (2008)</t>
  </si>
  <si>
    <t>Ottesen et al.2008.The Global Programme to Eliminate Lymphatic Filariasis.pdf</t>
  </si>
  <si>
    <t>Pruess-Uestuen et al. (2004)</t>
  </si>
  <si>
    <t>Pruess-Uestuen et al.2004.Unsafe water, sanitation and hygiene.pdf</t>
  </si>
  <si>
    <t>Raballand &amp; Macchi (2009)</t>
  </si>
  <si>
    <t>Raballand.Transport Prices and Costs - The Need to Revisit Donors’ Policies in Transport in Africa.2009.pdf</t>
  </si>
  <si>
    <t>Rosen &amp; Vincent (1999)</t>
  </si>
  <si>
    <t>Rosen &amp; Vincent.1999.Household Water Resources and Rural Productivity in Sub-Saharan Africa.pdf</t>
  </si>
  <si>
    <t>US Army Corps of Engineers (2011)</t>
  </si>
  <si>
    <t>summary_rpt_110201.pdf</t>
  </si>
  <si>
    <t>Sitko et al (2011)</t>
  </si>
  <si>
    <t>Sitko et al.2011.Technical Compendium - Descriptive Agricultural Statistics and Analysis for Zambia.pdf</t>
  </si>
  <si>
    <t>Teshome et al. (2009)</t>
  </si>
  <si>
    <t>Teshome et al.2009.Magnitude and determinants of stunting in children under-.pdf</t>
  </si>
  <si>
    <t>World Bank (2009)</t>
  </si>
  <si>
    <t>WB.PROJECT PAPER.WATER SECTOR PERFORMANCE IMPROVEMENT PROJECT (ADD'L FIN).2009.pdf</t>
  </si>
  <si>
    <t>World Bank (2006)</t>
  </si>
  <si>
    <t>WB.2006.PAD - Water Sector Performance Improvement Project.pdf</t>
  </si>
  <si>
    <t>World Development Indicators (WDI) (2011)</t>
  </si>
  <si>
    <t>Zambia WDI 2011.xlsx</t>
  </si>
  <si>
    <t>WHO (2008a)</t>
  </si>
  <si>
    <t>GBD_report_2004update_full.pdf</t>
  </si>
  <si>
    <t>WHO (2008b)</t>
  </si>
  <si>
    <t>WHO Data for Zambia, 1990-2008.xlsx</t>
  </si>
  <si>
    <t>WHO (2006)</t>
  </si>
  <si>
    <t>WHO.2006.Elimination of Lymphatic Filariasis.pdf</t>
  </si>
  <si>
    <t>WHO (2004a)</t>
  </si>
  <si>
    <t>WHO World Health Report 2004.Annex_4.pdf</t>
  </si>
  <si>
    <t>bodgbddeathdalyestimates.xlsm</t>
  </si>
  <si>
    <t>WHO (2004c)</t>
  </si>
  <si>
    <t>Zambia Vulnerability Assessment Committee (ZVAC) (2010)</t>
  </si>
  <si>
    <t>LUSAKA FLOODS REPORT_MARCH_2010.doc</t>
  </si>
  <si>
    <t>Manda Hills Shopping Centre Traffic Study.pdf</t>
  </si>
  <si>
    <t>PATHOPHYSIOLOGY OF MALARIA.pdf</t>
  </si>
  <si>
    <t>Abbreviations</t>
  </si>
  <si>
    <t>DHMT</t>
  </si>
  <si>
    <t>District Health Management Team</t>
  </si>
  <si>
    <t>PUAs</t>
  </si>
  <si>
    <t>Peri-Urban Areas</t>
  </si>
  <si>
    <t>RHB</t>
  </si>
  <si>
    <t>Reference health beneficiaries</t>
  </si>
  <si>
    <t>Years of life lost</t>
  </si>
  <si>
    <t>diarrhoea</t>
  </si>
  <si>
    <t>WP</t>
  </si>
  <si>
    <t>Water Quality (supply expansion and rehab)</t>
  </si>
  <si>
    <t>Source: WHO (see WHO Life Tables.Zambia.xls)</t>
  </si>
  <si>
    <t>Zambian life expectancy (for DALY calculations)</t>
  </si>
  <si>
    <t>DALY Parameters</t>
  </si>
  <si>
    <t>Discount rate (r)</t>
  </si>
  <si>
    <t>Standard discount rate is 0.03</t>
  </si>
  <si>
    <t>Beta (b)</t>
  </si>
  <si>
    <t>Standard age weights use beta=0.04</t>
  </si>
  <si>
    <t>Constant (C)</t>
  </si>
  <si>
    <t>Standard age weights use C=0.1658</t>
  </si>
  <si>
    <t>Rate</t>
  </si>
  <si>
    <t>Const</t>
  </si>
  <si>
    <t>Age at onset</t>
  </si>
  <si>
    <t>Deaths</t>
  </si>
  <si>
    <t>WOP DALYs</t>
  </si>
  <si>
    <t>The DALY calculation counts two things: years of life lost to premature death as a result of a disease, plus years of life lost due to disability.  Generally, a year spent suffering the ill effects of a disease is considered equivalent to losing some fraction of a year of healthy life.  The WHO has provided estimates of what the fractions should be for different diseases.</t>
  </si>
  <si>
    <t>See "nationalburdenofdiseasemanual.pdf", section 3.7 and chapter 11, found at http://www.who.int/healthinfo/nationalburdenofdiseasemanual.pdf.  See also http://whqlibdoc.who.int/bulletin/1994/Vol72-No3/bulletin_1994_72(3)_429-445.pdf</t>
  </si>
  <si>
    <t>We have various sources for the reduction in disease incidence that result from water projects.  For example, for infectious diarrhea, we use a 3ie report, which says that improvements in water quality (and supply) reduce disease incidence by 44%, and sanitation projects by 37%.  Sources for other diseases will be listed below.</t>
  </si>
  <si>
    <t xml:space="preserve">3ie report says that improvements in water quality (and supply) reduce disease incidence by 44%, and sanitation projects by 37%. See 3ie.2009.Water, Sanitation and Hygiene Interventions to Combat Childhood Diarrhea in Developing Countries.pdf, page 27, found at http://www.dfid.gov.uk/R4D//PDF/Articles/SR_Sanitation.pdf and http://www.bvsde.paho.org/bvsaar/fulltext/drainage.pdf. A Moraes et al study (Impact of drainage and sewerage on diarrhoea in poor urban areas in Salvador, Brazil) claims drainage projects can reduce disease incidence by as much as sanitation projects, 37%.  To avoid over counting where sanitation and drainage overlap, restrict the effect of drainage to 14%, bringing overall effectiveness of project (where sanitation is also being improved) to 95%.  </t>
  </si>
  <si>
    <t>The WHO also recommends weighting different ages differently. "The young, and often the elderly, depend on the rest of society for physical, emotional and financial support." (Murray, 1994 -- see link at right), so the weight on years as "caregivers" should have more weight than years lived as "caretakers" (children and retired). They use the weighting formula C*age*exp(-beta*age), where C=0.1658 and beta=0.04.  We'll adopt this to be comparable with other WHO studies.</t>
  </si>
  <si>
    <t>Notes</t>
  </si>
  <si>
    <t>Colin D. Mathers, Alan D. Lopez, and Christopher J. L. Murray, "The Burden of Disease and Mortality by Condition: Data, Methods, and Results for 2001." 2006. Global Burden of Disease and Risk Factors,ed. , 45-93. New York: Oxford University Press.</t>
  </si>
  <si>
    <t xml:space="preserve">Also Ch. 16 in Ezzati et al. (eds.) Comparative quantification of health risks: Global and Regional Burden of Disease Attributable to Selected Major Risk Factors at http://www.who.int/healthinfo/global_burden_disease/cra/en/. </t>
  </si>
  <si>
    <t>Available at http://www.who.int/whr/2004/annex/topic/en/annex_4_en.pdf.</t>
  </si>
  <si>
    <t>Burden of Disease database at http://www.who.int/entity/healthinfo/statistics/bodgbddeathdalyestimates.xls</t>
  </si>
  <si>
    <t>Secondary</t>
  </si>
  <si>
    <t>Primary</t>
  </si>
  <si>
    <t>Collapsing older age groups into "85+" and breaking out infants less than one year old ("0"):</t>
  </si>
  <si>
    <t>See "modeling instructions" in F19</t>
  </si>
  <si>
    <t>See comment in F108</t>
  </si>
  <si>
    <t>WOP YLLs</t>
  </si>
  <si>
    <t>WOP YLDs</t>
  </si>
  <si>
    <t>Disability Weight</t>
  </si>
  <si>
    <t>Incidence*DW</t>
  </si>
  <si>
    <t>Age Weight/Discount for YLLs</t>
  </si>
  <si>
    <t>Age Weight/Discount for YLDs</t>
  </si>
  <si>
    <t>See "nationalburdenofdiseasemanual.pdf" page 117</t>
  </si>
  <si>
    <t>See "nationalburdenofdiseasemanual.pdf" page 118</t>
  </si>
  <si>
    <t>DALYs by disease:</t>
  </si>
  <si>
    <t>YLLs</t>
  </si>
  <si>
    <t>YLDs</t>
  </si>
  <si>
    <t>DALYs</t>
  </si>
  <si>
    <t>DALYs by project:</t>
  </si>
  <si>
    <t>Water Quality DALYs:</t>
  </si>
  <si>
    <t>Sanitation DALYs:</t>
  </si>
  <si>
    <t>Drainage DALYs:</t>
  </si>
  <si>
    <t>Notes for converting these results into yearly health benefits:</t>
  </si>
  <si>
    <t>Unlike water and sanitation investments, drainage beneficiaries are not infrastructure capacity constrained and will increase with population growth in Bombay, 2.4%</t>
  </si>
  <si>
    <t>Benefits in dollars, by project and disease</t>
  </si>
  <si>
    <t>Year:</t>
  </si>
  <si>
    <t>Water Quality:</t>
  </si>
  <si>
    <t>Opportunity cost of DALY ($/DALY):</t>
  </si>
  <si>
    <t>Total Health Benefits:</t>
  </si>
  <si>
    <t>PDV of Benefits:</t>
  </si>
  <si>
    <t>All health benefits are phased in over 6 years starting with the investment year.  This is an approximation for actual project completion, to be updated in closeout.</t>
  </si>
  <si>
    <t>Benefits phasing, cumulative</t>
  </si>
  <si>
    <t>Cost of DALYs increases with real GDP/capita growth of 2.73%</t>
  </si>
  <si>
    <t>Cost/DALY lost, trended at real GDP per capita</t>
  </si>
  <si>
    <t>Without Project Calculations</t>
  </si>
  <si>
    <t>Water supply, Rehabilitation+Expansion</t>
  </si>
  <si>
    <t>Sanitation, Rehabilitation+Expansion</t>
  </si>
  <si>
    <t>With Project Calculations</t>
  </si>
  <si>
    <t>Net:</t>
  </si>
  <si>
    <t>Old</t>
  </si>
  <si>
    <t>New</t>
  </si>
  <si>
    <t>Difference</t>
  </si>
  <si>
    <t>All cohorts, including discounted benefits after 2031</t>
  </si>
  <si>
    <t>Discounting benefits beyond 2031 back to that year</t>
  </si>
  <si>
    <t>All cohorts</t>
  </si>
  <si>
    <t>Year entering labor force</t>
  </si>
  <si>
    <t>Avoided lost wages</t>
  </si>
  <si>
    <t>Cohort analysis for cases of stunting avoided</t>
  </si>
  <si>
    <t>#</t>
  </si>
  <si>
    <t>No. of cases of stunting avoided (after phasing of benefits)</t>
  </si>
  <si>
    <t>No. of cases of stunting avoided (before phasing of benefits)</t>
  </si>
  <si>
    <t>Cases of stunting due to infectious diarrhea, 0-2 y. of age</t>
  </si>
  <si>
    <t>With Project Calculations (before phasing of benefits)</t>
  </si>
  <si>
    <t>Without Project Calculations (before phasing of benefits)</t>
  </si>
  <si>
    <t>2011 US$/y</t>
  </si>
  <si>
    <t>Average annual urban wage for Lusaka PUAs, trended</t>
  </si>
  <si>
    <t>World Bank (2006:67)</t>
  </si>
  <si>
    <t>Average annual urban wage for Lusaka PUAs, 2011</t>
  </si>
  <si>
    <t>2011 US$/h</t>
  </si>
  <si>
    <t>Average hourly urban wage for Lusaka PUAs, 2011</t>
  </si>
  <si>
    <t>Benefits phasing (assume same as cost phasing, lagged by 1 year)</t>
  </si>
  <si>
    <t>Annual rate of growth of beneficiary group, drainage</t>
  </si>
  <si>
    <t>Annual rate of growth of beneficiary group, water &amp; sanitation</t>
  </si>
  <si>
    <t>Units</t>
  </si>
  <si>
    <t>Compact Implementation</t>
  </si>
  <si>
    <t>% of infectious diarrheal cases resulting in stunting</t>
  </si>
  <si>
    <t>% of full wage</t>
  </si>
  <si>
    <t xml:space="preserve">Delta % = </t>
  </si>
  <si>
    <t>Average age of worker</t>
  </si>
  <si>
    <t>Year in the labor force</t>
  </si>
  <si>
    <t>Sensitivity parameter</t>
  </si>
  <si>
    <t>Wage evolution over working life (% full wage)</t>
  </si>
  <si>
    <t>Scaling factor for wage evolution to reach 99.5% of full wage at year 25</t>
  </si>
  <si>
    <t>b =</t>
  </si>
  <si>
    <t>a =</t>
  </si>
  <si>
    <t>(Wage at Y25)/(Wage at Y1)</t>
  </si>
  <si>
    <t>At Y25, i.e., 25 years after entry into labor force (real wage growth levels off, approximately)</t>
  </si>
  <si>
    <t>At entry into labor force (Y1)</t>
  </si>
  <si>
    <t>Ln(wage)</t>
  </si>
  <si>
    <t>From David Card paper, "Causal effect of Education on Earnings," Handbook of Labor Economics (1999)</t>
  </si>
  <si>
    <t>Average length of working life</t>
  </si>
  <si>
    <t>Average age of retirement</t>
  </si>
  <si>
    <t>Average age of entry into labor force</t>
  </si>
  <si>
    <t>Average age of cohort subject to stunting</t>
  </si>
  <si>
    <t>For simplicity, apply this to every year (phased in appropriately)</t>
  </si>
  <si>
    <t>Delta(% lifetime earnings)</t>
  </si>
  <si>
    <t>Weighted average years of schooling, population</t>
  </si>
  <si>
    <t>Tertiary</t>
  </si>
  <si>
    <t>At assumed means + increments</t>
  </si>
  <si>
    <t>Some tertiary</t>
  </si>
  <si>
    <t>At assumed means</t>
  </si>
  <si>
    <t>Exponents</t>
  </si>
  <si>
    <t>Some secondary</t>
  </si>
  <si>
    <t>Assumed means + increments</t>
  </si>
  <si>
    <t>Some primary</t>
  </si>
  <si>
    <t>Increments due to reduced stunting</t>
  </si>
  <si>
    <t>Average years of schooling by cohort</t>
  </si>
  <si>
    <t>Fraction of population</t>
  </si>
  <si>
    <t>Assumed cohorts (up to …)</t>
  </si>
  <si>
    <t>Assumed means</t>
  </si>
  <si>
    <t>Education2</t>
  </si>
  <si>
    <t>Education</t>
  </si>
  <si>
    <t>Age2</t>
  </si>
  <si>
    <t>Age</t>
  </si>
  <si>
    <t>Variables</t>
  </si>
  <si>
    <t>Betas</t>
  </si>
  <si>
    <t>Schooling duration</t>
  </si>
  <si>
    <t>Net enrolment rate</t>
  </si>
  <si>
    <t>Completion rate</t>
  </si>
  <si>
    <r>
      <rPr>
        <b/>
        <sz val="11"/>
        <color theme="1"/>
        <rFont val="Calibri"/>
        <family val="2"/>
        <scheme val="minor"/>
      </rPr>
      <t>Zambian</t>
    </r>
    <r>
      <rPr>
        <sz val="11"/>
        <color theme="1"/>
        <rFont val="Calibri"/>
        <family val="2"/>
        <scheme val="minor"/>
      </rPr>
      <t xml:space="preserve"> example using modified Alderman, Hoddinott, &amp; Kinsey (2006:21) data and Bigsten, et al. (2000: Table 5, p. 809) data</t>
    </r>
  </si>
  <si>
    <t>Zimbabwean context (civil war, rural areas)</t>
  </si>
  <si>
    <t>Developed country counterfactual</t>
  </si>
  <si>
    <r>
      <rPr>
        <i/>
        <sz val="11"/>
        <color theme="1"/>
        <rFont val="Calibri"/>
        <family val="2"/>
        <scheme val="minor"/>
      </rPr>
      <t>Adjustment factors</t>
    </r>
    <r>
      <rPr>
        <sz val="11"/>
        <color theme="1"/>
        <rFont val="Calibri"/>
        <family val="2"/>
        <scheme val="minor"/>
      </rPr>
      <t xml:space="preserve"> to variables in Alderman, Hoddinott, &amp; Kinsey (2006)'s Zimbabwe example above to account for:</t>
    </r>
  </si>
  <si>
    <r>
      <rPr>
        <b/>
        <sz val="11"/>
        <color theme="1"/>
        <rFont val="Calibri"/>
        <family val="2"/>
        <scheme val="minor"/>
      </rPr>
      <t>Zimbabwe</t>
    </r>
    <r>
      <rPr>
        <sz val="11"/>
        <color theme="1"/>
        <rFont val="Calibri"/>
        <family val="2"/>
        <scheme val="minor"/>
      </rPr>
      <t xml:space="preserve"> example in Alderman, Hoddinott, &amp; Kinsey (2006:21) and Bigsten et al. (2000: Table 5, p. 809)</t>
    </r>
  </si>
  <si>
    <t>ERR OVERVIEW</t>
  </si>
  <si>
    <t>Health Benefits - Stunting</t>
  </si>
  <si>
    <t>Population growth rates</t>
  </si>
  <si>
    <t>2011-2020</t>
  </si>
  <si>
    <t>2021-2031</t>
  </si>
  <si>
    <t>2032-</t>
  </si>
  <si>
    <t>Phasing of infrastructure costs:</t>
  </si>
  <si>
    <t>Compact year</t>
  </si>
  <si>
    <t>Capital cost fraction (%)</t>
  </si>
  <si>
    <t>Exchange rate</t>
  </si>
  <si>
    <t xml:space="preserve">ZMK/USD, </t>
  </si>
  <si>
    <t>?</t>
  </si>
  <si>
    <t>Part of Kabwata area</t>
  </si>
  <si>
    <t>Woodlands Extension</t>
  </si>
  <si>
    <t>Woodlands</t>
  </si>
  <si>
    <t>Villa Elizabetha</t>
  </si>
  <si>
    <t>Town/Kabelenga</t>
  </si>
  <si>
    <t>Thorn Park</t>
  </si>
  <si>
    <t>State House</t>
  </si>
  <si>
    <t>Sikanze</t>
  </si>
  <si>
    <t>Shakespear</t>
  </si>
  <si>
    <t>Rhodes Park</t>
  </si>
  <si>
    <t>Prospect Hill</t>
  </si>
  <si>
    <t>Nyumba Yanga</t>
  </si>
  <si>
    <t>Northmead</t>
  </si>
  <si>
    <t>New Woodlands Extension</t>
  </si>
  <si>
    <t>New Kabwata</t>
  </si>
  <si>
    <t>New Chilenje</t>
  </si>
  <si>
    <t>Misisi</t>
  </si>
  <si>
    <t>Marrapodi</t>
  </si>
  <si>
    <t>Luburma</t>
  </si>
  <si>
    <t>Libala South</t>
  </si>
  <si>
    <t>Kabwata Estates</t>
  </si>
  <si>
    <t>Jack Compound</t>
  </si>
  <si>
    <t>Industries</t>
  </si>
  <si>
    <t>Government</t>
  </si>
  <si>
    <t>Garden</t>
  </si>
  <si>
    <t>Farm 1080</t>
  </si>
  <si>
    <t>Farm 917</t>
  </si>
  <si>
    <t>Fairview</t>
  </si>
  <si>
    <t>Emmasdale/Bank House</t>
  </si>
  <si>
    <t>Emmasdale</t>
  </si>
  <si>
    <t>Chilenje South</t>
  </si>
  <si>
    <t>Chibata</t>
  </si>
  <si>
    <t>Chandamali</t>
  </si>
  <si>
    <t>Name</t>
  </si>
  <si>
    <t>Number</t>
  </si>
  <si>
    <t>Frac. of DMA incl. in catchment (nearest 5%)</t>
  </si>
  <si>
    <t>Frac. of ward incl. in catchment (nearest 5%)</t>
  </si>
  <si>
    <t>Bombay project</t>
  </si>
  <si>
    <t>Part of Lumumba area</t>
  </si>
  <si>
    <t>Part of Kafue district</t>
  </si>
  <si>
    <t>New Kamwala</t>
  </si>
  <si>
    <t>John Laing</t>
  </si>
  <si>
    <t>John Howard</t>
  </si>
  <si>
    <t>Chibolya</t>
  </si>
  <si>
    <t>Chawama/Kuomboka</t>
  </si>
  <si>
    <t>Kanyama project</t>
  </si>
  <si>
    <t>Expected avoided loss in value added</t>
  </si>
  <si>
    <t>Chilulu</t>
  </si>
  <si>
    <t>Garden West</t>
  </si>
  <si>
    <t>Katima Mulilo Road</t>
  </si>
  <si>
    <t>Bombay project - Total</t>
  </si>
  <si>
    <t>Chawama N., Central &amp; Kamwala S. 2</t>
  </si>
  <si>
    <t>Misisi &amp; Kamwala S. 1</t>
  </si>
  <si>
    <t>Kanyama project - Total</t>
  </si>
  <si>
    <t>Expected avoided property damage</t>
  </si>
  <si>
    <t># of people</t>
  </si>
  <si>
    <t xml:space="preserve">Bombay CAGR = </t>
  </si>
  <si>
    <t xml:space="preserve">Kanyama CAGR = </t>
  </si>
  <si>
    <t># of HH</t>
  </si>
  <si>
    <r>
      <t xml:space="preserve">Numbers of </t>
    </r>
    <r>
      <rPr>
        <b/>
        <sz val="11"/>
        <color theme="1"/>
        <rFont val="Calibri"/>
        <family val="2"/>
        <scheme val="minor"/>
      </rPr>
      <t>resident beneficiaries, trended</t>
    </r>
  </si>
  <si>
    <t>Benefits detail by year</t>
  </si>
  <si>
    <t>2013-32</t>
  </si>
  <si>
    <t>Expected avoided loss in value added (if project were already implemented)</t>
  </si>
  <si>
    <t>MCC assumption</t>
  </si>
  <si>
    <t>number</t>
  </si>
  <si>
    <t>Bombay areas other than Kabwata</t>
  </si>
  <si>
    <t>(Weighted average)</t>
  </si>
  <si>
    <t>Relative concentration of value added</t>
  </si>
  <si>
    <t>Total value added, population of firms in Lusaka</t>
  </si>
  <si>
    <t>2006 ZMK/y</t>
  </si>
  <si>
    <t>Flood areas as fraction of Lusaka area</t>
  </si>
  <si>
    <r>
      <t>m</t>
    </r>
    <r>
      <rPr>
        <vertAlign val="superscript"/>
        <sz val="11"/>
        <color theme="1"/>
        <rFont val="Calibri"/>
        <family val="2"/>
        <scheme val="minor"/>
      </rPr>
      <t>2</t>
    </r>
  </si>
  <si>
    <t>Area of Lusaka city (all wards)</t>
  </si>
  <si>
    <t>MCC assumption - Accounts for displacement of activity over space and time</t>
  </si>
  <si>
    <t>Share of business activity actually lost rather than displaced</t>
  </si>
  <si>
    <t>Avoided loss in value added</t>
  </si>
  <si>
    <t>MCC assumption (valuation methodology is unknown, and hence relationship to market values is unclear)</t>
  </si>
  <si>
    <t>Income benefit as a fraction of property valuation</t>
  </si>
  <si>
    <t>(Fraction of houses completely damaged in a 5 y flood)
/(Fraction of houses completely damaged in a 20 y flood)</t>
  </si>
  <si>
    <t>(Fraction of houses completely damaged in a &lt; 5 y flood)
/(Fraction of houses completely damaged in a 20 y flood)</t>
  </si>
  <si>
    <t>(Fraction of houses partly damaged in a 5 y flood)
/(Fraction of houses partly damaged in a 20 y flood)</t>
  </si>
  <si>
    <t>(Fraction of houses partly damaged in a &lt; 5 y flood)
/(Fraction of houses partly damaged in a 20 y flood)</t>
  </si>
  <si>
    <t>Extent of flood damage relative to 20 y flood</t>
  </si>
  <si>
    <t>Completely damaged</t>
  </si>
  <si>
    <t>Partly damaged</t>
  </si>
  <si>
    <t>Fraction of property value lost as a function of damage level</t>
  </si>
  <si>
    <t>Property damage</t>
  </si>
  <si>
    <t>MCC assumption (relatively small since easier to avoid flooding when not in vehicle)</t>
  </si>
  <si>
    <t>Non-motorized travel time saved as % of motorized travel time</t>
  </si>
  <si>
    <t>d</t>
  </si>
  <si>
    <t>Commuting days per week</t>
  </si>
  <si>
    <t>Travel time</t>
  </si>
  <si>
    <t>Number of active wage earners per HH</t>
  </si>
  <si>
    <t>Fraction of labor force participants who are active wage earners</t>
  </si>
  <si>
    <t>Labor force participation rate for those aged 15+</t>
  </si>
  <si>
    <t xml:space="preserve">Fraction of people in the population aged 15+ </t>
  </si>
  <si>
    <t>Average household size</t>
  </si>
  <si>
    <t xml:space="preserve">Average annual wage for a high-wage earner in Lusaka </t>
  </si>
  <si>
    <t>Ratio of wage earned by high wage earners to urban wage for a Lusaka PUA resident</t>
  </si>
  <si>
    <t>Annual wage-based opportunity cost for a Lusaka PUA resident, 2011</t>
  </si>
  <si>
    <t>MCC estimate based on World Bank (2006:67)</t>
  </si>
  <si>
    <t>Opportunity cost as a fraction of urban wage for a Lusaka PUA resident</t>
  </si>
  <si>
    <t>Labor market</t>
  </si>
  <si>
    <t>Even with population and income growth, this is such a low base of drowning victims (not yet the WP-WOP increment) that a benefit for avoided drowning will be negligible</t>
  </si>
  <si>
    <t>MCC estimate; assume proportional to # beneficiaries as fraction of population, plus 25% since targeting the worst-affected areas</t>
  </si>
  <si>
    <t>Number of these in project areas, 2010</t>
  </si>
  <si>
    <t>CH2MHILL (2011c:xxi).  Assume that this figure applies to every flood year and grow in proportion to beneficiary population</t>
  </si>
  <si>
    <t>Number of people who died due to flooding or drowning in flood year 2009-10</t>
  </si>
  <si>
    <t>Health</t>
  </si>
  <si>
    <t>CIA World Factbook (2009), updated to 2011</t>
  </si>
  <si>
    <t>Lusaka city population</t>
  </si>
  <si>
    <t>Lusaka District population, 2010</t>
  </si>
  <si>
    <t>Household size</t>
  </si>
  <si>
    <t>(There is no comparable discount for Bombay project beneficiaries)</t>
  </si>
  <si>
    <t>Applies to half of John Laing, Misisi, Kamwala S. 1 &amp; 2, Chawama N., and Central</t>
  </si>
  <si>
    <t>Assumes "No quarry pumping, no main, secondary drains"</t>
  </si>
  <si>
    <t>Resident beneficiaries, as a function of project scope</t>
  </si>
  <si>
    <t>General</t>
  </si>
  <si>
    <t>Values</t>
  </si>
  <si>
    <t>Unit</t>
  </si>
  <si>
    <t>PARAMETERS</t>
  </si>
  <si>
    <t>NA</t>
  </si>
  <si>
    <t>(Not needed for Kanyama)</t>
  </si>
  <si>
    <t>Flooded area</t>
  </si>
  <si>
    <t>Other statistics</t>
  </si>
  <si>
    <t>Fraction of livelihoods (income) affected during flood</t>
  </si>
  <si>
    <t>Avoided disruption to business activity</t>
  </si>
  <si>
    <t>Fraction of houses completely damaged</t>
  </si>
  <si>
    <t>Fraction of houses partly damaged</t>
  </si>
  <si>
    <t>Extent of damage for 20 y flood</t>
  </si>
  <si>
    <r>
      <t xml:space="preserve">Use median values only for "Residential" use in populating the drainage project impact matrix, since it is for </t>
    </r>
    <r>
      <rPr>
        <b/>
        <i/>
        <sz val="11"/>
        <color theme="1"/>
        <rFont val="Calibri"/>
        <family val="2"/>
        <scheme val="minor"/>
      </rPr>
      <t>households</t>
    </r>
    <r>
      <rPr>
        <i/>
        <sz val="11"/>
        <color theme="1"/>
        <rFont val="Calibri"/>
        <family val="2"/>
        <scheme val="minor"/>
      </rPr>
      <t xml:space="preserve"> that we have specific beneficiary information</t>
    </r>
  </si>
  <si>
    <t>Residential</t>
  </si>
  <si>
    <t>Institutional</t>
  </si>
  <si>
    <t>Industrial</t>
  </si>
  <si>
    <t>Commercial</t>
  </si>
  <si>
    <t>Agricultural</t>
  </si>
  <si>
    <t>Area-weighted median property improvement values by type of use</t>
  </si>
  <si>
    <t>Median property improvement values for this area by type of use</t>
  </si>
  <si>
    <t>Kamwala/Kabwata/Libala</t>
  </si>
  <si>
    <t>Valuation area</t>
  </si>
  <si>
    <t>Valuation area code</t>
  </si>
  <si>
    <t>Estimated fractions of priority area covered by each Valuation area</t>
  </si>
  <si>
    <t>Chilenje South /New Areas</t>
  </si>
  <si>
    <t>Kuomboka /Chawama</t>
  </si>
  <si>
    <t>Heavy Industrial</t>
  </si>
  <si>
    <r>
      <t xml:space="preserve">TOTAL </t>
    </r>
    <r>
      <rPr>
        <i/>
        <sz val="11"/>
        <color theme="1"/>
        <rFont val="Calibri"/>
        <family val="2"/>
        <scheme val="minor"/>
      </rPr>
      <t>without</t>
    </r>
    <r>
      <rPr>
        <sz val="11"/>
        <color theme="1"/>
        <rFont val="Calibri"/>
        <family val="2"/>
        <scheme val="minor"/>
      </rPr>
      <t xml:space="preserve"> Kabwata</t>
    </r>
  </si>
  <si>
    <t>Total non-resident beneficiaries:</t>
  </si>
  <si>
    <t>Weighted average</t>
  </si>
  <si>
    <t>Skilled</t>
  </si>
  <si>
    <t>Unskilled</t>
  </si>
  <si>
    <t>Benefits/worker, by class</t>
  </si>
  <si>
    <t>Number of workers</t>
  </si>
  <si>
    <t>See wks "BA data."  A summary follows:</t>
  </si>
  <si>
    <t>Local labor</t>
  </si>
  <si>
    <t>business owners.</t>
  </si>
  <si>
    <t xml:space="preserve">owners per business, making a total of </t>
  </si>
  <si>
    <t xml:space="preserve">average of </t>
  </si>
  <si>
    <t xml:space="preserve">Assume that these are mostly sole proprietorships, and assume an </t>
  </si>
  <si>
    <t>businesses.</t>
  </si>
  <si>
    <t>residents.  This makes</t>
  </si>
  <si>
    <t xml:space="preserve">Assume that Bombay has one business for every </t>
  </si>
  <si>
    <t>people (2032)</t>
  </si>
  <si>
    <t xml:space="preserve">See separate file.  Estimate: </t>
  </si>
  <si>
    <t>Only local labor for Kanyama</t>
  </si>
  <si>
    <t>Non-resident beneficiaries (2032)</t>
  </si>
  <si>
    <t>Average per capita income by area</t>
  </si>
  <si>
    <t>Rate of population growth (residents), 2010-2030</t>
  </si>
  <si>
    <t>Numbers of resident beneficiaries, 2030</t>
  </si>
  <si>
    <t>Numbers of resident beneficiaries, 2010-11</t>
  </si>
  <si>
    <t>Numbers of resident beneficiary households (HH), 2030</t>
  </si>
  <si>
    <t>Numbers of resident beneficiary households (HH), 2010-11</t>
  </si>
  <si>
    <t>Gauff Ingenieure (2011c:2-53, 2-54), Tables 2-13, 2-14.</t>
  </si>
  <si>
    <t>Resident beneficiaries (2032)</t>
  </si>
  <si>
    <t>Estimated fractions of priority area covered by each DMA</t>
  </si>
  <si>
    <t>Chawama / Kuomboka</t>
  </si>
  <si>
    <t>Constituent DMAs and their relation to Priority Areas</t>
  </si>
  <si>
    <t>Population Density</t>
  </si>
  <si>
    <t>Approximate flood area</t>
  </si>
  <si>
    <t xml:space="preserve">             Priority Areas
      Unit</t>
  </si>
  <si>
    <t>Project priority areas - Beneficiaries and other characteristics</t>
  </si>
  <si>
    <t>Non-residents</t>
  </si>
  <si>
    <t>Non-residents, in the case of Bombay</t>
  </si>
  <si>
    <t>Residents</t>
  </si>
  <si>
    <t>Varies over time</t>
  </si>
  <si>
    <t>Avoided fraction of property value lost per HH, by flood scenario</t>
  </si>
  <si>
    <t>See wks "Travel time analysis v2.xlsx."</t>
  </si>
  <si>
    <t>See wks "Health--Tot" and "Health--Stunting," and ancillary file, "ERR.Daly Calculations.xlsm."</t>
  </si>
  <si>
    <t>Duration (fraction of year flooded, by scenario)</t>
  </si>
  <si>
    <t>Probability</t>
  </si>
  <si>
    <t>20 y 
Flood</t>
  </si>
  <si>
    <t>5 y 
Flood</t>
  </si>
  <si>
    <t>&lt;5 y 
Flood</t>
  </si>
  <si>
    <t>No flood</t>
  </si>
  <si>
    <t>Impact variable</t>
  </si>
  <si>
    <t>Impact pathway</t>
  </si>
  <si>
    <t>Impact WP vs. WOP, by flood scenario</t>
  </si>
  <si>
    <t>See wks "Local labor."</t>
  </si>
  <si>
    <t>Residents, in the case of Kanyama project.  Assume share of annual income lost is proportional to duration of flood (via a proportionality factor - see parameters)</t>
  </si>
  <si>
    <t>Fraction of annual  income loss avoided for affected workers</t>
  </si>
  <si>
    <t>Weeks flooded based on Gauff Ingenieure (2011c:2-3)</t>
  </si>
  <si>
    <t>Break down by beneficiaries?</t>
  </si>
  <si>
    <t>Expected annual impact</t>
  </si>
  <si>
    <t>No. of beneficiaries</t>
  </si>
  <si>
    <t>Drainage project impact matrix</t>
  </si>
  <si>
    <t>ERR CALCULATIONS (Benefits phasing not applied from this line &amp; below)</t>
  </si>
  <si>
    <t>DRAINAGE NET BENEFIT</t>
  </si>
  <si>
    <t>DRAINAGE COST</t>
  </si>
  <si>
    <t>2011 US$ (million)</t>
  </si>
  <si>
    <t>Expected savings in travel time (Bombay only)</t>
  </si>
  <si>
    <t>Expected health benefits</t>
  </si>
  <si>
    <t>Total Income Gain from Improved Drainage</t>
  </si>
  <si>
    <t>(US$ 000,000)</t>
  </si>
  <si>
    <t xml:space="preserve">DRAINAGE ERR = </t>
  </si>
  <si>
    <t>Switchboard - Drainage activities</t>
  </si>
  <si>
    <t>Benefits of Improved Drainage</t>
  </si>
  <si>
    <t>Manchinchi</t>
  </si>
  <si>
    <t>Sewershed expansions &amp; upgrades (S)</t>
  </si>
  <si>
    <t>Ls2 (Central - W)</t>
  </si>
  <si>
    <t>Ls6 (Lumumba - W)</t>
  </si>
  <si>
    <t>Chelston &amp; Kaunda Sq. (S)</t>
  </si>
  <si>
    <t>Ls3 (Chelston - W)</t>
  </si>
  <si>
    <t>Core water network (Lp1, Lp6, Ls1 - NRW)</t>
  </si>
  <si>
    <t>Level of non-revenue water reduction achieved by Compact Y5</t>
  </si>
  <si>
    <t>"1" = Include / "0" = Exclude in costs (Base case = "0")</t>
  </si>
  <si>
    <t>Drainage Master Plan</t>
  </si>
  <si>
    <t>Value of non-revenue water reduction</t>
  </si>
  <si>
    <t>Innovation Fund</t>
  </si>
  <si>
    <t>Round-trip travel time to water source</t>
  </si>
  <si>
    <t>Switchboard - Other activities</t>
  </si>
  <si>
    <t>Time lost per vehicle affected by flooding event in Bombay Drain catchment</t>
  </si>
  <si>
    <t>Percentage of infectious diarrheal disease cases that result in stunting</t>
  </si>
  <si>
    <t>Impact of drainage investments on malaria incidence</t>
  </si>
  <si>
    <t>Delta</t>
  </si>
  <si>
    <t>Overall NPV</t>
  </si>
  <si>
    <t>Impact of water supply investments on diarrheal disease incidence for people 0-14 years of age</t>
  </si>
  <si>
    <t>Average hourly urban wage in the peri-urban areas</t>
  </si>
  <si>
    <t>If "Sewershed expansions &amp; upgrades" selected, enter "1" for one or more of the following:</t>
  </si>
  <si>
    <t>Sensitivity analysis monitor (to ensure parameters are at Base Case values)</t>
  </si>
  <si>
    <t>Component NPV</t>
  </si>
  <si>
    <t>(Opt. 1 = smaller Chunga Matero; Opt. 3 = larger Chunga Matero)</t>
  </si>
  <si>
    <t>(1 = Yes; 0 = No)</t>
  </si>
  <si>
    <t>Smaller Chunga Matero option?</t>
  </si>
  <si>
    <t>Chunga/Matero (S)</t>
  </si>
  <si>
    <t>Assumed cost savings fraction</t>
  </si>
  <si>
    <t>Option of 4 Jan</t>
  </si>
  <si>
    <t>Option 1</t>
  </si>
  <si>
    <t>Switchboard - Water &amp; Sanitation activities (W = Water; S = Sanitation; NRW = Non-revenue water)</t>
  </si>
  <si>
    <t>Estimated Net Benefits</t>
  </si>
  <si>
    <t>Real Project Costs</t>
  </si>
  <si>
    <t>Projected Income Benefits</t>
  </si>
  <si>
    <t>(US$ million)</t>
  </si>
  <si>
    <t>Present Value</t>
  </si>
  <si>
    <t>ERR =</t>
  </si>
  <si>
    <t>Zambia Compact</t>
  </si>
  <si>
    <t>Assumption, for conservatism</t>
  </si>
  <si>
    <t>Assumes 24 working days per month (5.5-day weeks) and 8h/working day</t>
  </si>
  <si>
    <t>Inflation factors based on Zambian CPI</t>
  </si>
  <si>
    <t>(Use to bring past data up to 2011 figures)</t>
  </si>
  <si>
    <t>CPI</t>
  </si>
  <si>
    <t>% change in CPI</t>
  </si>
  <si>
    <t>Growth in GDPpc</t>
  </si>
  <si>
    <t>Index for GDPpc</t>
  </si>
  <si>
    <t>rGDP (constant ZMK)</t>
  </si>
  <si>
    <t>YOY Growth in rGDP</t>
  </si>
  <si>
    <t>Population</t>
  </si>
  <si>
    <t>CAGR, 2000-09:</t>
  </si>
  <si>
    <t>Through 2009: Zambia WDI 2011.xlsx 2010-2031 (forecast): Computed from col at right</t>
  </si>
  <si>
    <t>Through 2009: Computed from Zambia WDI 2011.xlsx (col at left) 2010-2012 (forecasts): IMF.Article IV Consultation.Jan 2010.pdf, p. 23 (Tab. 1). 2013-2031: Assumed equal to 2012 forecast.</t>
  </si>
  <si>
    <t>Index for GDPpc (2005=100)</t>
  </si>
  <si>
    <t>YOY Growth in rGDP (Zambia WDI 2011.xlsx)</t>
  </si>
  <si>
    <t>Take half of # children 0-4, trended by pop growth</t>
  </si>
  <si>
    <t>These are children 0-2 years old</t>
  </si>
  <si>
    <t xml:space="preserve">Growth in density rather than on the extensive margin is  likely to be the overwhelming effect, since these growth rates were projected based on the historical record specifically for the Lusaka PUAs. </t>
  </si>
  <si>
    <t>Discount rate for DALY computations =</t>
  </si>
  <si>
    <t>See http://www.sacmeq.org/education-zambia.htm, Zambia WDI 2011.xlsx</t>
  </si>
  <si>
    <t>Assumed</t>
  </si>
  <si>
    <t>Assumed 40% of enrolled students complete.</t>
  </si>
  <si>
    <t>assumed</t>
  </si>
  <si>
    <t>Kalikiliki</t>
  </si>
  <si>
    <t>N´gombe</t>
  </si>
  <si>
    <t>Kamanga</t>
  </si>
  <si>
    <t>Kabanana</t>
  </si>
  <si>
    <t>Jahn Laing</t>
  </si>
  <si>
    <t>Jack compound</t>
  </si>
  <si>
    <t>Chunga</t>
  </si>
  <si>
    <t>Chainama/Munali</t>
  </si>
  <si>
    <t>Compact years 0-5</t>
  </si>
  <si>
    <t>Expected Avoided Loss in Value Added (drainage)</t>
  </si>
  <si>
    <t>Expected Avoided Property Damage Benefits (drainage)</t>
  </si>
  <si>
    <t>5)</t>
  </si>
  <si>
    <t>4)</t>
  </si>
  <si>
    <t>TOTAL NRW Related Income Benefits</t>
  </si>
  <si>
    <t>3)</t>
  </si>
  <si>
    <t>TOTAL Time Savings Related Income Benefits, Compact years 0-5</t>
  </si>
  <si>
    <t>Time savings benefits, Drainage</t>
  </si>
  <si>
    <t>Time savings benefits, Water Rehab+Exp</t>
  </si>
  <si>
    <t>TOTAL Time Savings Related Income Benefits</t>
  </si>
  <si>
    <t>2)</t>
  </si>
  <si>
    <t>Health benefits, Drainage</t>
  </si>
  <si>
    <t>Health benefits, Sanitation Rehab+Exp</t>
  </si>
  <si>
    <t>Health benefits, Water Rehab+Exp</t>
  </si>
  <si>
    <t>TOTAL Health Related Income Benefits</t>
  </si>
  <si>
    <t>1)</t>
  </si>
  <si>
    <t>Benefits by Benefit Stream</t>
  </si>
  <si>
    <t>Total benefits</t>
  </si>
  <si>
    <t>Calendar Year</t>
  </si>
  <si>
    <t xml:space="preserve">Compact Implementation </t>
  </si>
  <si>
    <t>PV of Benefits</t>
  </si>
  <si>
    <t>Projected Income Benefits Overview</t>
  </si>
  <si>
    <t>Water &amp; Sanitation Model</t>
  </si>
  <si>
    <t>Old number:</t>
  </si>
  <si>
    <t>HH</t>
  </si>
  <si>
    <t>c</t>
  </si>
  <si>
    <t>a</t>
  </si>
  <si>
    <t>Expansion, of which</t>
  </si>
  <si>
    <t>e</t>
  </si>
  <si>
    <t>b</t>
  </si>
  <si>
    <t>Rehabilitation, of which</t>
  </si>
  <si>
    <t>Total no. of beneficiary HH by specific types of intervention, of which</t>
  </si>
  <si>
    <t>Opportunity cost per hour spent gathering water, trended at growth in real GDP per capita</t>
  </si>
  <si>
    <t>Annual rate of growth of beneficiary group</t>
  </si>
  <si>
    <t xml:space="preserve">Year </t>
  </si>
  <si>
    <t>Source: FS consultants</t>
  </si>
  <si>
    <t>people/HH</t>
  </si>
  <si>
    <t>Average HH size</t>
  </si>
  <si>
    <r>
      <t>(m</t>
    </r>
    <r>
      <rPr>
        <vertAlign val="superscript"/>
        <sz val="11"/>
        <color theme="1"/>
        <rFont val="Calibri"/>
        <family val="2"/>
        <scheme val="minor"/>
      </rPr>
      <t>3</t>
    </r>
    <r>
      <rPr>
        <sz val="11"/>
        <color theme="1"/>
        <rFont val="Calibri"/>
        <family val="2"/>
        <scheme val="minor"/>
      </rPr>
      <t>/y)</t>
    </r>
  </si>
  <si>
    <t>(l/person/day)</t>
  </si>
  <si>
    <t>(# people)</t>
  </si>
  <si>
    <t>Ls2</t>
  </si>
  <si>
    <t>Ls6</t>
  </si>
  <si>
    <t>Ls3</t>
  </si>
  <si>
    <t>NRW</t>
  </si>
  <si>
    <t>consumption</t>
  </si>
  <si>
    <t>beneficiaries</t>
  </si>
  <si>
    <t>Core</t>
  </si>
  <si>
    <t>Beneficiaries (people), 2010</t>
  </si>
  <si>
    <t>Incremental</t>
  </si>
  <si>
    <t>Given projects selected in "Switchboard" on wks "Benefit attribution," numbers of beneficiaries by type of intervention are as follows:</t>
  </si>
  <si>
    <r>
      <t xml:space="preserve">- have their water supply system </t>
    </r>
    <r>
      <rPr>
        <i/>
        <sz val="11"/>
        <color theme="1"/>
        <rFont val="Calibri"/>
        <family val="2"/>
        <scheme val="minor"/>
      </rPr>
      <t>rehabilitated</t>
    </r>
    <r>
      <rPr>
        <sz val="11"/>
        <color theme="1"/>
        <rFont val="Calibri"/>
        <family val="2"/>
        <scheme val="minor"/>
      </rPr>
      <t xml:space="preserve"> (holding level of service constant).</t>
    </r>
  </si>
  <si>
    <r>
      <t xml:space="preserve">- have their </t>
    </r>
    <r>
      <rPr>
        <i/>
        <sz val="11"/>
        <color theme="1"/>
        <rFont val="Calibri"/>
        <family val="2"/>
        <scheme val="minor"/>
      </rPr>
      <t>level of service improved</t>
    </r>
    <r>
      <rPr>
        <sz val="11"/>
        <color theme="1"/>
        <rFont val="Calibri"/>
        <family val="2"/>
        <scheme val="minor"/>
      </rPr>
      <t>, or</t>
    </r>
  </si>
  <si>
    <t>The "flows" a - e above denote numbers of people who either</t>
  </si>
  <si>
    <t>K</t>
  </si>
  <si>
    <t>N</t>
  </si>
  <si>
    <t>WOP</t>
  </si>
  <si>
    <t>Sum</t>
  </si>
  <si>
    <t>"Transition probabilities"</t>
  </si>
  <si>
    <t>Sum =</t>
  </si>
  <si>
    <t>Household connections</t>
  </si>
  <si>
    <t>e =</t>
  </si>
  <si>
    <t>d =</t>
  </si>
  <si>
    <t>c =</t>
  </si>
  <si>
    <t>Kiosk connections</t>
  </si>
  <si>
    <t>No service</t>
  </si>
  <si>
    <t>Expansion Interventions</t>
  </si>
  <si>
    <t>Rehabilitation Interventions</t>
  </si>
  <si>
    <t>All Interventions</t>
  </si>
  <si>
    <t xml:space="preserve">Key:     </t>
  </si>
  <si>
    <t>For Ls2:</t>
  </si>
  <si>
    <t>For each subproject, consider impact on people's level of service:</t>
  </si>
  <si>
    <t>For Ls6:</t>
  </si>
  <si>
    <t>For Ls3:</t>
  </si>
  <si>
    <t>For NRW (base NRW analysis on Ls3 below):</t>
  </si>
  <si>
    <t>Assumed for "Household connection (WP)"</t>
  </si>
  <si>
    <t>h/HH/y</t>
  </si>
  <si>
    <t>Average time spent fetching water/HH/y, WP</t>
  </si>
  <si>
    <t>Average time spent fetching water/HH/y, WOP</t>
  </si>
  <si>
    <t>Interpolations/estimations from above</t>
  </si>
  <si>
    <t>Assume that this corresponds to "Kiosk connection (WP)"</t>
  </si>
  <si>
    <t>Assume that this corresponds to "No service (WOP)"</t>
  </si>
  <si>
    <t>World Bank (2006:69, Table 8)</t>
  </si>
  <si>
    <t>min</t>
  </si>
  <si>
    <t>Average time to fill a 20-liter container</t>
  </si>
  <si>
    <t>World Bank (2006:69)</t>
  </si>
  <si>
    <t>Average round trip travel time to water source, WP</t>
  </si>
  <si>
    <t>Average round trip travel time to water source, WOP</t>
  </si>
  <si>
    <t>containers/person</t>
  </si>
  <si>
    <t>Number of 20-liter containers carried per person for a HH</t>
  </si>
  <si>
    <t>containers/HH/d</t>
  </si>
  <si>
    <t>Average number of 20-liter containers fetched/HH/d</t>
  </si>
  <si>
    <t>Opportunity cost per hour spent gathering water</t>
  </si>
  <si>
    <t>Value</t>
  </si>
  <si>
    <t>Parameter</t>
  </si>
  <si>
    <t>Total With Project Value of Time Spent Gathering Water</t>
  </si>
  <si>
    <t>Hourly Value of Time</t>
  </si>
  <si>
    <t>h (million)</t>
  </si>
  <si>
    <t>Total Number of Hours Spent Gathering Water</t>
  </si>
  <si>
    <t>Total Without Project Value of Time Spent Gathering Water</t>
  </si>
  <si>
    <t>Hourly Value of Time (2011 US$/h)</t>
  </si>
  <si>
    <t>Total Income Gain from Time Savings</t>
  </si>
  <si>
    <t>NPV</t>
  </si>
  <si>
    <t>(See lines 83ff for key to letter codes (a-e) for interventions)</t>
  </si>
  <si>
    <t>Time Savings Benefits (related to water supply)</t>
  </si>
  <si>
    <r>
      <t>2011 US$/m</t>
    </r>
    <r>
      <rPr>
        <vertAlign val="superscript"/>
        <sz val="11"/>
        <color theme="1"/>
        <rFont val="Calibri"/>
        <family val="2"/>
        <scheme val="minor"/>
      </rPr>
      <t>3</t>
    </r>
  </si>
  <si>
    <t>Price as invoiced, weighted average</t>
  </si>
  <si>
    <t>Price as invoiced, domestic unmetered consumption (kiosks)</t>
  </si>
  <si>
    <t>Price as invoiced, domestic metered consumption (HH connections)</t>
  </si>
  <si>
    <r>
      <t>2009 ZMK/m</t>
    </r>
    <r>
      <rPr>
        <vertAlign val="superscript"/>
        <sz val="11"/>
        <color theme="1"/>
        <rFont val="Calibri"/>
        <family val="2"/>
        <scheme val="minor"/>
      </rPr>
      <t>3</t>
    </r>
  </si>
  <si>
    <t>Average variable cost of water production</t>
  </si>
  <si>
    <t>Total served with kiosk connections, WP</t>
  </si>
  <si>
    <t>Total served with household connections, WP</t>
  </si>
  <si>
    <t>Fraction of NRW expected to be non-physical losses</t>
  </si>
  <si>
    <t>Parameters</t>
  </si>
  <si>
    <t>m3/y</t>
  </si>
  <si>
    <t>Incremental water consumption accounted for in time and health benefits</t>
  </si>
  <si>
    <t>Total Available for supply to customers (accounting for total losses)</t>
  </si>
  <si>
    <t>Non-physical losses (e.g., non-payment, theft)</t>
  </si>
  <si>
    <t>Physical losses</t>
  </si>
  <si>
    <t>Total losses in Distribution System, of which</t>
  </si>
  <si>
    <t>Total Into Distribution System</t>
  </si>
  <si>
    <t>Savings to Utility from Reduction in Non-revenue Water Losses</t>
  </si>
  <si>
    <t>ERR CALCULATIONS</t>
  </si>
  <si>
    <t>Total Income Gain from NRW loss reduction</t>
  </si>
  <si>
    <t>Non-Revenue Water (NRW) Benefits</t>
  </si>
  <si>
    <t>4) + 5), Compact years 0-20</t>
  </si>
  <si>
    <t>4) + 5), Compact years 0-5</t>
  </si>
  <si>
    <t>TOTAL costs</t>
  </si>
  <si>
    <t>Drainage costs</t>
  </si>
  <si>
    <t>Subprojects - Total</t>
  </si>
  <si>
    <t>PV(Total costs)</t>
  </si>
  <si>
    <t>Zambian minimum wage (2012 kwacha/month):</t>
  </si>
  <si>
    <t>Unemployment rate for women, Urban Lusaka (2008 Labor Survey)</t>
  </si>
  <si>
    <t>Alternate measures:</t>
  </si>
  <si>
    <t>Old:</t>
  </si>
  <si>
    <t>Wage*(Difference between average and female unemployment)</t>
  </si>
  <si>
    <t>Time Savings</t>
  </si>
  <si>
    <t>Non-revenue Water</t>
  </si>
  <si>
    <t>Avoided Property Damage</t>
  </si>
  <si>
    <t>Avoided Loss in Value Added</t>
  </si>
  <si>
    <t>$/day, assuming one wage earner/hh and 6 household members:</t>
  </si>
  <si>
    <t>Min Wage:</t>
  </si>
  <si>
    <t>Articulated Truck</t>
  </si>
  <si>
    <t>Rigid Truck</t>
  </si>
  <si>
    <t>LCV</t>
  </si>
  <si>
    <t>Vehicle type</t>
  </si>
  <si>
    <t>Total opportunity cost of flooding-related delays to freight transporters (by vehicle type) (USD)</t>
  </si>
  <si>
    <t>Number of unique beneficiaries per year, 2031, during flood-affected times = number of these types beneficiaries of travel time savings due to drainage investment</t>
  </si>
  <si>
    <t>Fill rate</t>
  </si>
  <si>
    <t>Average Load (ton/vehicle)</t>
  </si>
  <si>
    <t>Number of potential unique beneficiaries per year, 2031, freight shippers and transporters</t>
  </si>
  <si>
    <r>
      <t>Opportunity cost of flooding-related delays to</t>
    </r>
    <r>
      <rPr>
        <b/>
        <sz val="11"/>
        <color theme="1"/>
        <rFont val="Calibri"/>
        <family val="2"/>
        <scheme val="minor"/>
      </rPr>
      <t xml:space="preserve"> freight transporters</t>
    </r>
    <r>
      <rPr>
        <sz val="11"/>
        <color theme="1"/>
        <rFont val="Calibri"/>
        <family val="2"/>
        <scheme val="minor"/>
      </rPr>
      <t xml:space="preserve"> per vehicle (by vehicle type) (USD)</t>
    </r>
  </si>
  <si>
    <t>Work weeks per year</t>
  </si>
  <si>
    <t xml:space="preserve">Round trips during the work week, and </t>
  </si>
  <si>
    <t xml:space="preserve">Number of times an average vehicle appears in these data, assuming </t>
  </si>
  <si>
    <t>Annual volume of freight vehicles , including those who are double-counted, 2031</t>
  </si>
  <si>
    <t>Estimate of unique beneficiaries for travel time benefit compact year 20 (2031 or so), freight shippers and transporters</t>
  </si>
  <si>
    <t>Number of freight vehicles affected by flooding-related delay (by vehicle type)</t>
  </si>
  <si>
    <t>Freight value per ton, by vehicle</t>
  </si>
  <si>
    <t>Average reduction in truck volume during floods</t>
  </si>
  <si>
    <t>Number of days of flooding</t>
  </si>
  <si>
    <t>Number of hours per day of flooding</t>
  </si>
  <si>
    <t>Real annual interest rate 
(% p.a.)</t>
  </si>
  <si>
    <t>Hours/year</t>
  </si>
  <si>
    <t>Averted time lost fraction</t>
  </si>
  <si>
    <t>Time lost per vehicle affected by flooding event (h)</t>
  </si>
  <si>
    <t>Fraction of time affected by flooding</t>
  </si>
  <si>
    <t xml:space="preserve">km </t>
  </si>
  <si>
    <t>Distance of flooded road</t>
  </si>
  <si>
    <t>km/h</t>
  </si>
  <si>
    <t>Travel speed in floods</t>
  </si>
  <si>
    <t>Travel speed without flood</t>
  </si>
  <si>
    <t>km</t>
  </si>
  <si>
    <t>Distance driven per vehicle through flood-prone areas</t>
  </si>
  <si>
    <t>USD</t>
  </si>
  <si>
    <t>Profit margin</t>
  </si>
  <si>
    <r>
      <t xml:space="preserve">Profit margin </t>
    </r>
    <r>
      <rPr>
        <sz val="11"/>
        <color theme="1"/>
        <rFont val="Symbol"/>
        <family val="1"/>
        <charset val="2"/>
      </rPr>
      <t xml:space="preserve">º </t>
    </r>
    <r>
      <rPr>
        <sz val="11"/>
        <color theme="1"/>
        <rFont val="Calibri"/>
        <family val="2"/>
        <scheme val="minor"/>
      </rPr>
      <t>(P - C)/C</t>
    </r>
  </si>
  <si>
    <t>Price of freight haulage - urban</t>
  </si>
  <si>
    <t>Urban premium on above rate</t>
  </si>
  <si>
    <t>USD/tkm</t>
  </si>
  <si>
    <t>Price of freight haulage - long haul</t>
  </si>
  <si>
    <t>rGDP growth</t>
  </si>
  <si>
    <t>Number of days of floods</t>
  </si>
  <si>
    <t>hours</t>
  </si>
  <si>
    <t>% volume reduction during flooding</t>
  </si>
  <si>
    <t>Number of hours of flood</t>
  </si>
  <si>
    <t>Construction</t>
  </si>
  <si>
    <t>Manufacturing</t>
  </si>
  <si>
    <t>Agriculture</t>
  </si>
  <si>
    <t>AT</t>
  </si>
  <si>
    <t>RT</t>
  </si>
  <si>
    <t>Cost (USD/t)</t>
  </si>
  <si>
    <t>Cargo price (USD/t)</t>
  </si>
  <si>
    <t>Opportunity cost for pedestrians imposed by flooding (2011 US$)</t>
  </si>
  <si>
    <t>Opportunity cost per pedestrian trip imposed by flooding (2011 US$)</t>
  </si>
  <si>
    <t>Number of pedestrian trips</t>
  </si>
  <si>
    <t>Time lost per pedestrian affected by flooding event</t>
  </si>
  <si>
    <t>Opportunity cost of a pedestrian's time 
(2011 US$/h)</t>
  </si>
  <si>
    <t>Ratio of pedestrians to vehicle passengers</t>
  </si>
  <si>
    <t>Estimate of pedestrian numbers by year in survey locations selected above</t>
  </si>
  <si>
    <t>Others</t>
  </si>
  <si>
    <t>Large Bus</t>
  </si>
  <si>
    <t>Medium Bus</t>
  </si>
  <si>
    <t>Minibus</t>
  </si>
  <si>
    <t>Taxi</t>
  </si>
  <si>
    <t>Car &amp; Pickup</t>
  </si>
  <si>
    <t>Hourly income of passenger by vehicle type (2011 USD)</t>
  </si>
  <si>
    <t>Annual HH income of passenger by vehicle type (2007 ZMK)</t>
  </si>
  <si>
    <t>Annual opportunity cost of wage earners as vehicle passengers (2011 USD)</t>
  </si>
  <si>
    <t>Average annual rate of wage growth for Lusaka PUAs</t>
  </si>
  <si>
    <t>Fraction of annual income lost due to flooding</t>
  </si>
  <si>
    <t>Opportunity cost as a fraction of wage</t>
  </si>
  <si>
    <t>Time lost per vehicle affected by flooding event</t>
  </si>
  <si>
    <t>Exchange rate (ZMK/USD)</t>
  </si>
  <si>
    <t>Cumulative increase in per capita income, 2007-2011</t>
  </si>
  <si>
    <t>Cumulative inflation factor, 2007-2011</t>
  </si>
  <si>
    <t>Working hours per year</t>
  </si>
  <si>
    <t>Trucks</t>
  </si>
  <si>
    <t>Passenger vehicle</t>
  </si>
  <si>
    <t>Wage earners per vehicle passenger</t>
  </si>
  <si>
    <t>Fraction of citizens who are active wage earners</t>
  </si>
  <si>
    <t>Assumptions</t>
  </si>
  <si>
    <t>Annual opportunity cost of wage earners (2011 USD)</t>
  </si>
  <si>
    <t>Trip on the weekend</t>
  </si>
  <si>
    <t xml:space="preserve">Number of times an average person appears in these data, assuming </t>
  </si>
  <si>
    <t>Annual volume of travelers (vehicles and pedestrians, including those who are double-counted), 2031</t>
  </si>
  <si>
    <t>Car&amp;Pickup</t>
  </si>
  <si>
    <t>Estimate of unique beneficiaries for travel time benefit compact year 20 (2031 or so), vehicle passengers and pedestrians</t>
  </si>
  <si>
    <t># people/vehicle</t>
  </si>
  <si>
    <r>
      <rPr>
        <b/>
        <i/>
        <sz val="11"/>
        <color theme="1"/>
        <rFont val="Calibri"/>
        <family val="2"/>
        <scheme val="minor"/>
      </rPr>
      <t>Annual</t>
    </r>
    <r>
      <rPr>
        <b/>
        <sz val="11"/>
        <color theme="1"/>
        <rFont val="Calibri"/>
        <family val="2"/>
        <scheme val="minor"/>
      </rPr>
      <t xml:space="preserve"> passenger volume </t>
    </r>
  </si>
  <si>
    <t>Growth rate in traffic</t>
  </si>
  <si>
    <t>Factor to account for unique vehicles counted above</t>
  </si>
  <si>
    <r>
      <rPr>
        <b/>
        <i/>
        <sz val="11"/>
        <color theme="1"/>
        <rFont val="Calibri"/>
        <family val="2"/>
        <scheme val="minor"/>
      </rPr>
      <t>Annual</t>
    </r>
    <r>
      <rPr>
        <b/>
        <sz val="11"/>
        <color theme="1"/>
        <rFont val="Calibri"/>
        <family val="2"/>
        <scheme val="minor"/>
      </rPr>
      <t xml:space="preserve"> traffic volumes across all survey locations selected above</t>
    </r>
  </si>
  <si>
    <t>Assume SL1 - SL9 are affected by flooding</t>
  </si>
  <si>
    <t>Chifund</t>
  </si>
  <si>
    <t>SL10</t>
  </si>
  <si>
    <t>Lumumba</t>
  </si>
  <si>
    <t>SL9</t>
  </si>
  <si>
    <t>SL8</t>
  </si>
  <si>
    <t>Church</t>
  </si>
  <si>
    <t>SL7</t>
  </si>
  <si>
    <t>Great East Road</t>
  </si>
  <si>
    <t>SL6</t>
  </si>
  <si>
    <t>Chishango</t>
  </si>
  <si>
    <t>SL5</t>
  </si>
  <si>
    <t>Makishi</t>
  </si>
  <si>
    <t>SL4</t>
  </si>
  <si>
    <t>Katima Mulilo</t>
  </si>
  <si>
    <t>SL3</t>
  </si>
  <si>
    <t>Sewage-Garden</t>
  </si>
  <si>
    <t>SL2</t>
  </si>
  <si>
    <t>Kasangula</t>
  </si>
  <si>
    <t>SL1</t>
  </si>
  <si>
    <t>Survey Location</t>
  </si>
  <si>
    <t>(1 = Include location;
  0 = Exclude location)</t>
  </si>
  <si>
    <t>Toggle (0 or 1)</t>
  </si>
  <si>
    <r>
      <rPr>
        <b/>
        <i/>
        <sz val="11"/>
        <color theme="1"/>
        <rFont val="Calibri"/>
        <family val="2"/>
        <scheme val="minor"/>
      </rPr>
      <t>24-hour</t>
    </r>
    <r>
      <rPr>
        <b/>
        <sz val="11"/>
        <color theme="1"/>
        <rFont val="Calibri"/>
        <family val="2"/>
        <scheme val="minor"/>
      </rPr>
      <t xml:space="preserve"> Traffic Volumes Across Screen Lines SL-1 - SL-10</t>
    </r>
  </si>
  <si>
    <t>Freight transporters</t>
  </si>
  <si>
    <t>Shippers</t>
  </si>
  <si>
    <t>Pedestrians</t>
  </si>
  <si>
    <t>Calendar</t>
  </si>
  <si>
    <t>Beneficiary type</t>
  </si>
  <si>
    <t>Compact</t>
  </si>
  <si>
    <t>Value of time lost (2011 US$ (million))</t>
  </si>
  <si>
    <t>Value of time lost due to flooding - Bombay drain investment</t>
  </si>
  <si>
    <t>Drainage costs - Bombay</t>
  </si>
  <si>
    <t>Drainage - Bombay</t>
  </si>
  <si>
    <t>Subprojects</t>
  </si>
  <si>
    <t>Percent of beneficiaries in each of these subprojects…</t>
  </si>
  <si>
    <t>Beneficiary overlaps</t>
  </si>
  <si>
    <t>Breakdown of beneficiaries by ward</t>
  </si>
  <si>
    <t>Benefits Per Person</t>
  </si>
  <si>
    <t>Benefits By Category</t>
  </si>
  <si>
    <t>For Calculations, logged income * beneficiaries</t>
  </si>
  <si>
    <t>Income By Category per Year (logged)</t>
  </si>
  <si>
    <t>Income By Category per Year</t>
  </si>
  <si>
    <t>Sum, Other</t>
  </si>
  <si>
    <t>Laborers</t>
  </si>
  <si>
    <t>&gt; $4</t>
  </si>
  <si>
    <t>$2-$4</t>
  </si>
  <si>
    <t>$1.25-$2</t>
  </si>
  <si>
    <t>&lt; $1.25</t>
  </si>
  <si>
    <t>Beneficiaries</t>
  </si>
  <si>
    <t>Final Scorecard</t>
  </si>
  <si>
    <t>Central (W)</t>
  </si>
  <si>
    <t>Combined Chelston &amp; Kaunda Sq + Ls3</t>
  </si>
  <si>
    <t>Non Revenue Water</t>
  </si>
  <si>
    <t>Lusaka</t>
  </si>
  <si>
    <t>Poverty By District/Ward</t>
  </si>
  <si>
    <t>Mean Income</t>
  </si>
  <si>
    <t>% Population by Poverty Bin</t>
  </si>
  <si>
    <t>Time savings</t>
  </si>
  <si>
    <t>Avoided property damage</t>
  </si>
  <si>
    <t>Benefit streams</t>
  </si>
  <si>
    <t>Benefits per beneficiary (PV constant 2011 US$ per person)</t>
  </si>
  <si>
    <t>Benefits (PV constant 2011 US$ (million))</t>
  </si>
  <si>
    <r>
      <t xml:space="preserve">Beneficiaries (# people; not necessarily </t>
    </r>
    <r>
      <rPr>
        <b/>
        <i/>
        <sz val="11"/>
        <color theme="1"/>
        <rFont val="Calibri"/>
        <family val="2"/>
        <scheme val="minor"/>
      </rPr>
      <t xml:space="preserve">unique </t>
    </r>
    <r>
      <rPr>
        <b/>
        <sz val="11"/>
        <color theme="1"/>
        <rFont val="Calibri"/>
        <family val="2"/>
        <scheme val="minor"/>
      </rPr>
      <t>beneficiaries)</t>
    </r>
  </si>
  <si>
    <t>Aim for five Poverty Scorecards (one for each highlighted Subproject below) and one total Compact scorecard</t>
  </si>
  <si>
    <t>Beneficiary matrices by subproject</t>
  </si>
  <si>
    <t>Total # of workers (conservative, rounded)</t>
  </si>
  <si>
    <t># skilled workers  (conservative, rounded)</t>
  </si>
  <si>
    <t># unskilled workers (conservative, rounded)</t>
  </si>
  <si>
    <t>Factor for conservatism to apply to consultants' estimates</t>
  </si>
  <si>
    <t>("Ctrl+Shift+W" automates this)</t>
  </si>
  <si>
    <r>
      <rPr>
        <sz val="11"/>
        <color theme="1"/>
        <rFont val="Symbol"/>
        <family val="1"/>
        <charset val="2"/>
      </rPr>
      <t>D</t>
    </r>
    <r>
      <rPr>
        <sz val="11"/>
        <color theme="1"/>
        <rFont val="Calibri"/>
        <family val="2"/>
      </rPr>
      <t xml:space="preserve"> shaded cells above</t>
    </r>
  </si>
  <si>
    <t>--&gt;  Set this cell = 0 …</t>
  </si>
  <si>
    <t>Sum of workers' wages</t>
  </si>
  <si>
    <t>Sum of skilled workers' wages</t>
  </si>
  <si>
    <t>Sum of unskilled workers' wages</t>
  </si>
  <si>
    <t>Incremental benefits per worker to both classes of workers, Compact duration:</t>
  </si>
  <si>
    <t>Total # of workers</t>
  </si>
  <si>
    <t>Shadow wage rate</t>
  </si>
  <si>
    <t># skilled workers</t>
  </si>
  <si>
    <t># unskilled workers</t>
  </si>
  <si>
    <t xml:space="preserve"> … by changing this cell --&gt;</t>
  </si>
  <si>
    <t>Skilled/unskilled wage ratio</t>
  </si>
  <si>
    <t>d/wk</t>
  </si>
  <si>
    <t>wks/y</t>
  </si>
  <si>
    <t>Employment Duration (y)</t>
  </si>
  <si>
    <t>ZMK</t>
  </si>
  <si>
    <t>Unskilled Daily Wage</t>
  </si>
  <si>
    <t>Share skilled Laborers</t>
  </si>
  <si>
    <t>Share unskilled laborers</t>
  </si>
  <si>
    <t>Number of workers analysis</t>
  </si>
  <si>
    <t>3N</t>
  </si>
  <si>
    <t>Above 4$, assumed</t>
  </si>
  <si>
    <t>Skilled laborers</t>
  </si>
  <si>
    <t>3M</t>
  </si>
  <si>
    <t>Assumed to be between 2-4$</t>
  </si>
  <si>
    <t>Unskilled laborers</t>
  </si>
  <si>
    <t>Average amount per beneficiary for empl. duration</t>
  </si>
  <si>
    <t>Opportunity cost</t>
  </si>
  <si>
    <t># Total benes</t>
  </si>
  <si>
    <t>Scenario</t>
  </si>
  <si>
    <t>(cell J64)</t>
  </si>
  <si>
    <t>days/y</t>
  </si>
  <si>
    <t>Duration (d)</t>
  </si>
  <si>
    <t>Average Unskilled Employment Duration (y)</t>
  </si>
  <si>
    <t xml:space="preserve">unskilled wage / avg wage </t>
  </si>
  <si>
    <t>work h/day</t>
  </si>
  <si>
    <t>Skilled Laborers</t>
  </si>
  <si>
    <t>Assumptions:</t>
  </si>
  <si>
    <t>Current $ / 2005$ PPP</t>
  </si>
  <si>
    <t>Current USD to 2005$ PPP</t>
  </si>
  <si>
    <t xml:space="preserve">Current 2011 ZMK per int'l 2005$ PPP </t>
  </si>
  <si>
    <t>Proportional to ln(Mean income of respective income bin)</t>
  </si>
  <si>
    <t>Non-revenue water</t>
  </si>
  <si>
    <t>Proportional to mean income of respective income bin</t>
  </si>
  <si>
    <t>Water</t>
  </si>
  <si>
    <t>Health -</t>
  </si>
  <si>
    <t>Distribution rule</t>
  </si>
  <si>
    <t>Type of benefit</t>
  </si>
  <si>
    <t>Beneficiary analysis inputs</t>
  </si>
  <si>
    <t>(for labor benefits calculation)</t>
  </si>
  <si>
    <t>2012 US$/y</t>
  </si>
  <si>
    <t xml:space="preserve">These will be the focus of this analysis. </t>
  </si>
  <si>
    <t>Schistosomiasis (W, S)</t>
  </si>
  <si>
    <t>Intestinal nematodes (W, S)</t>
  </si>
  <si>
    <t>Infectious diarrhea (W, S)</t>
  </si>
  <si>
    <t>Of diseases typically in Top Ten list for Lusaka, water &amp; sanitation (W, S) interventions address three:</t>
  </si>
  <si>
    <t>Multiple</t>
  </si>
  <si>
    <t>Hygiene</t>
  </si>
  <si>
    <t>Water supply</t>
  </si>
  <si>
    <t>Impact</t>
  </si>
  <si>
    <t>Effect size</t>
  </si>
  <si>
    <t>Summary meta-analysis results</t>
  </si>
  <si>
    <r>
      <rPr>
        <u/>
        <sz val="11"/>
        <color rgb="FF000000"/>
        <rFont val="Calibri"/>
        <family val="2"/>
        <scheme val="minor"/>
      </rPr>
      <t>Water Supply</t>
    </r>
    <r>
      <rPr>
        <sz val="11"/>
        <color rgb="FF000000"/>
        <rFont val="Calibri"/>
        <family val="2"/>
        <scheme val="minor"/>
      </rPr>
      <t xml:space="preserve"> &amp; Sanitation</t>
    </r>
  </si>
  <si>
    <t>Water Supply &amp; Sanitation</t>
  </si>
  <si>
    <t>Water Supply</t>
  </si>
  <si>
    <t>Mazyopa</t>
  </si>
  <si>
    <t xml:space="preserve">SOS &amp; Tiyende Pamodzi </t>
  </si>
  <si>
    <r>
      <rPr>
        <u/>
        <sz val="11"/>
        <color rgb="FF000000"/>
        <rFont val="Calibri"/>
        <family val="2"/>
        <scheme val="minor"/>
      </rPr>
      <t xml:space="preserve">Water Supply </t>
    </r>
    <r>
      <rPr>
        <sz val="11"/>
        <color rgb="FF000000"/>
        <rFont val="Calibri"/>
        <family val="2"/>
        <scheme val="minor"/>
      </rPr>
      <t>&amp; Sanitation</t>
    </r>
  </si>
  <si>
    <t>Chunga - Madimba</t>
  </si>
  <si>
    <t>Freedom</t>
  </si>
  <si>
    <t>Linda</t>
  </si>
  <si>
    <r>
      <t xml:space="preserve">Water Supply &amp; </t>
    </r>
    <r>
      <rPr>
        <u/>
        <sz val="11"/>
        <color theme="1"/>
        <rFont val="Calibri"/>
        <family val="2"/>
        <scheme val="minor"/>
      </rPr>
      <t>Sanitation</t>
    </r>
  </si>
  <si>
    <r>
      <rPr>
        <u/>
        <sz val="11"/>
        <color theme="1"/>
        <rFont val="Calibri"/>
        <family val="2"/>
        <scheme val="minor"/>
      </rPr>
      <t xml:space="preserve">Water Supply </t>
    </r>
    <r>
      <rPr>
        <sz val="11"/>
        <color theme="1"/>
        <rFont val="Calibri"/>
        <family val="2"/>
        <scheme val="minor"/>
      </rPr>
      <t>&amp; Sanitation</t>
    </r>
  </si>
  <si>
    <r>
      <rPr>
        <u/>
        <sz val="11"/>
        <color theme="1"/>
        <rFont val="Calibri"/>
        <family val="2"/>
        <scheme val="minor"/>
      </rPr>
      <t>Water Supply</t>
    </r>
    <r>
      <rPr>
        <sz val="11"/>
        <color theme="1"/>
        <rFont val="Calibri"/>
        <family val="2"/>
        <scheme val="minor"/>
      </rPr>
      <t xml:space="preserve"> &amp; Sanitation</t>
    </r>
  </si>
  <si>
    <t>households</t>
  </si>
  <si>
    <t># hours/trip</t>
  </si>
  <si>
    <r>
      <t>$ USD/m</t>
    </r>
    <r>
      <rPr>
        <vertAlign val="superscript"/>
        <sz val="11"/>
        <color rgb="FF0066FF"/>
        <rFont val="Calibri"/>
        <family val="2"/>
        <scheme val="minor"/>
      </rPr>
      <t>3</t>
    </r>
  </si>
  <si>
    <t>x numner of liters/person/day</t>
  </si>
  <si>
    <t># liters/person/day</t>
  </si>
  <si>
    <t>% of pop</t>
  </si>
  <si>
    <t>$/m3</t>
  </si>
  <si>
    <t>%/year</t>
  </si>
  <si>
    <t># of households</t>
  </si>
  <si>
    <t>thousand USD</t>
  </si>
  <si>
    <t>year</t>
  </si>
  <si>
    <t xml:space="preserve">year  </t>
  </si>
  <si>
    <t>% of estimated benefits</t>
  </si>
  <si>
    <t># DALY/year</t>
  </si>
  <si>
    <t>thousand USD/year</t>
  </si>
  <si>
    <t>USD/day</t>
  </si>
  <si>
    <t>% per year</t>
  </si>
  <si>
    <t>thousands USD</t>
  </si>
  <si>
    <t xml:space="preserve">Source of Water
Other
</t>
  </si>
  <si>
    <t>Source of Water
Spring or stream</t>
  </si>
  <si>
    <t>Source of Water
Standpipe</t>
  </si>
  <si>
    <t>Source of Water
Truck purhcase</t>
  </si>
  <si>
    <t>Source of Water
Neighbor</t>
  </si>
  <si>
    <t>Source of Water
Piped system</t>
  </si>
  <si>
    <t>System Capacity with project</t>
  </si>
  <si>
    <t>Expected reduction in water-relate diseases</t>
  </si>
  <si>
    <t>Business response to increased water
(increase in value add)</t>
  </si>
  <si>
    <t xml:space="preserve">Average price of water for consumers </t>
  </si>
  <si>
    <t>Cost savings for technical water losses</t>
  </si>
  <si>
    <t>Technical losses as percentage of UFW</t>
  </si>
  <si>
    <t>Rate of "unaccounted for water" (UFW)</t>
  </si>
  <si>
    <t>Current water shortfall</t>
  </si>
  <si>
    <t>Initial water demand (m3/day)</t>
  </si>
  <si>
    <t>Spring or stream</t>
  </si>
  <si>
    <t>Standpipe</t>
  </si>
  <si>
    <t>Truck purchase</t>
  </si>
  <si>
    <t>Neighbor</t>
  </si>
  <si>
    <t>Piped system</t>
  </si>
  <si>
    <t>Other
(# hours/day)</t>
  </si>
  <si>
    <t>Spring or stream
(# hours/day)</t>
  </si>
  <si>
    <t>Standpipe
(# hours/day)</t>
  </si>
  <si>
    <t>Truck purchase
(# hours/day)</t>
  </si>
  <si>
    <t>Neighbor
(# hours/day)</t>
  </si>
  <si>
    <t>Piped system 
(# hours/day)</t>
  </si>
  <si>
    <t>Current system coverage (% of population)</t>
  </si>
  <si>
    <r>
      <t>Current system uage rate ($/m</t>
    </r>
    <r>
      <rPr>
        <b/>
        <vertAlign val="superscript"/>
        <sz val="11"/>
        <color rgb="FF000000"/>
        <rFont val="Calibri"/>
        <family val="2"/>
        <scheme val="minor"/>
      </rPr>
      <t>3</t>
    </r>
    <r>
      <rPr>
        <b/>
        <sz val="11"/>
        <color rgb="FF000000"/>
        <rFont val="Calibri"/>
        <family val="2"/>
        <scheme val="minor"/>
      </rPr>
      <t>)</t>
    </r>
  </si>
  <si>
    <t>Current system growth rate</t>
  </si>
  <si>
    <t>Current system capacity</t>
  </si>
  <si>
    <t>Actual costs as a % of estimated costs</t>
  </si>
  <si>
    <t>Ration of operation and maintenance costs to capital controls</t>
  </si>
  <si>
    <t>Cost of initial investment</t>
  </si>
  <si>
    <t>Year Benefits Will End or Remain Dependent on O&amp;M</t>
  </si>
  <si>
    <t>Year benefits will begin</t>
  </si>
  <si>
    <t>Total Benefits as a % of Estimated Benefits</t>
  </si>
  <si>
    <t># of Anaemia Cases in 2010</t>
  </si>
  <si>
    <t># of Suspected Cases of Tuberculosis in 2010</t>
  </si>
  <si>
    <t># of Intenstinal Worm Cases in 2010</t>
  </si>
  <si>
    <t># of Skin, Ear, Nose, and Throat Infection Cases in 2010</t>
  </si>
  <si>
    <t># of Respiratory Inflection Cases in 2010</t>
  </si>
  <si>
    <t># of Malaria Cases in 2010</t>
  </si>
  <si>
    <t># of Non-Bloody Diarrheoa Cases in 2010</t>
  </si>
  <si>
    <t># of Bloody Diarrheoa Cases in 2010</t>
  </si>
  <si>
    <t># of Cholera Cases in 2010</t>
  </si>
  <si>
    <t>Total DALYs from Water-related Diseases in impact area</t>
  </si>
  <si>
    <t>Percentage of DALYs lost due to water-bourne diseases in impact area</t>
  </si>
  <si>
    <t>Total DALYs from all causes in impact area</t>
  </si>
  <si>
    <t>Current Value Added of Business in Impact Area</t>
  </si>
  <si>
    <t>Average Hourly Wage of Water Gatherer</t>
  </si>
  <si>
    <t>Average Daily Wage of Water Gatherer</t>
  </si>
  <si>
    <t>GDP per Beneficiary Capita</t>
  </si>
  <si>
    <t>Average GDP Growth Rate</t>
  </si>
  <si>
    <t>GDP of Area</t>
  </si>
  <si>
    <t>No. of Households in Impact Area</t>
  </si>
  <si>
    <t>Average Household Size</t>
  </si>
  <si>
    <t>Area
(Ha)</t>
  </si>
  <si>
    <t>Area
(SM)</t>
  </si>
  <si>
    <t>% of District Population Expected to Benefit</t>
  </si>
  <si>
    <t>Estimated Population from Project Proposal Dated February 2010</t>
  </si>
  <si>
    <t>Proposed Intervention</t>
  </si>
  <si>
    <t>District</t>
  </si>
  <si>
    <t>Constituency</t>
  </si>
  <si>
    <t>No</t>
  </si>
  <si>
    <t>Project Targets</t>
  </si>
  <si>
    <t>Water loss reduction</t>
  </si>
  <si>
    <t>Time per trip</t>
  </si>
  <si>
    <t>Time spent gathering water</t>
  </si>
  <si>
    <t>Cost of water to consumers</t>
  </si>
  <si>
    <t>Water Usage</t>
  </si>
  <si>
    <t>Source of Water</t>
  </si>
  <si>
    <t>Current Water System Characteristics</t>
  </si>
  <si>
    <t>Cost Phasing</t>
  </si>
  <si>
    <t>Benefits Phasing</t>
  </si>
  <si>
    <t>Economy</t>
  </si>
  <si>
    <r>
      <t xml:space="preserve">Values in </t>
    </r>
    <r>
      <rPr>
        <i/>
        <sz val="11"/>
        <color indexed="12"/>
        <rFont val="Calibri"/>
        <family val="2"/>
        <scheme val="minor"/>
      </rPr>
      <t>blue</t>
    </r>
    <r>
      <rPr>
        <i/>
        <sz val="11"/>
        <rFont val="Calibri"/>
        <family val="2"/>
        <scheme val="minor"/>
      </rPr>
      <t xml:space="preserve"> type are assumptions intended to be entered by the user.  Values in black type are calculated by the model based on the assumptions in blue.</t>
    </r>
  </si>
  <si>
    <t>Zambian Minimum Wage (2012)</t>
  </si>
  <si>
    <t>2008 Labourforce Survey Report.pdf found at http://www.mlss.gov.zm/upload/2008%20Labourforce%20Survey%20Report.pdf</t>
  </si>
  <si>
    <t>MCC assumption.  22% of Lusaka residents are employed in the "formal" sector but this includes "employment where the employed persons were not entitled to paid leave, pension, gratuity and social security and worked in an establishment employing less than 5 persons."</t>
  </si>
  <si>
    <t>Email from Gail Chambers Mon 4/18/2011 10:52 AM. Also, '[DMA Calcs_overallgrowth_Population_2010_rev28Apr2011.xlsx]population'!$AP$3.  Currently assumed to be zero.</t>
  </si>
  <si>
    <t>Accounts for displacement of activity over space and time.</t>
  </si>
  <si>
    <t>Relative to a uniform spatial distribution of value added across Lusaka</t>
  </si>
  <si>
    <t>Rate of growth of value added (Assumed to be equal to real gdp growth)</t>
  </si>
  <si>
    <t>See Gauff Ingenieure (2011c:2-54), Tab. 2-14 for reasoning.</t>
  </si>
  <si>
    <t>KRI International Corp. (2009:A1-11) - walking trips vs. other modes of transit</t>
  </si>
  <si>
    <t xml:space="preserve">Use average of bus passengers' incomes figures. </t>
  </si>
  <si>
    <t>cell b66 indicates the number of hours per day of road flooding, row 67 indicates the reduction in the number of trucks/hour during that time, and b68 indicates the number of flooding days each year.</t>
  </si>
  <si>
    <t xml:space="preserve">Weighted average of different cargoes and prices.  Assume balance of cargo is worth that same average price. </t>
  </si>
  <si>
    <t>Lower than for vehicular passengers since greater flexibility on foot.  Flooding is fairly localized so we expect this to be small.</t>
  </si>
  <si>
    <t>Durban - Lusaka route.  Raballand &amp; Macchi (2009:4)</t>
  </si>
  <si>
    <t>Based on Raballand &amp; Macchi (2009:9) for Zambia.</t>
  </si>
  <si>
    <t>Based on example routes in KRI International Corp. (2009:A1-25), Table 1.3.12.</t>
  </si>
  <si>
    <t>KRI International Corp. (2009:A1-25, Table 1.3.12).  Many of the routes for which speed was studied are in or near flooded areas.  This is the average speed across these routes (presumably without flooding).</t>
  </si>
  <si>
    <t>KRI International Corp. (2009:A1-25, Table 1.3.12) gives a general sense of how long typical routes on these roads are.</t>
  </si>
  <si>
    <t>That is, fraction of time that would otherwise be lost, but for flood avoidance behavior - alternate routes, alternate times of travel, etc.</t>
  </si>
  <si>
    <t>MCC assumption.</t>
  </si>
  <si>
    <t>Average of KRI International Corp. (2009:A1-17) and Manda Hills Shopping Centre Traffic Study.pdf</t>
  </si>
  <si>
    <t>KRI International Corp. (2009:A1-19)</t>
  </si>
  <si>
    <t>Estimated.</t>
  </si>
  <si>
    <t>Vehicle passengers (Including paid drivers.)</t>
  </si>
  <si>
    <r>
      <t xml:space="preserve">Annual flooding-related costs of freight delays to </t>
    </r>
    <r>
      <rPr>
        <b/>
        <sz val="11"/>
        <color theme="1"/>
        <rFont val="Calibri"/>
        <family val="2"/>
        <scheme val="minor"/>
      </rPr>
      <t>shippers</t>
    </r>
    <r>
      <rPr>
        <sz val="11"/>
        <color theme="1"/>
        <rFont val="Calibri"/>
        <family val="2"/>
        <scheme val="minor"/>
      </rPr>
      <t xml:space="preserve"> (USD) (Freight only; not vehicles.)</t>
    </r>
  </si>
  <si>
    <t>Number of potential beneficiaries depending on every freight vehicle (MCC estimate)</t>
  </si>
  <si>
    <t>Work weeks per year (An estimated average for all vehicles, some of which drive the affected route frequently, and some rarely during a year.)</t>
  </si>
  <si>
    <t>Source: ERR LWSSDP Master cost spreadsheet.1.xlsm</t>
  </si>
  <si>
    <t>These are theft, and authorized but unpaid consumption.  Assumed constant over time. Conservative estimate based on Water Supply Investment Master Plan, Ch. 7.</t>
  </si>
  <si>
    <t>For simplicity, assumed constant with investment scenario.</t>
  </si>
  <si>
    <t>Low-cost, incl. peri-urban.  JBG Gauff Ingenieure (2011:5-24), Table 5-26.</t>
  </si>
  <si>
    <t>"=('diarrhoea non bloody 2008'!$AD$41+AVERAGE('diarrhoea bloody 2008'!$AD$36:$AD$37))/(1-F60)"</t>
  </si>
  <si>
    <t>"=('diarrhoea non bloody 2008'!$AD$77+AVERAGE('diarrhoea bloody 2008'!$AD$72:$AD$73))/(1-F60)"</t>
  </si>
  <si>
    <t>"='diarrhoea non bloody 2008'!$AM$38"</t>
  </si>
  <si>
    <t>"=AVERAGE('diarrhoea non bloody 2008'!$AM$83:$AM$84)"</t>
  </si>
  <si>
    <t>From [Health data.xlsx]Cholera'!$G$7</t>
  </si>
  <si>
    <t>From [Health data.xlsx]Cholera'!$K$4</t>
  </si>
  <si>
    <t>WHO (2004b) intestinal nematode infection estimated death rate for Zambia, from [bodgbddeathdalyestimates.xlsm]Death rates'!$GP$48/100000*1000</t>
  </si>
  <si>
    <t>Inflated by 40% to account for PUAs having higher infection rates than Lusaka Province average. From [Health data.xlsx]Disease Summary'!$J$54*1.4/(1-F110)</t>
  </si>
  <si>
    <t>From [WHO.Prevalence data.PREV7 2004.xls]Prev'!($D$14/$D$4*1000)</t>
  </si>
  <si>
    <t>WHO (2004b) schistosomiasis estimated death rate for Zambia. From [bodgbddeathdalyestimates.xlsm]Death rates'!$GP$40/100000*1000</t>
  </si>
  <si>
    <t>WHO (2004b). From [bodgbddeathdalyestimates.xlsm]Death rates'!$GP$36/100000*1000</t>
  </si>
  <si>
    <t>From [WHO Data for Zambia, 1990-2008.xlsx]Report'!$C$111/L112*1000</t>
  </si>
  <si>
    <t>"='bodreferencedisability weights'!$X$4"</t>
  </si>
  <si>
    <t>From ='Lusaka Main Valuation Roll'!$W193/health!$B$12</t>
  </si>
  <si>
    <t>From ='Lusaka Main Valuation Roll'!$W194/health!$B$12</t>
  </si>
  <si>
    <t>From ='Lusaka Main Valuation Roll'!$W195/health!$B$12</t>
  </si>
  <si>
    <t>From ='Lusaka Main Valuation Roll'!$W196/health!$B$12</t>
  </si>
  <si>
    <t>From ='Lusaka Main Valuation Roll'!$W197/health!$B$12</t>
  </si>
  <si>
    <t>See Lusaka Main Valuation Roll v2.xlsx (exchange rate adjusted, see 'health'!b12</t>
  </si>
  <si>
    <t>IMF World Economic Outlook: http://www.imf.org/external/pubs/ft/weo/2011/01/weodata/index.aspx</t>
  </si>
  <si>
    <r>
      <t xml:space="preserve">5,6 </t>
    </r>
    <r>
      <rPr>
        <sz val="8"/>
        <rFont val="Arial"/>
        <family val="2"/>
      </rPr>
      <t>CIA World Factbook, converted to PPP</t>
    </r>
  </si>
  <si>
    <r>
      <t xml:space="preserve">3,4 </t>
    </r>
    <r>
      <rPr>
        <sz val="8"/>
        <rFont val="Arial"/>
        <family val="2"/>
      </rPr>
      <t>LCMS Surveys, 2006 data</t>
    </r>
  </si>
  <si>
    <r>
      <t xml:space="preserve">2    </t>
    </r>
    <r>
      <rPr>
        <sz val="8"/>
        <rFont val="Arial"/>
        <family val="2"/>
      </rPr>
      <t>Based on estimated 2010 population (CIA World Factbook), projected to Year 20</t>
    </r>
  </si>
  <si>
    <r>
      <t xml:space="preserve">1   </t>
    </r>
    <r>
      <rPr>
        <sz val="8"/>
        <rFont val="Arial"/>
        <family val="2"/>
      </rPr>
      <t>The beneficiaries and population living on less than $2 per day include those under $1.25 per day</t>
    </r>
  </si>
  <si>
    <t>NB: all benefits incremental; PVs based on 10% discount rate and exclude MCC costs but net out any local costs</t>
  </si>
  <si>
    <t>Current National Population</t>
  </si>
  <si>
    <r>
      <t xml:space="preserve">GNI per capita </t>
    </r>
    <r>
      <rPr>
        <vertAlign val="superscript"/>
        <sz val="9"/>
        <rFont val="Arial"/>
        <family val="2"/>
      </rPr>
      <t xml:space="preserve">6 </t>
    </r>
    <r>
      <rPr>
        <sz val="9"/>
        <rFont val="Arial"/>
        <family val="2"/>
      </rPr>
      <t>(USD)</t>
    </r>
  </si>
  <si>
    <r>
      <t xml:space="preserve">Percent of Project Participants Who Are Female </t>
    </r>
    <r>
      <rPr>
        <vertAlign val="superscript"/>
        <sz val="9"/>
        <rFont val="Arial"/>
        <family val="2"/>
      </rPr>
      <t>5</t>
    </r>
  </si>
  <si>
    <r>
      <t xml:space="preserve">PV of Benefit Stream/Project Dollar </t>
    </r>
    <r>
      <rPr>
        <sz val="8"/>
        <rFont val="Arial"/>
        <family val="2"/>
      </rPr>
      <t>(USD/USD)</t>
    </r>
  </si>
  <si>
    <r>
      <t xml:space="preserve">&lt; $2 </t>
    </r>
    <r>
      <rPr>
        <vertAlign val="superscript"/>
        <sz val="9"/>
        <rFont val="Arial"/>
        <family val="2"/>
      </rPr>
      <t>1</t>
    </r>
    <r>
      <rPr>
        <sz val="9"/>
        <rFont val="Arial"/>
        <family val="2"/>
      </rPr>
      <t xml:space="preserve"> </t>
    </r>
  </si>
  <si>
    <t>Cost Effectiveness</t>
  </si>
  <si>
    <r>
      <t>PV of Benefit Stream as Share of Annual Income</t>
    </r>
    <r>
      <rPr>
        <sz val="8"/>
        <rFont val="Arial"/>
        <family val="2"/>
      </rPr>
      <t xml:space="preserve"> (%)</t>
    </r>
  </si>
  <si>
    <t xml:space="preserve">PV of Benefit Stream Per Beneficiary Individual (USD) </t>
  </si>
  <si>
    <t>The Magnitude of the Benefits</t>
  </si>
  <si>
    <r>
      <t xml:space="preserve">National Population by Poverty Level </t>
    </r>
    <r>
      <rPr>
        <vertAlign val="superscript"/>
        <sz val="9"/>
        <rFont val="Arial"/>
        <family val="2"/>
      </rPr>
      <t>4</t>
    </r>
    <r>
      <rPr>
        <sz val="9"/>
        <rFont val="Arial"/>
        <family val="2"/>
      </rPr>
      <t xml:space="preserve"> </t>
    </r>
    <r>
      <rPr>
        <sz val="8"/>
        <rFont val="Arial"/>
        <family val="2"/>
      </rPr>
      <t>(%)</t>
    </r>
  </si>
  <si>
    <r>
      <t xml:space="preserve">Beneficiary Population by Poverty Level </t>
    </r>
    <r>
      <rPr>
        <sz val="8"/>
        <rFont val="Arial"/>
        <family val="2"/>
      </rPr>
      <t xml:space="preserve">(%) </t>
    </r>
    <r>
      <rPr>
        <vertAlign val="superscript"/>
        <sz val="8"/>
        <rFont val="Arial"/>
        <family val="2"/>
      </rPr>
      <t>3</t>
    </r>
  </si>
  <si>
    <r>
      <t xml:space="preserve">National Population in Year 20 </t>
    </r>
    <r>
      <rPr>
        <vertAlign val="superscript"/>
        <sz val="9"/>
        <rFont val="Arial"/>
        <family val="2"/>
      </rPr>
      <t>2</t>
    </r>
    <r>
      <rPr>
        <sz val="9"/>
        <rFont val="Arial"/>
        <family val="2"/>
      </rPr>
      <t xml:space="preserve"> </t>
    </r>
    <r>
      <rPr>
        <sz val="8"/>
        <rFont val="Arial"/>
        <family val="2"/>
      </rPr>
      <t>(#)</t>
    </r>
  </si>
  <si>
    <r>
      <t xml:space="preserve">Beneficiary Individuals in Year 20 </t>
    </r>
    <r>
      <rPr>
        <sz val="8"/>
        <rFont val="Arial"/>
        <family val="2"/>
      </rPr>
      <t>(#)</t>
    </r>
  </si>
  <si>
    <r>
      <t xml:space="preserve">Beneficiary Households in Year 20 </t>
    </r>
    <r>
      <rPr>
        <sz val="8"/>
        <rFont val="Arial"/>
        <family val="2"/>
      </rPr>
      <t>(#)</t>
    </r>
  </si>
  <si>
    <t>Consumption per day (PPP $)</t>
  </si>
  <si>
    <t>Present Value (PV) of All Costs (Millions 2005 PPP $)</t>
  </si>
  <si>
    <r>
      <t xml:space="preserve">Present Value </t>
    </r>
    <r>
      <rPr>
        <b/>
        <sz val="8"/>
        <rFont val="Arial"/>
        <family val="2"/>
      </rPr>
      <t>(PV)</t>
    </r>
    <r>
      <rPr>
        <b/>
        <sz val="9"/>
        <rFont val="Arial"/>
        <family val="2"/>
      </rPr>
      <t xml:space="preserve"> of Benefit Stream </t>
    </r>
    <r>
      <rPr>
        <b/>
        <sz val="8"/>
        <rFont val="Arial"/>
        <family val="2"/>
      </rPr>
      <t>(Millions 2005 PPP $)</t>
    </r>
  </si>
  <si>
    <t>20-Year ERR</t>
  </si>
  <si>
    <r>
      <t xml:space="preserve">MCC Cost </t>
    </r>
    <r>
      <rPr>
        <b/>
        <sz val="8"/>
        <rFont val="Arial"/>
        <family val="2"/>
      </rPr>
      <t>(Millions USD)</t>
    </r>
  </si>
  <si>
    <t>Zambia</t>
  </si>
  <si>
    <t>Poverty Scorecard</t>
  </si>
  <si>
    <t>Real, undiscounted wage bill (before opportunity wage is deducted) (total labor expenditures from \[ERR LWSSDP Master cost spreadsheet.1.xlsm]Local wages paid')</t>
  </si>
  <si>
    <t>Local Labor Benefits (construction wages)</t>
  </si>
  <si>
    <t>Compact Implementaion</t>
  </si>
  <si>
    <t>NPV by</t>
  </si>
  <si>
    <t xml:space="preserve">% NPV by </t>
  </si>
  <si>
    <t>Subproject</t>
  </si>
  <si>
    <t>Total Income Gain from Local Labor</t>
  </si>
  <si>
    <t>Source: Master Cost Worksheet.1.xlsm</t>
  </si>
  <si>
    <t>Chelston:</t>
  </si>
  <si>
    <t>Central:</t>
  </si>
  <si>
    <r>
      <rPr>
        <sz val="11"/>
        <rFont val="Calibri"/>
        <family val="2"/>
        <scheme val="minor"/>
      </rPr>
      <t>(</t>
    </r>
    <r>
      <rPr>
        <sz val="11"/>
        <color theme="1"/>
        <rFont val="Calibri"/>
        <family val="2"/>
        <scheme val="minor"/>
      </rPr>
      <t>http://esa.un.org/unpd/wpp/Excel-Data/population.htm</t>
    </r>
    <r>
      <rPr>
        <sz val="11"/>
        <rFont val="Calibri"/>
        <family val="2"/>
        <scheme val="minor"/>
      </rPr>
      <t>)</t>
    </r>
  </si>
  <si>
    <t>From 2011 WDI for Zambia</t>
  </si>
  <si>
    <t>Opportunity cost of time from health worksheet:</t>
  </si>
  <si>
    <t>Wage</t>
  </si>
  <si>
    <t>Discount of women's time</t>
  </si>
  <si>
    <t>Instructions:  Put ones for scenario you are interested in, zeroes elsewhere</t>
  </si>
  <si>
    <t>Prob(Stunting): Sitko, et al. (2011:24) (Lusaka Province): Overall prevalence of stunting at age 5 (% that are 2 sd below the mean) is 37.2% in Lusaka. Odds Ratio: Teshome, et al. (2009:103): "Children experiencing diarrhea were 2.289 times more likely to be stunted compared to the reference category (i.e. children without diarrhea)."</t>
  </si>
  <si>
    <t>http://www.who.int/ceh/indicators/0_4stunting.pdf</t>
  </si>
  <si>
    <t>“Stunting is defined as having a height (or length)-for-age more than two standard deviations below the median of the NCHS/WHO growth reference (WHO, 1995).”</t>
  </si>
  <si>
    <t>From Bigsten, table 5, for Zambia</t>
  </si>
  <si>
    <t>(Age in Alderman et al = experience goes up because age upon entering school goes down)</t>
  </si>
  <si>
    <t>From Bigsten et al., table 5, for Zimbabwe</t>
  </si>
  <si>
    <t>Age means years of experience in workforce in Bigsten et al</t>
  </si>
  <si>
    <t>Dependent variable: Natural log of monthly earnings of full time workers at constant prices</t>
  </si>
  <si>
    <t>Death:</t>
  </si>
  <si>
    <t>Disability:</t>
  </si>
  <si>
    <t>Stunting:</t>
  </si>
  <si>
    <t>Health benefits by:</t>
  </si>
  <si>
    <t>Methodology: Stunting results in lower education attained over a lifetime, and delays entry into the workforce.  Use estimates of returns to education  and experience to estimate lifetime earnings lost for each case of stunting with and without project.  Report the difference on the benefits tab.</t>
  </si>
  <si>
    <t>Drainage continues to grow thereafter by 2.4%</t>
  </si>
  <si>
    <t>After 2018:</t>
  </si>
  <si>
    <t>Diarrhea at age 0-2 increases probability of stunting by:</t>
  </si>
  <si>
    <t>2008 average urban wage*Unemployment:</t>
  </si>
  <si>
    <t>Average urban wage (paid employees, 2008 labor survey):</t>
  </si>
  <si>
    <t>Urban wages of female paid employees, 2008 labor survey:</t>
  </si>
  <si>
    <t>Exchange rate:</t>
  </si>
  <si>
    <t>Urban wages of female paid employees*Unemployment:</t>
  </si>
  <si>
    <t>Country Name</t>
  </si>
  <si>
    <t>Country Code</t>
  </si>
  <si>
    <t>Indicator Name</t>
  </si>
  <si>
    <t>Indicator Code</t>
  </si>
  <si>
    <t>ZMB</t>
  </si>
  <si>
    <t>Official exchange rate (LCU per US$, period average)</t>
  </si>
  <si>
    <t>PA.NUS.FCRF</t>
  </si>
  <si>
    <t>Current kwacha/$ exchange rate:</t>
  </si>
  <si>
    <t>Connection and WC costs:</t>
  </si>
  <si>
    <t>Changes from previous version:</t>
  </si>
  <si>
    <t>Health tab:</t>
  </si>
  <si>
    <t>Reformatted so that all relevant data is in this spreadsheet, improved formatting of comments and references.</t>
  </si>
  <si>
    <t>Health -- stunting:</t>
  </si>
  <si>
    <t>Increments due to reduced stunting must be multiplied by two to represent two standard deviations.</t>
  </si>
  <si>
    <t>Reduced probability of stunting is not 47% - 0%, but 47% - 28% = 19%.</t>
  </si>
  <si>
    <t>Cohort analysis improperly counted reduced stunting in 2013, when no reduction is assumed to have occurred.</t>
  </si>
  <si>
    <t>Cohort analysis for drainage improperly calculated.</t>
  </si>
  <si>
    <t>Average wage updated from 2005 to 2008 survey.</t>
  </si>
  <si>
    <t>Benefits:</t>
  </si>
  <si>
    <t>According to new guidance, MCC money spent on construction wages are not counted as a benefit.  Direct labor expenditures are a cost.</t>
  </si>
  <si>
    <t>Time savings:</t>
  </si>
  <si>
    <t>Wage not discounted by 50% for "low opportunity cost" but discounted by urban Lusaka unemployment rate from 2008 labor survey (35%) to account for probability of finding work.</t>
  </si>
  <si>
    <t>Women's wages not discounted by 60% for "low opportunity cost" but discounted by urban Lusaka unemployment rate for women (42%) from 2008 labor survey</t>
  </si>
  <si>
    <t>Sanitation:</t>
  </si>
  <si>
    <t>Drainage:</t>
  </si>
  <si>
    <t>Health benefits:</t>
  </si>
  <si>
    <t>Costs:</t>
  </si>
  <si>
    <t>NRW benefits:</t>
  </si>
  <si>
    <t>Time savings benefits:</t>
  </si>
  <si>
    <t>Core water:</t>
  </si>
  <si>
    <t>Water connections:</t>
  </si>
  <si>
    <t>Subproject ERR calculations:</t>
  </si>
  <si>
    <t>ERRs:</t>
  </si>
  <si>
    <t>Costs per beneficiary:</t>
  </si>
  <si>
    <t>Beneficiaries:</t>
  </si>
  <si>
    <t>Sanitation - connection and WC costs:</t>
  </si>
  <si>
    <t>Introduced cost of sanitation connections and WC construction</t>
  </si>
  <si>
    <t>LS2</t>
  </si>
  <si>
    <t>LS3</t>
  </si>
  <si>
    <t>LS6</t>
  </si>
  <si>
    <t># of new hh connections:</t>
  </si>
  <si>
    <t>Average of MTENDERE, Kalingalinga, NGWERERE, JUSTINE KABWE, Matero, Lima, and HARRY MWAANGA districts (see "Lusaka Beneficiary Counts.xls")</t>
  </si>
  <si>
    <t>See "Lusaka Beneficiary Counts.xls"</t>
  </si>
  <si>
    <t>Targeted Water and Sewer</t>
  </si>
  <si>
    <t>For income per hh indicator:</t>
  </si>
  <si>
    <t>Malaria incidents per 1000:</t>
  </si>
  <si>
    <t>From [Health data.xlsx]Disease Summary'!$J$48*E113</t>
  </si>
  <si>
    <t>From 'health'r113*[Health data.xlsx]Disease Summary'!$J$48</t>
  </si>
  <si>
    <t>Targets:</t>
  </si>
  <si>
    <t>Other passenger vehicles</t>
  </si>
  <si>
    <t>Baseline hours spent fetching water:</t>
  </si>
  <si>
    <t>Households</t>
  </si>
  <si>
    <t>Time per household, WOP</t>
  </si>
  <si>
    <t>Time per household WP</t>
  </si>
  <si>
    <t>Target hours spent fetching water:</t>
  </si>
  <si>
    <t>Access to water:</t>
  </si>
  <si>
    <t>HH with no service before project (a+c):</t>
  </si>
  <si>
    <t>Percent of total:</t>
  </si>
  <si>
    <t>Target:</t>
  </si>
  <si>
    <t>Before project (e):</t>
  </si>
  <si>
    <t>After project (c+d+e):</t>
  </si>
  <si>
    <t>Number of HH connections:</t>
  </si>
  <si>
    <t>Water consumption m3/HH/year:</t>
  </si>
  <si>
    <t>Water consumption liters/HH/day:</t>
  </si>
  <si>
    <t>Beneficiaries :</t>
  </si>
  <si>
    <t>Access to sanitation:</t>
  </si>
  <si>
    <t>Before project:</t>
  </si>
  <si>
    <t>After:</t>
  </si>
  <si>
    <t>8/30/13: Added calculations for M&amp;E plan indicators.</t>
  </si>
  <si>
    <t>Note that wages from Mtendere survey yield approximately the same value in dollars, so we are not overestimating the salary.</t>
  </si>
  <si>
    <t>Malaria incidence:</t>
  </si>
  <si>
    <t>From June 13 trip (official Lusaka city statistics)</t>
  </si>
  <si>
    <t>Made a correction in cell E112 of the health tab to correct predicted deaths from malaria</t>
  </si>
  <si>
    <t>Barchart data:</t>
  </si>
  <si>
    <t>$1.25 - $2</t>
  </si>
  <si>
    <t>Cost effectiveness by income category:</t>
  </si>
  <si>
    <t>National income distribution:</t>
  </si>
  <si>
    <t>National Income Distribution</t>
  </si>
  <si>
    <t>CE for income &lt;$1.25/day</t>
  </si>
  <si>
    <t>CE for income &gt;=$1.25/day and &lt;$2/day</t>
  </si>
  <si>
    <t>CE for income &gt;=$2/day and &lt;$4/day</t>
  </si>
  <si>
    <t>CE for income &gt;$4/day</t>
  </si>
  <si>
    <t>LWSSC</t>
  </si>
  <si>
    <t>Targeted water and sewage:</t>
  </si>
  <si>
    <t>Targeted Water, Sewage</t>
  </si>
  <si>
    <t>Total number of beneficiaries served:</t>
  </si>
  <si>
    <t>Implied # of hhs:</t>
  </si>
  <si>
    <t>Approx consumption per hh in litres per day:</t>
  </si>
  <si>
    <t>Approx consumption per hh in litres per year:</t>
  </si>
  <si>
    <t>Total consumption per year, litres:</t>
  </si>
  <si>
    <t>Total consumption per year, cubic meters:</t>
  </si>
  <si>
    <t>Core water network</t>
  </si>
  <si>
    <t xml:space="preserve">Core water network </t>
  </si>
  <si>
    <t>Table 6: Benefits per Beneficiary, by Activity</t>
  </si>
  <si>
    <t>Core Water Supply Network Rehabilitation</t>
  </si>
  <si>
    <t>Targeted Water Supply and Sanitation Rehabilitation and Expansion</t>
  </si>
  <si>
    <t>Drainage Improvements</t>
  </si>
  <si>
    <t>&lt;$2</t>
  </si>
  <si>
    <t>Table 7: Cost Effectiveness</t>
  </si>
  <si>
    <t>Targeted Water and Sanitation:</t>
  </si>
  <si>
    <t>http://en.wikipedia.org/wiki/Odds_ratio</t>
  </si>
  <si>
    <t>We know the overall prevalence rate of diarrhea:</t>
  </si>
  <si>
    <t>We know the overall prevalence rate of stunting:</t>
  </si>
  <si>
    <t>We know the Odds Ratio of Teshome et al:</t>
  </si>
  <si>
    <t>I.e. we need P(stunted|diarrhea) and P(stunted|no diarrhea)</t>
  </si>
  <si>
    <t>We first derive the joint probability distribution and use that to calculate the conditional probabilities.</t>
  </si>
  <si>
    <t>We can derive the joint probability distribution thusly:</t>
  </si>
  <si>
    <t>The joint probability of stunting given exposure to diarrhea is:</t>
  </si>
  <si>
    <t>where:</t>
  </si>
  <si>
    <t>p11=</t>
  </si>
  <si>
    <t>Joint probability of being exposed to diarrhea and being stunted</t>
  </si>
  <si>
    <t>p1dot=</t>
  </si>
  <si>
    <t>Diarrhea prevalence:</t>
  </si>
  <si>
    <t>pdot1=</t>
  </si>
  <si>
    <t>Stunting prevalence:</t>
  </si>
  <si>
    <t>R=</t>
  </si>
  <si>
    <t>Odds Ratio:</t>
  </si>
  <si>
    <t>and</t>
  </si>
  <si>
    <t>Once p11 is calculated we can get the rest of the joint probabilities trivially.</t>
  </si>
  <si>
    <t>S</t>
  </si>
  <si>
    <t>p11</t>
  </si>
  <si>
    <t>Joint probability:</t>
  </si>
  <si>
    <t>Stunted</t>
  </si>
  <si>
    <t>Not Stunted</t>
  </si>
  <si>
    <t>Diarrhea</t>
  </si>
  <si>
    <t>No Diarrhea</t>
  </si>
  <si>
    <t>Conditional probability:</t>
  </si>
  <si>
    <t>For the ERR we need the difference in probability of being stunted with and without exposure to diarrhea as an infant.</t>
  </si>
  <si>
    <t>Introduced a simpler way of calculating difference in stunting probability with and without exposure to diarrhea as an infant.</t>
  </si>
  <si>
    <t>Drainage scenario:</t>
  </si>
  <si>
    <t>1) Don't do the drainage project</t>
  </si>
  <si>
    <t>1=do the drainage project, 0=don't do it</t>
  </si>
  <si>
    <t>Drainage costs from master cost spreadsheet:</t>
  </si>
  <si>
    <t>Infectious Diarrhea:</t>
  </si>
  <si>
    <t>Malaria:</t>
  </si>
  <si>
    <t>Others:</t>
  </si>
  <si>
    <t>PDV:</t>
  </si>
  <si>
    <t>Schisto:</t>
  </si>
  <si>
    <t>7/8/2014: Added drainage scenarios</t>
  </si>
  <si>
    <t>3) Option 3A - fund $15 million increase in costs by descoping CP8, lowering benefits by 25%</t>
  </si>
  <si>
    <t>1=Reduce drainage benefits by 25% 0=do nothing</t>
  </si>
  <si>
    <t>8/13/14: Added more drainage scenarios, details</t>
  </si>
  <si>
    <t>Option 3b: Reduce LS3 beneficiaries to zero</t>
  </si>
  <si>
    <t>1=do nothing, 0=reduce LS3 beneficiaries to zero</t>
  </si>
  <si>
    <t>8/27/14: Investigate effect on ERR of M&amp;E assertion that all kiosks will be rehabilitated and there will only be 37</t>
  </si>
  <si>
    <t>Increase in resettlement costs:</t>
  </si>
  <si>
    <t>8/26/14: Added scenario 3B, descope LS3 (see "drainage scenario" below)</t>
  </si>
  <si>
    <t>1/7/15: Add $18.1 million to year one costs to reflect increase of resettlement costs. NOTE: No, the increase in costs does not exceed contingencies, which are already accounted for.</t>
  </si>
  <si>
    <t>1/28/2015: Old drainage beneficiary numbers are extrapolated from 2000 census. Updated beneficiary numbers to reflect 2010 census, and also reduce figure by 23% to account for descoping of Lumumba portion of CP7. See cell c55 on health sheet. This means undoing the drainage scenario 3b from 8/26/14 above.</t>
  </si>
  <si>
    <t>2/18/15: Descope CP5, CP6 scenarios (see bottom of this sheet)</t>
  </si>
  <si>
    <t>Descope CP5 (0 do nothing, 1 reduce water benefits by 64.5%):</t>
  </si>
  <si>
    <t>Scenario: Defund CP5, Water+Sewer cost goes down by 64.5%:</t>
  </si>
  <si>
    <t>New Water + Sewerage costs:</t>
  </si>
  <si>
    <t>New Total costs:</t>
  </si>
  <si>
    <t>Defund CP6 (0 do nothing, 1 reduce NRW benefits by 45%):</t>
  </si>
  <si>
    <t>Scenario: Defund CP6, NRW cost goes down by 45%:</t>
  </si>
  <si>
    <t>New NRW costs:</t>
  </si>
  <si>
    <t>New total costs:</t>
  </si>
  <si>
    <t>Defunding CP6 eliminates health benefits from water infrastructure extension project (1=yes):</t>
  </si>
  <si>
    <t>Behavior change scenarios:</t>
  </si>
  <si>
    <t>Behavior change:</t>
  </si>
  <si>
    <t>Uptake rate:</t>
  </si>
  <si>
    <t>Uptake is 80% instead of 100%:</t>
  </si>
  <si>
    <t>Effective rate:</t>
  </si>
  <si>
    <t>ERR:</t>
  </si>
  <si>
    <t>Breakeven is currently about 0.3</t>
  </si>
  <si>
    <t>Number of expansion beneficiaries:</t>
  </si>
  <si>
    <t>Number of hhs (approx):</t>
  </si>
  <si>
    <t>Total benefits accruing to expansion beneficiaries:</t>
  </si>
  <si>
    <t>Number of expansion beneficiaries (for network expansion subcomponent):</t>
  </si>
  <si>
    <t>Total beneficiaries:</t>
  </si>
  <si>
    <t>Total benefits:</t>
  </si>
  <si>
    <t>Benefits per hh:</t>
  </si>
  <si>
    <t>million $s</t>
  </si>
  <si>
    <t>% accruing to health:</t>
  </si>
  <si>
    <t>Water supply:</t>
  </si>
  <si>
    <t>Number of hhs:</t>
  </si>
  <si>
    <t>Benefits accruing to expansion:</t>
  </si>
  <si>
    <t>IGP guidance calculations (set uptake rate above to 1):</t>
  </si>
  <si>
    <t>Overall ERR:</t>
  </si>
  <si>
    <t>Scenario: Reduce NRW reduction in technical and commercial losses</t>
  </si>
  <si>
    <t>NRW benefits multiplier:</t>
  </si>
  <si>
    <t>(New connection) Health benefits:</t>
  </si>
  <si>
    <t>(New connection) Time savings benefits:</t>
  </si>
  <si>
    <t>Total: Rehab beneficiaries/Rehab+Expansion:</t>
  </si>
  <si>
    <t>Water: Rehab beneficiaries/Rehab+Expansion</t>
  </si>
  <si>
    <t>Sanitation: Rehab / rehab+Expansion</t>
  </si>
  <si>
    <t>Rehabilitation health benefits:</t>
  </si>
  <si>
    <t>Rehab time savings benefits:</t>
  </si>
  <si>
    <t>Increased cost scenario:</t>
  </si>
  <si>
    <t>"Extreme poor" impact</t>
  </si>
  <si>
    <t>"Poor" impact</t>
  </si>
  <si>
    <t>"Near poor" impact</t>
  </si>
  <si>
    <t>per MCC $</t>
  </si>
  <si>
    <t>year 0:</t>
  </si>
  <si>
    <t>Year 4:</t>
  </si>
  <si>
    <t>This reflects a 25% decrease in drainage beneficiaries to reflect descoping of Lumumba (to fund Mazyopa). Further reductions in beneficiaries should be taken from this number.</t>
  </si>
  <si>
    <t>ERR Version</t>
  </si>
  <si>
    <t>Original ERR</t>
  </si>
  <si>
    <t>Revised ERR</t>
  </si>
  <si>
    <t>Date of ERR</t>
  </si>
  <si>
    <t>Amount of MCC funds</t>
  </si>
  <si>
    <t>Project Description</t>
  </si>
  <si>
    <t>Benefit streams included in ERR</t>
  </si>
  <si>
    <t>Costs included in ERR (not borne by MCC)</t>
  </si>
  <si>
    <t>ERR estimations and time horizon</t>
  </si>
  <si>
    <t>Table of Contents</t>
  </si>
  <si>
    <t>One should read this sheet first, as it offers a summary of the project, a list of components, and states the economic rationale for the project.</t>
  </si>
  <si>
    <t>ERR &amp; Sensitivity Analysis</t>
  </si>
  <si>
    <t>This worksheet highlights key assumptions and summarizes how the ERR may change due to varying costs and benefits.</t>
  </si>
  <si>
    <t>Cost-Benefit Summary</t>
  </si>
  <si>
    <t>This worksheet shows the cost effectiveness of the project broken out into different poverty categories.</t>
  </si>
  <si>
    <t xml:space="preserve">Health </t>
  </si>
  <si>
    <t>Sources</t>
  </si>
  <si>
    <t xml:space="preserve">Assumptions </t>
  </si>
  <si>
    <t>Original Project</t>
  </si>
  <si>
    <t>Revised Project</t>
  </si>
  <si>
    <t>Economic Rationale</t>
  </si>
  <si>
    <t>Date</t>
  </si>
  <si>
    <t xml:space="preserve">Zambia: Water, Sanitation, &amp; Drainage </t>
  </si>
  <si>
    <t>ERR and sensitivity analysis</t>
  </si>
  <si>
    <t>Parameter type</t>
  </si>
  <si>
    <t>Description of key parameters</t>
  </si>
  <si>
    <t>Parameter values</t>
  </si>
  <si>
    <t>User Input</t>
  </si>
  <si>
    <t>MCC Estimate</t>
  </si>
  <si>
    <t>Plausible Range</t>
  </si>
  <si>
    <t>Summary</t>
  </si>
  <si>
    <t>Actual costs as a percentage of estimated costs</t>
  </si>
  <si>
    <t>80%-120%</t>
  </si>
  <si>
    <t>Actual benefits as a percentage of estimated benefits</t>
  </si>
  <si>
    <t>Specific</t>
  </si>
  <si>
    <t xml:space="preserve">User Generated Economic rate of return (ERR)*: </t>
  </si>
  <si>
    <t>MCC Estimated ERRs:</t>
  </si>
  <si>
    <t>ERR</t>
  </si>
  <si>
    <t>Present Value (PV) of Benefits:</t>
  </si>
  <si>
    <t xml:space="preserve">Costs </t>
  </si>
  <si>
    <t>Present Value (PV) of Costs</t>
  </si>
  <si>
    <t xml:space="preserve">Calendar Year </t>
  </si>
  <si>
    <t xml:space="preserve">Time Savings </t>
  </si>
  <si>
    <t xml:space="preserve">Net Benefits </t>
  </si>
  <si>
    <t xml:space="preserve">Total Costs </t>
  </si>
  <si>
    <t xml:space="preserve">ERR </t>
  </si>
  <si>
    <t xml:space="preserve">Present Value (PV) of Benefits </t>
  </si>
  <si>
    <t xml:space="preserve">(USD Million) </t>
  </si>
  <si>
    <t xml:space="preserve">Misc: </t>
  </si>
  <si>
    <t>$354.8 million</t>
  </si>
  <si>
    <t>1) Through the Infrastructure activity, providing support to the city's water utility, Lusaka Water and Sewerage Company (LWSC), which manages water and sanitation assets and to the city government's Lusaka City Council (LCC), which manages drainage assets</t>
  </si>
  <si>
    <t>2) Through the Insitutional Strengthening activity, providing targeted technical assistance to LWSC and LCC to continue reform efforts and pursue new ones designed to ensure improved sector management</t>
  </si>
  <si>
    <t>-Sanitation connection costs borne by Government of the Republic Of Zambia</t>
  </si>
  <si>
    <t>17.0% over 20 years</t>
  </si>
  <si>
    <t>Zambia: Lusaka Water Supply, Sanitation, &amp; Drainage Project</t>
  </si>
  <si>
    <t xml:space="preserve">The Zambia Compact comprises two primary activities, both of which are aimed at supporting infrastructure investments and continued institutional reform in the water sector in the capital city of Lusaka:     </t>
  </si>
  <si>
    <t>-Decreased health costs resulting from more sanitary water conditions</t>
  </si>
  <si>
    <t>-Local labor benefits (construction wages)</t>
  </si>
  <si>
    <t>-Income gains from time savings</t>
  </si>
  <si>
    <t>-Savings to utility company from reduction in non-revenue water losses</t>
  </si>
  <si>
    <t>-Time savings for fetching water</t>
  </si>
  <si>
    <t>-Avoided property damage and lost value added</t>
  </si>
  <si>
    <t>A separate sheet for calculating health-related stunting effects.</t>
  </si>
  <si>
    <t xml:space="preserve">Health-Stunting </t>
  </si>
  <si>
    <t xml:space="preserve">Time Travel Analysis </t>
  </si>
  <si>
    <t xml:space="preserve">BA Inputs </t>
  </si>
  <si>
    <t>Summary of ERR calculations.</t>
  </si>
  <si>
    <t>Presents aggregated health-related benefits of the program.</t>
  </si>
  <si>
    <t>Details time savings benefits resulting from improved drainage.</t>
  </si>
  <si>
    <t>Details time savings benefits resulting from improved sanitation.</t>
  </si>
  <si>
    <t>For calculating time savings benefits for the drainage project.</t>
  </si>
  <si>
    <t>Abbreviated bibliography of sources consulted.</t>
  </si>
  <si>
    <t>Lists the primary assumptions used to calculate the project's economic benefits.</t>
  </si>
  <si>
    <t>Data for beneficiary analysis</t>
  </si>
  <si>
    <t xml:space="preserve">Benefits </t>
  </si>
  <si>
    <t>Lists all annual project costs.</t>
  </si>
  <si>
    <t>Aggregates all monetary benefits attributable to the project.</t>
  </si>
  <si>
    <t>Presents benefits to utility resulting from reduction in non-revenue water losses.</t>
  </si>
  <si>
    <t xml:space="preserve">Barchart </t>
  </si>
  <si>
    <t>A graphical representation of key beneficiary analysis findings.</t>
  </si>
  <si>
    <t xml:space="preserve">Barchart Data </t>
  </si>
  <si>
    <t>Data used for barchart.</t>
  </si>
  <si>
    <t>Compact activities take place under two related frameworks: Infrastructure and Institutional Strengthening. There is no separate ERR for the Institutional Strengthening project - it is assumed the full benefits of the Infrastructure project can not be achieved without successful completion of the Institutional Strengthening project. The following is a brief description of the primary components of each:</t>
  </si>
  <si>
    <t xml:space="preserve">The aim of the proposed MCC investments is to increase incomes in Lusaka by creating the conditions for a healthier population with more time available for productive economic activity. More specifically, in addressing health conditions, the proposed investments seek to have significant impact on reducing the prevalence and incidence of water-borne diseases, productive days lost due to water borne diseases, child/infant mortality rates, cost of water and sanitation, time to collect water, and business and residential flood losses. The proposed MCC-funded investments are designed to address these aims by improving service provider operating efficiency, increasing water storage capacity, enhancing water delivery capacity, upgrading wastewater collection and treatment capacity and quality, and modernizing and expanding primary and secondary network components. </t>
  </si>
  <si>
    <t>Infrastructure</t>
  </si>
  <si>
    <t>- Core Water Network Rehabilitation: This sub-activity is designed to rehabilitate the core water supply network in Lusaka in order to upgrade key treatment and distribution centers and distribution lines and to reduce Non-Revenue Water (NRW). Primary components of this sub-activity are expected to include:
          (1) the rehabilitation of the Iolanda treatment plant and the Chilanga booster pump station;
          (2) the rehabilitation of segments of water transmission mains and the installation of segments of parallel transmission mains;
          (3) the rehabilitation of select distribution centers and the construction of up to two new reservoirs;
          (4) the supply and installation of bulk and consumer water meters;
          (5) the supply of leak repair materials and related tools and equipment, as well as the provision of appropriate training; and
          (6) the replacement of unsuitable and inefficient distribution network and connection pipes.</t>
  </si>
  <si>
    <t>- Targeted Water Supply and Sanitation Rehabilitation and Expansion: This subactivity is designed to upgrade the water supply and sanitation network for several areas of Lusaka. Primary components of this sub-activity are expected to include:
          (1) the installation of new pipes;
          (2) the construction of new water kiosks;
          (3) the construction of new household connections and water meters;
          (4) the drilling and equipping of boreholes;
          (5) the construction, rehabilitation, and upgrading of pump stations;
          (6) the upgrading and expanding of treatment pods; 
          (7) the rehabilitation of sewer interceptors; and 
          (8) the extension of a sewer system in order to expand household sanitation connections.</t>
  </si>
  <si>
    <r>
      <t>- Drainage Improvements:</t>
    </r>
    <r>
      <rPr>
        <i/>
        <sz val="10"/>
        <color theme="1"/>
        <rFont val="Arial"/>
        <family val="2"/>
      </rPr>
      <t xml:space="preserve"> </t>
    </r>
    <r>
      <rPr>
        <sz val="10"/>
        <color theme="1"/>
        <rFont val="Arial"/>
        <family val="2"/>
      </rPr>
      <t>This sub-activity is designed to reduce flooding through infrastructure improvements to the Bombay drain, which conveys the runoff from the majority of the downtown business district areas of Lusaka. Primary components of this sub-activity are expected to include:
          (1) the upsizing of the existing primary outfall and main drain channels;
          (2) the stabilization of the newly upsized drainage channels; and
          (3) as needed, the installation of protective handrails.</t>
    </r>
  </si>
  <si>
    <t>Institutional Strengthening</t>
  </si>
  <si>
    <t>- Institutional Improvements: Through the institutional strengthening activity, Lusaka Water and Sewerage Company (LWSC) and Lusaka City Council (LCC) management and operations are expected to improve. These institutions are expected to gain operational efficiencies and increased productivity through better asset management, strategic planning, environmental management, pro-poor planning, gender mainstreaming and innovative partnerships and grants. MCC’s proposed investment complements ongoing and long-standing institutional reform support from the World Bank.</t>
  </si>
  <si>
    <t>Zambia: Lusaka Water Supply, Sanitation, and Drainage Project</t>
  </si>
  <si>
    <t>Switchboard for alternate measures of the opportunity cost of time:</t>
  </si>
  <si>
    <t xml:space="preserve">NPV of Net Benefits </t>
  </si>
  <si>
    <t xml:space="preserve">Share of Benefit Streams in Total Benefits </t>
  </si>
  <si>
    <r>
      <t>From Alderman et al Table 8, effect of increasing height by one standard deviation*2 for two standard deviations</t>
    </r>
    <r>
      <rPr>
        <sz val="11"/>
        <color rgb="FFFF0000"/>
        <rFont val="Calibri"/>
        <family val="2"/>
        <scheme val="minor"/>
      </rPr>
      <t xml:space="preserve"> </t>
    </r>
  </si>
  <si>
    <t>ERR LWSSDP Master cost spreadsheet.1</t>
  </si>
  <si>
    <t>Unless otherwise specified, emails cited in this file were addressed to Lead Economist/DPE staff member.</t>
  </si>
  <si>
    <t>Sources:</t>
  </si>
  <si>
    <t>This worksheet presents the aggregated costs and benefits from the project activities year-by-year, calculating a combined ERR.</t>
  </si>
  <si>
    <t>MCC Due Diligence Estimates (2012)</t>
  </si>
  <si>
    <t>JICA (2009)</t>
  </si>
  <si>
    <t xml:space="preserve">EIDJR09041 FR ANNEX I.pdf </t>
  </si>
  <si>
    <t>Source - JICA</t>
  </si>
  <si>
    <t>887,170-1,774,340</t>
  </si>
  <si>
    <t>19%-52%</t>
  </si>
  <si>
    <t>million USD</t>
  </si>
  <si>
    <t>Average monthly urban wage for Lusaka PUAs (2008 ZMK/mo)</t>
  </si>
  <si>
    <t>857,329-1714659</t>
  </si>
  <si>
    <t>Baseline diarrhea rate, under 5</t>
  </si>
  <si>
    <t>322-644</t>
  </si>
  <si>
    <t>2) Add $22 million in costs to drainage project in year 4 (see ERR tab for details)</t>
  </si>
  <si>
    <t>1=add $22 million to costs in year 4, 0=don't</t>
  </si>
  <si>
    <t>2) Continue with CP 7&amp;8 and ensure that Mazyopa drainage works and resettlement are funded (either through the compact with gov resources or separately).  Use $22 million in additional cost and assume no additional beneficiaries for your calculations</t>
  </si>
  <si>
    <t>13.7% over 20 years</t>
  </si>
  <si>
    <r>
      <t>Change the "</t>
    </r>
    <r>
      <rPr>
        <b/>
        <sz val="10"/>
        <color rgb="FF0000FF"/>
        <rFont val="Arial"/>
        <family val="2"/>
      </rPr>
      <t>User Input</t>
    </r>
    <r>
      <rPr>
        <sz val="10"/>
        <rFont val="Arial"/>
        <family val="2"/>
      </rPr>
      <t>" cells in the table below to see the effect on the compact's Economic Rate of Return (ERR) and net benefits (see chart below).  To reset all values to the default MCC estimates, set the values in yellow to the values in the MCC estimate column.  Be sure to reset all summary parameters to their original values ("MCC Estimate" values) before changing specific parameters.</t>
    </r>
  </si>
  <si>
    <t xml:space="preserve">Total Benefits </t>
  </si>
  <si>
    <t>Citation*</t>
  </si>
  <si>
    <t xml:space="preserve">Additional Information </t>
  </si>
  <si>
    <t xml:space="preserve">* Documents available upon request. </t>
  </si>
  <si>
    <t xml:space="preserve">From 1995-2010, there were 4 severe flood events in Lusaka, Namely, 1998, 2000, 2008, and 2010. Report on floods found in MCC Sharedrive. </t>
  </si>
  <si>
    <t>Information located on MCC Sharedrive</t>
  </si>
  <si>
    <t xml:space="preserve">Source: located on MCC sharedrive </t>
  </si>
  <si>
    <t>Population (from WB WDI) (Information located on MCC Sharedrive)</t>
  </si>
  <si>
    <t>Revised</t>
  </si>
  <si>
    <t>Present Value (PV) of Total Costs:</t>
  </si>
  <si>
    <t>20 y 
Flood*</t>
  </si>
  <si>
    <r>
      <rPr>
        <sz val="11"/>
        <color theme="1"/>
        <rFont val="Calibri"/>
        <family val="2"/>
        <scheme val="minor"/>
      </rPr>
      <t>*</t>
    </r>
    <r>
      <rPr>
        <sz val="9"/>
        <color theme="1"/>
        <rFont val="Calibri"/>
        <family val="2"/>
        <scheme val="minor"/>
      </rPr>
      <t>CH2MHILL (2011c:59) - "The Bombay covers the central commercial district, and an improvement of the primary outfalls will prevent future flooding in the downtown area.  Improving the flow capacity of the Bombay drain will also directly reduce flooding in some of the Priority areas, including Kamwala South, Mandevu, Garden West, and Chilulu, especially for the 20-year or 50-year events."</t>
    </r>
  </si>
  <si>
    <t>Gauff Ingenieure (2011c): "Should flooding occur, it tends to be widespread and usually starts in late January or early February and can go on into May on occasions."</t>
  </si>
  <si>
    <t>Estimates from maps in Gauff Ingenieure (2011d) and CH2MHILL (2011c:4) (Priority Drainage Areas in Lusaka)</t>
  </si>
  <si>
    <t>Gauff Ingenieure (2011c:2-54 - 2-54)</t>
  </si>
  <si>
    <t xml:space="preserve">Notes/Sources </t>
  </si>
  <si>
    <t>(Economist's note in reference to Kabwata) Bombay southern extension. Gauff Ingenieure (2011c), Annex III: Report on Flooding, p. 6: "In south and south-western Lusaka where karstic Dolomitic Limestone occurs, and as noted in the Drainage Priority Investment Program, flooding is not necessarily associated with the peak day rainfall of the season but is more likely to occur in the latter part of the season following moderate to heavy rainfall. Hence, flooding is seasonally dependent and in years with low annual rainfall, flooding either does not occur or is very limited in both extent and duration." Suggests that there's no project impact for these beneficiaries under &lt; 5y flood. This observation is consistent with expected annual impact on property damage in Kabwata = 0.</t>
  </si>
  <si>
    <t xml:space="preserve">See economist's note above for Kabwata (P58) </t>
  </si>
  <si>
    <t>Note for economist: See Lusaka Main Valuation Roll v2.xlsx (exchange rate adjusted, see 'health'!b13</t>
  </si>
  <si>
    <t>Note for economist: See Lusaka Main Valuation Roll v2.xlsx (exchange rate adjusted, see 'health'!b14</t>
  </si>
  <si>
    <t>Note for economist: See Lusaka Main Valuation Roll v2.xlsx (exchange rate adjusted, see 'health'!b15</t>
  </si>
  <si>
    <t>Note for economist: See Lusaka Main Valuation Roll v2.xlsx (exchange rate adjusted, see 'health'!b16</t>
  </si>
  <si>
    <t>Based on constituent DMAs and estimated fractions of priority area covered by each DMA, above</t>
  </si>
  <si>
    <r>
      <t xml:space="preserve">Property damage                                                                  </t>
    </r>
    <r>
      <rPr>
        <sz val="10"/>
        <color theme="1"/>
        <rFont val="Calibri"/>
        <family val="2"/>
        <scheme val="minor"/>
      </rPr>
      <t>(data are from 2009-10 rainy season - assume a 20 year flood)</t>
    </r>
  </si>
  <si>
    <t>Source located on MCC sharedrive</t>
  </si>
  <si>
    <t xml:space="preserve">Note for economist: See Lusaka Main Valuation Roll v2.xlsx (exchange rate adjusted, see 'health'!b12; located on MCC sharedrive </t>
  </si>
  <si>
    <r>
      <t>Median property improvement values for this area by type of use</t>
    </r>
    <r>
      <rPr>
        <sz val="10"/>
        <color theme="1"/>
        <rFont val="Calibri"/>
        <family val="2"/>
        <scheme val="minor"/>
      </rPr>
      <t xml:space="preserve">: That is, average "IMPROVE_VALUE" across all properties by use and valuation area </t>
    </r>
  </si>
  <si>
    <t xml:space="preserve">In reference to Chilenje South/New Areas (O98): Are is mostly in Kafue Province                                                                                                                    Valuation Area source located on MCC sharedrive                                                                                                                                                                                                                                                               </t>
  </si>
  <si>
    <r>
      <t xml:space="preserve">Area-weighted median property improvement values by type of us: </t>
    </r>
    <r>
      <rPr>
        <sz val="10"/>
        <color theme="1"/>
        <rFont val="Calibri"/>
        <family val="2"/>
        <scheme val="minor"/>
      </rPr>
      <t>That is, average of "IMPROVE_VALUE" across all properties by use and valuation area</t>
    </r>
  </si>
  <si>
    <t>See Gauff Ingenieure (2011c:2-54)</t>
  </si>
  <si>
    <t>Refers to extent of damage noted in Zambia Vulnerability Assessment Committee (ZVAC) (2010)</t>
  </si>
  <si>
    <t>2007 WB Enterprise Survey; STATA do file and output spreadsheet located on MCC Sharedrive</t>
  </si>
  <si>
    <r>
      <t>Extent of drainage project catchment</t>
    </r>
    <r>
      <rPr>
        <b/>
        <sz val="10"/>
        <color theme="1"/>
        <rFont val="Calibri"/>
        <family val="2"/>
        <scheme val="minor"/>
      </rPr>
      <t xml:space="preserve">                                      </t>
    </r>
    <r>
      <rPr>
        <sz val="10"/>
        <color theme="1"/>
        <rFont val="Calibri"/>
        <family val="2"/>
        <scheme val="minor"/>
      </rPr>
      <t>(Gauff Ingenieure - 2011c: 2-9, Fig. 2-6)</t>
    </r>
  </si>
  <si>
    <r>
      <t xml:space="preserve">Ward                                                               </t>
    </r>
    <r>
      <rPr>
        <i/>
        <sz val="10"/>
        <color theme="1"/>
        <rFont val="Calibri"/>
        <family val="2"/>
        <scheme val="minor"/>
      </rPr>
      <t xml:space="preserve">(Guaff Ingenueire 2011c: 2-9, Fig. 2-6) </t>
    </r>
  </si>
  <si>
    <r>
      <t xml:space="preserve">DMA </t>
    </r>
    <r>
      <rPr>
        <i/>
        <sz val="10"/>
        <color theme="1"/>
        <rFont val="Calibri"/>
        <family val="2"/>
        <scheme val="minor"/>
      </rPr>
      <t xml:space="preserve">                                   (Guaff Ingenueire 2011c: 2-9, Fig. 2-6) </t>
    </r>
  </si>
  <si>
    <r>
      <t xml:space="preserve">Ward                                                               </t>
    </r>
    <r>
      <rPr>
        <i/>
        <sz val="10"/>
        <color theme="1"/>
        <rFont val="Calibri"/>
        <family val="2"/>
        <scheme val="minor"/>
      </rPr>
      <t>(Gauff Ingenieure 2011c: 2-9, Fig. 2-6)</t>
    </r>
  </si>
  <si>
    <t>In reference to "Benefits/workers, by class", measured in 2011 US$, Compact term</t>
  </si>
  <si>
    <r>
      <t xml:space="preserve">DMA                        </t>
    </r>
    <r>
      <rPr>
        <i/>
        <sz val="10"/>
        <color theme="1"/>
        <rFont val="Calibri"/>
        <family val="2"/>
        <scheme val="minor"/>
      </rPr>
      <t>(Gauff Ingenieure 2011d, Future Water Expansion Projects - Existing and Future Project)</t>
    </r>
  </si>
  <si>
    <t>From MCC colleague, personal conversation, 10/13/11. Can derive from LWSC financial statements</t>
  </si>
  <si>
    <t>Located on MCC Sharedrive: [Zambia_Production_Costs.xlsx]Production', row 25, col K</t>
  </si>
  <si>
    <t>Located on MCC Sharedrive: [Zambia_Production_Costs.xlsx]Production', row 27, col K</t>
  </si>
  <si>
    <t>Located on MCC Sharedrive: [Zambia_Production_Costs.xlsx]Production', row 25, col K-S</t>
  </si>
  <si>
    <t>(From MCC Sharedrive [Zambia_Production_Costs.xlsx]Production', row 25)</t>
  </si>
  <si>
    <t xml:space="preserve">Number of unique travelers per year (vehicles and pedestrians), 2031, during flood-affected times = number of these types beneficiaries of travel time savings due to drainage investment; Economist's note: For simplcity, assume these are all non-resident beneficiaries. </t>
  </si>
  <si>
    <t>Number of unique travelers per year (vehicles and pedestrians), 2031; Economist's note: Assume the average traveler makes the trip 6 days/week.</t>
  </si>
  <si>
    <t>Averted time lost fraction*</t>
  </si>
  <si>
    <t>*Economist's note: "That is, fraction of time that would otherwise be lost, but for flood avoidance behavior - alternate routes, alternate times of travel, etc."</t>
  </si>
  <si>
    <t>Total Available for supply to customers (accounting for physical losses)*</t>
  </si>
  <si>
    <t xml:space="preserve">*Includes supply subject to theft &amp; nonpayment, unlike lines B25 and B39. </t>
  </si>
  <si>
    <t>Assumed for "Kiosk connection (WOP)"; Economist's note: "Assume that low pressure and unreliability creates waiting time compared to well-functioning kiosks (WP) (increment of 10%)"</t>
  </si>
  <si>
    <t>Assumed for "Household connection (WOP)"; Economist's note: "Assume that low pressure and unreliability may create some waiting time even within HHs (assume 10% of kiosk WP waiting time)"</t>
  </si>
  <si>
    <t xml:space="preserve">(Economist's note: "Generally, project priority areas are a subset of the areas included in the catchment areas comprising the DMAs above.") </t>
  </si>
  <si>
    <t>Economist's note: "This is a conservative assumption."</t>
  </si>
  <si>
    <t>MCC estimate based on ILO (2010); Economist's note: "ILO (2010:120-122), Statistical appendix table SA3.  No data for Zambia, and Africa data is scarce, but decile ratios in this table (D9/D1 and D5/D1) suggest that 7 is a plausible value for this ratio."</t>
  </si>
  <si>
    <t>Note from Reviewing Economist:  "I will research more as I have time, but for now I would split the schistosomiasis benefit evenly (i.e., 1/2 each) amongst water and sanitation.  Each plays a role and they clearly interact.  Rosen and Vincent (1999:17), Table 4 note a median reduction of 77% in prevalence (from better studies).  This figure is divided in thirds in this table for the three types of interventions.  Also see WHO RFP C-B Analysis_ WatSan_2005.pdf"</t>
  </si>
  <si>
    <t># of new kiosks</t>
  </si>
  <si>
    <t>Last updated: 03/20/2019</t>
  </si>
  <si>
    <t>Last updated: 3/20/2019</t>
  </si>
  <si>
    <t>NPV of benefits</t>
  </si>
  <si>
    <t>Cost of replacing infra with program</t>
  </si>
  <si>
    <t>Cost of replacing infra without program</t>
  </si>
  <si>
    <t>Cost of ISA</t>
  </si>
  <si>
    <t>ERR of ISA</t>
  </si>
  <si>
    <t>Core Water Network Benefits</t>
  </si>
  <si>
    <t>ISA ERR</t>
  </si>
  <si>
    <t>Expected differential service loss for Iolanda service area*</t>
  </si>
  <si>
    <t>Expected differential overall service loss**</t>
  </si>
  <si>
    <t>**Iolanda pumps 40 percent of the water in the total system, so we multiply this by 0.4 to get the share of total service lost.</t>
  </si>
  <si>
    <t>*Generated from a stata simulation, see "05.13.2019.zambia.err.corewaternetwork.do" Number generated in code is expected loss of service as a fraction of the water that Iolanda pumps</t>
  </si>
  <si>
    <t>***The quarterly amount consumed is 190 million, and the cost per metric ton is $6.60 when trucked in.</t>
  </si>
  <si>
    <t>Fraction of NRW benefits included in ERR:</t>
  </si>
  <si>
    <t>Changes to ERR for closeout:</t>
  </si>
  <si>
    <t>Add benefits from Core Water Network Benefits tab and Institutional Strengthening Tab</t>
  </si>
  <si>
    <t>6)</t>
  </si>
  <si>
    <t>Net benefits from Core Water Network  Benefits Tab</t>
  </si>
  <si>
    <t>7)</t>
  </si>
  <si>
    <t>Net benefits from Institutional Strengthening Tab</t>
  </si>
  <si>
    <t>Cost of lost water***, US$</t>
  </si>
  <si>
    <t>Net benefit of ISA, US$</t>
  </si>
  <si>
    <t>Average monthly female urban wage for Lusaka PUAs (2017 ZMK/mo)</t>
  </si>
  <si>
    <t>Average 2017 exch rate:</t>
  </si>
  <si>
    <t>2017</t>
  </si>
  <si>
    <t>Zero out health benefits because of water quality issues:</t>
  </si>
  <si>
    <t>Zero out NRW (to be replaced with Core Water Network Benefits and Institutional Strengthening)</t>
  </si>
  <si>
    <t>Fraction of health benefits included in ERR:</t>
  </si>
  <si>
    <t>Total number of new hh connections set to 27000 in keeping w ITT</t>
  </si>
  <si>
    <t>Fraction necessary to get to 27000:</t>
  </si>
  <si>
    <t>2017 US$/h</t>
  </si>
  <si>
    <t>Depreciation factor</t>
  </si>
  <si>
    <t>Years</t>
  </si>
  <si>
    <t>Depreciated benefits</t>
  </si>
  <si>
    <t>Depreciated net benefits</t>
  </si>
  <si>
    <t>ERR w/depreciation</t>
  </si>
  <si>
    <t>Net benefits w/o PIR:</t>
  </si>
  <si>
    <t>% of targeted hhs actually connected to expanded water infra (from ITT):</t>
  </si>
  <si>
    <t>The current ERR reflects a number of reallocations that are documented in modifications memos, an update in the number of beneficiaries in the drainage project using the 2010 census (previous estimates were based on the 2000 census), changes to benefit streams and parameters at closeout, and some small technical corrections. 
In 2014, the Lumumba section of the drainage project was descoped, reducing the number of beneficiaries of the drainage project by about 25%. Additional drainage project costs associated with the Mazyopa drain extension were added in 2017, increasing project costs by $22 million.
In 2015 there was a reallocation memo for an increase in resettlement costs. This did not exceed the contingency and did not affect the ERR.
In 2016 the team agreed that 100% uptake of water and sanitation by targeted beneficiaries was not technically feasible. That parameter was reduced to 80%.
A number of changes were made to the model at closeout:
Due to poor quality data to inform the NRW benefit stream, the NRW benefit stream was eliminated.
In its place, two new benefit streams were added: Core Water Network Benefits (benefits associated with avoiding failure of central pumps) and Institutional Strengthening (benefits associated with improved maintenance of all other compact-installed infrastructure assets)
Due to contamination of all sources of water revealed by testing during implementation, all health benefit streams were eliminated.
Finally, the percentage of targeted households who actually connected to the newly expanded network was reduced from 80% to 32% to reflect the data reported to the closeout ITT.</t>
  </si>
  <si>
    <t>Lessons Learned</t>
  </si>
  <si>
    <t>Closeout ERR</t>
  </si>
  <si>
    <t>9.7% over 20 years</t>
  </si>
  <si>
    <t>Poverty Scorecard: Zambia</t>
  </si>
  <si>
    <t>Lusaka Water Supply, Sanitation, &amp; Drainage Project</t>
  </si>
  <si>
    <t>Last updated: 05/11/2020</t>
  </si>
  <si>
    <r>
      <rPr>
        <b/>
        <u/>
        <sz val="11"/>
        <color theme="1"/>
        <rFont val="Calibri"/>
        <family val="2"/>
        <scheme val="minor"/>
      </rPr>
      <t>Methodology:</t>
    </r>
    <r>
      <rPr>
        <sz val="11"/>
        <color theme="1"/>
        <rFont val="Calibri"/>
        <family val="2"/>
        <scheme val="minor"/>
      </rPr>
      <t xml:space="preserve">  The basic idea is that improving water quality, sanitation, and drainage will reduce the incidence of various diseases in the treatment areas.  We can put a dollar value on this by estimating the amount of "life time" saved by the project (as measured in "disability adjusted life years" </t>
    </r>
    <r>
      <rPr>
        <sz val="11"/>
        <color rgb="FFFF0000"/>
        <rFont val="Calibri"/>
        <family val="2"/>
        <scheme val="minor"/>
      </rPr>
      <t>or "DALYs"</t>
    </r>
    <r>
      <rPr>
        <sz val="11"/>
        <color theme="1"/>
        <rFont val="Calibri"/>
        <family val="2"/>
        <scheme val="minor"/>
      </rPr>
      <t>) and multiplying by the opportunity cost of time.</t>
    </r>
  </si>
  <si>
    <r>
      <t xml:space="preserve">So for each disease and each "treatment type" (water, quality, sanitation, and drainage) we need an estimate of the DALYs saved, using the population of beneficiaries, the baseline incidence rate, and an estimated incident reduction rate.  </t>
    </r>
    <r>
      <rPr>
        <sz val="11"/>
        <color rgb="FFFF0000"/>
        <rFont val="Calibri"/>
        <family val="2"/>
        <scheme val="minor"/>
      </rPr>
      <t>We</t>
    </r>
    <r>
      <rPr>
        <sz val="11"/>
        <color theme="1"/>
        <rFont val="Calibri"/>
        <family val="2"/>
        <scheme val="minor"/>
      </rPr>
      <t xml:space="preserve"> also need an estimate of the opportunity cost of time.  Because one option available to all participants in the workforce is to earn a wage in the formal labor market, one estimate of the opportunity cost of time is the minimum formal wage rate, discounted by the probability of finding a job in the formal sector.  Whether this is the best way to estimate the opportunity cost of time is an open question, one we will investigate by collecting time use data through the M&amp;E plan.</t>
    </r>
  </si>
  <si>
    <t xml:space="preserve">The Institutional Strengthening (IS) activity could have been better integrated into the overall project design during compact development. 
Dysfunction in the operation of the utility directly impacted all of the major benefit streams in the ERR (connection rates, maintenance of 
assets, services and benefits to customers, etc.). In the future we should assume that any utility that has been targeted for an MCC 
intervention will require institutional strengthening, and a project diagnosing and addressing the utility's needs should be provided.
It also would have been helpful to have a benefit stream associated with the IS activity, with related indicators and targets derived from that benefit stream built into the ITT. Parameters associated with IS were overestimated (see the non-revenue water benefit stream assumption that physical water losses would be reduced 25%, and assumptions built into the infrastructure benefit streams that assets would be optimally maintained).
Parameters related to behavioral change (connection rates) were overestimated. In the future, more resources (both project design time and compact budget) may need to be devoted to ensure the assumptions in such parameters can be met.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</si>
</sst>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00"/>
    <numFmt numFmtId="166" formatCode="0.0%"/>
    <numFmt numFmtId="167" formatCode="0.0"/>
    <numFmt numFmtId="168" formatCode="_-* #,##0.00_-;\-* #,##0.00_-;_-* &quot;-&quot;??_-;_-@_-"/>
    <numFmt numFmtId="169" formatCode="&quot;$&quot;#,##0;\-&quot;$&quot;#,##0"/>
    <numFmt numFmtId="170" formatCode="0_)"/>
    <numFmt numFmtId="171" formatCode="_(* #,##0.0_);_(* \(#,##0.0\);_(* &quot;-&quot;??_);_(@_)"/>
    <numFmt numFmtId="172" formatCode="#,##0.000"/>
    <numFmt numFmtId="173" formatCode="_(&quot;$&quot;* #,##0_);_(&quot;$&quot;* \(#,##0\);_(&quot;$&quot;* &quot;-&quot;??_);_(@_)"/>
    <numFmt numFmtId="174" formatCode="#,##0.000_);\(#,##0.000\)"/>
    <numFmt numFmtId="175" formatCode="_(&quot;$&quot;* #,##0.000_);_(&quot;$&quot;* \(#,##0.000\);_(&quot;$&quot;* &quot;-&quot;??_);_(@_)"/>
    <numFmt numFmtId="176" formatCode="0.000000000000000%"/>
    <numFmt numFmtId="177" formatCode="0.000%"/>
    <numFmt numFmtId="178" formatCode="_(* #,##0.000_);_(* \(#,##0.000\);_(* &quot;-&quot;??_);_(@_)"/>
    <numFmt numFmtId="179" formatCode="&quot;$&quot;#,##0.000"/>
    <numFmt numFmtId="180" formatCode="&quot;$&quot;#,##0.000_);[Red]\(&quot;$&quot;#,##0.000\)"/>
    <numFmt numFmtId="181" formatCode="&quot;$&quot;#,##0.00"/>
    <numFmt numFmtId="182" formatCode="&quot;$&quot;#,##0"/>
    <numFmt numFmtId="183" formatCode="#,##0.0000"/>
    <numFmt numFmtId="184" formatCode="_(* #,##0.0000_);_(* \(#,##0.0000\);_(* &quot;-&quot;??_);_(@_)"/>
    <numFmt numFmtId="185" formatCode="0,,"/>
    <numFmt numFmtId="186" formatCode="0.0,,"/>
    <numFmt numFmtId="187" formatCode="#,##0.0_);\(#,##0.0\)"/>
  </numFmts>
  <fonts count="103">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indexed="8"/>
      <name val="Arial"/>
      <family val="2"/>
    </font>
    <font>
      <sz val="11"/>
      <color indexed="8"/>
      <name val="Calibri"/>
      <family val="2"/>
      <scheme val="minor"/>
    </font>
    <font>
      <sz val="10"/>
      <name val="Arial"/>
      <family val="2"/>
    </font>
    <font>
      <sz val="11"/>
      <color rgb="FFFF0000"/>
      <name val="Calibri"/>
      <family val="2"/>
      <scheme val="minor"/>
    </font>
    <font>
      <i/>
      <sz val="10"/>
      <name val="Arial"/>
      <family val="2"/>
    </font>
    <font>
      <sz val="11"/>
      <color indexed="8"/>
      <name val="Calibri"/>
      <family val="2"/>
    </font>
    <font>
      <b/>
      <sz val="10"/>
      <name val="Arial"/>
      <family val="2"/>
    </font>
    <font>
      <u/>
      <sz val="10"/>
      <color theme="10"/>
      <name val="Arial"/>
      <family val="2"/>
    </font>
    <font>
      <b/>
      <i/>
      <sz val="10"/>
      <name val="Arial"/>
      <family val="2"/>
    </font>
    <font>
      <sz val="11"/>
      <color theme="9" tint="-0.24994659260841701"/>
      <name val="Calibri"/>
      <family val="2"/>
      <scheme val="minor"/>
    </font>
    <font>
      <b/>
      <sz val="12"/>
      <name val="Helvetica"/>
    </font>
    <font>
      <u/>
      <sz val="10"/>
      <color indexed="12"/>
      <name val="Arial"/>
      <family val="2"/>
    </font>
    <font>
      <sz val="10"/>
      <name val="Geneva"/>
    </font>
    <font>
      <sz val="9"/>
      <name val="Helvetica"/>
    </font>
    <font>
      <b/>
      <i/>
      <sz val="9"/>
      <name val="Helvetica"/>
    </font>
    <font>
      <b/>
      <sz val="14"/>
      <color theme="1"/>
      <name val="Calibri"/>
      <family val="2"/>
      <scheme val="minor"/>
    </font>
    <font>
      <b/>
      <sz val="11"/>
      <name val="Calibri"/>
      <family val="2"/>
      <scheme val="minor"/>
    </font>
    <font>
      <b/>
      <sz val="12"/>
      <name val="Arial MT"/>
    </font>
    <font>
      <b/>
      <sz val="12"/>
      <name val="Arial"/>
      <family val="2"/>
    </font>
    <font>
      <sz val="8"/>
      <name val="Arial"/>
      <family val="2"/>
    </font>
    <font>
      <sz val="12"/>
      <name val="Arial"/>
      <family val="2"/>
    </font>
    <font>
      <i/>
      <sz val="11"/>
      <color theme="1"/>
      <name val="Calibri"/>
      <family val="2"/>
      <scheme val="minor"/>
    </font>
    <font>
      <sz val="12"/>
      <name val="Arial"/>
      <family val="2"/>
    </font>
    <font>
      <i/>
      <sz val="11"/>
      <name val="Calibri"/>
      <family val="2"/>
      <scheme val="minor"/>
    </font>
    <font>
      <b/>
      <sz val="12"/>
      <color theme="1"/>
      <name val="Calibri"/>
      <family val="2"/>
      <scheme val="minor"/>
    </font>
    <font>
      <b/>
      <i/>
      <sz val="11"/>
      <color theme="1"/>
      <name val="Calibri"/>
      <family val="2"/>
      <scheme val="minor"/>
    </font>
    <font>
      <b/>
      <i/>
      <sz val="12"/>
      <color theme="1"/>
      <name val="Calibri"/>
      <family val="2"/>
      <scheme val="minor"/>
    </font>
    <font>
      <vertAlign val="superscript"/>
      <sz val="11"/>
      <color theme="1"/>
      <name val="Calibri"/>
      <family val="2"/>
      <scheme val="minor"/>
    </font>
    <font>
      <sz val="11"/>
      <color theme="1"/>
      <name val="Cambria"/>
      <family val="1"/>
      <scheme val="major"/>
    </font>
    <font>
      <sz val="8"/>
      <color theme="1"/>
      <name val="Calibri"/>
      <family val="2"/>
      <scheme val="minor"/>
    </font>
    <font>
      <sz val="11"/>
      <color rgb="FFC00000"/>
      <name val="Calibri"/>
      <family val="2"/>
      <scheme val="minor"/>
    </font>
    <font>
      <b/>
      <sz val="11"/>
      <color rgb="FFC00000"/>
      <name val="Calibri"/>
      <family val="2"/>
      <scheme val="minor"/>
    </font>
    <font>
      <sz val="12"/>
      <color rgb="FFC00000"/>
      <name val="Calibri"/>
      <family val="2"/>
      <scheme val="minor"/>
    </font>
    <font>
      <sz val="11"/>
      <color theme="1"/>
      <name val="Calibri"/>
      <family val="2"/>
    </font>
    <font>
      <sz val="8"/>
      <color indexed="10"/>
      <name val="Arial"/>
      <family val="2"/>
    </font>
    <font>
      <b/>
      <sz val="14"/>
      <name val="Calibri"/>
      <family val="2"/>
      <scheme val="minor"/>
    </font>
    <font>
      <b/>
      <sz val="16"/>
      <name val="Calibri"/>
      <family val="2"/>
      <scheme val="minor"/>
    </font>
    <font>
      <b/>
      <sz val="12"/>
      <name val="Calibri"/>
      <family val="2"/>
      <scheme val="minor"/>
    </font>
    <font>
      <sz val="12"/>
      <color theme="1"/>
      <name val="Calibri"/>
      <family val="2"/>
      <scheme val="minor"/>
    </font>
    <font>
      <b/>
      <sz val="10"/>
      <color indexed="9"/>
      <name val="Calibri"/>
      <family val="2"/>
      <scheme val="minor"/>
    </font>
    <font>
      <sz val="10"/>
      <color indexed="12"/>
      <name val="Arial"/>
      <family val="2"/>
    </font>
    <font>
      <b/>
      <sz val="10"/>
      <name val="Calibri"/>
      <family val="2"/>
      <scheme val="minor"/>
    </font>
    <font>
      <b/>
      <sz val="10"/>
      <color indexed="12"/>
      <name val="Calibri"/>
      <family val="2"/>
      <scheme val="minor"/>
    </font>
    <font>
      <sz val="10"/>
      <name val="Calibri"/>
      <family val="2"/>
      <scheme val="minor"/>
    </font>
    <font>
      <b/>
      <sz val="10"/>
      <color indexed="9"/>
      <name val="Arial"/>
      <family val="2"/>
    </font>
    <font>
      <b/>
      <sz val="10"/>
      <color indexed="55"/>
      <name val="Arial"/>
      <family val="2"/>
    </font>
    <font>
      <sz val="10"/>
      <color indexed="23"/>
      <name val="Arial"/>
      <family val="2"/>
    </font>
    <font>
      <u/>
      <sz val="11"/>
      <color theme="1"/>
      <name val="Calibri"/>
      <family val="2"/>
      <scheme val="minor"/>
    </font>
    <font>
      <b/>
      <u/>
      <sz val="11"/>
      <color theme="1"/>
      <name val="Calibri"/>
      <family val="2"/>
      <scheme val="minor"/>
    </font>
    <font>
      <sz val="11"/>
      <color theme="1"/>
      <name val="Symbol"/>
      <family val="1"/>
      <charset val="2"/>
    </font>
    <font>
      <u/>
      <sz val="11"/>
      <color theme="10"/>
      <name val="Calibri"/>
      <family val="2"/>
    </font>
    <font>
      <sz val="11"/>
      <color rgb="FF0066FF"/>
      <name val="Calibri"/>
      <family val="2"/>
      <scheme val="minor"/>
    </font>
    <font>
      <sz val="11"/>
      <color rgb="FF92D050"/>
      <name val="Calibri"/>
      <family val="2"/>
      <scheme val="minor"/>
    </font>
    <font>
      <sz val="11"/>
      <color rgb="FF000000"/>
      <name val="Calibri"/>
      <family val="2"/>
      <scheme val="minor"/>
    </font>
    <font>
      <u/>
      <sz val="11"/>
      <color rgb="FF000000"/>
      <name val="Calibri"/>
      <family val="2"/>
      <scheme val="minor"/>
    </font>
    <font>
      <vertAlign val="superscript"/>
      <sz val="11"/>
      <color rgb="FF0066FF"/>
      <name val="Calibri"/>
      <family val="2"/>
      <scheme val="minor"/>
    </font>
    <font>
      <b/>
      <sz val="11"/>
      <color rgb="FF000000"/>
      <name val="Calibri"/>
      <family val="2"/>
      <scheme val="minor"/>
    </font>
    <font>
      <b/>
      <vertAlign val="superscript"/>
      <sz val="11"/>
      <color rgb="FF000000"/>
      <name val="Calibri"/>
      <family val="2"/>
      <scheme val="minor"/>
    </font>
    <font>
      <b/>
      <sz val="11"/>
      <color indexed="9"/>
      <name val="Calibri"/>
      <family val="2"/>
      <scheme val="minor"/>
    </font>
    <font>
      <i/>
      <sz val="11"/>
      <color indexed="12"/>
      <name val="Calibri"/>
      <family val="2"/>
      <scheme val="minor"/>
    </font>
    <font>
      <vertAlign val="superscript"/>
      <sz val="8"/>
      <name val="Arial"/>
      <family val="2"/>
    </font>
    <font>
      <sz val="9"/>
      <name val="Arial"/>
      <family val="2"/>
    </font>
    <font>
      <vertAlign val="superscript"/>
      <sz val="9"/>
      <name val="Arial"/>
      <family val="2"/>
    </font>
    <font>
      <b/>
      <sz val="9"/>
      <name val="Arial"/>
      <family val="2"/>
    </font>
    <font>
      <sz val="9"/>
      <color indexed="12"/>
      <name val="Arial"/>
      <family val="2"/>
    </font>
    <font>
      <sz val="10"/>
      <color indexed="9"/>
      <name val="Arial"/>
      <family val="2"/>
    </font>
    <font>
      <b/>
      <sz val="8"/>
      <name val="Arial"/>
      <family val="2"/>
    </font>
    <font>
      <b/>
      <sz val="11"/>
      <name val="Arial"/>
      <family val="2"/>
    </font>
    <font>
      <sz val="10"/>
      <color indexed="42"/>
      <name val="Arial"/>
      <family val="2"/>
    </font>
    <font>
      <b/>
      <sz val="12"/>
      <color indexed="12"/>
      <name val="Arial"/>
      <family val="2"/>
    </font>
    <font>
      <b/>
      <sz val="16"/>
      <name val="Arial"/>
      <family val="2"/>
    </font>
    <font>
      <sz val="9"/>
      <color rgb="FF000000"/>
      <name val="Times New Roman"/>
      <family val="1"/>
    </font>
    <font>
      <sz val="8"/>
      <color indexed="17"/>
      <name val="Arial"/>
      <family val="2"/>
    </font>
    <font>
      <sz val="8"/>
      <color rgb="FF008000"/>
      <name val="Arial"/>
      <family val="2"/>
    </font>
    <font>
      <sz val="14"/>
      <name val="Arial"/>
      <family val="2"/>
    </font>
    <font>
      <b/>
      <sz val="10"/>
      <color theme="0" tint="-0.499984740745262"/>
      <name val="Arial"/>
      <family val="2"/>
    </font>
    <font>
      <sz val="10"/>
      <color theme="1"/>
      <name val="Arial"/>
      <family val="2"/>
    </font>
    <font>
      <sz val="10"/>
      <name val="Times New Roman"/>
      <family val="1"/>
    </font>
    <font>
      <sz val="9"/>
      <color rgb="FFFF0000"/>
      <name val="Arial"/>
      <family val="2"/>
    </font>
    <font>
      <b/>
      <sz val="22"/>
      <color rgb="FFFF0000"/>
      <name val="Calibri"/>
      <family val="2"/>
      <scheme val="minor"/>
    </font>
    <font>
      <b/>
      <u/>
      <sz val="10"/>
      <name val="Arial"/>
      <family val="2"/>
    </font>
    <font>
      <u/>
      <sz val="10"/>
      <name val="Arial"/>
      <family val="2"/>
    </font>
    <font>
      <b/>
      <sz val="14"/>
      <name val="Arial"/>
      <family val="2"/>
    </font>
    <font>
      <b/>
      <sz val="10"/>
      <color indexed="12"/>
      <name val="Arial"/>
      <family val="2"/>
    </font>
    <font>
      <sz val="9"/>
      <color indexed="55"/>
      <name val="Arial"/>
      <family val="2"/>
    </font>
    <font>
      <b/>
      <sz val="10"/>
      <color theme="0"/>
      <name val="Arial"/>
      <family val="2"/>
    </font>
    <font>
      <b/>
      <sz val="11"/>
      <color rgb="FFFF0000"/>
      <name val="Calibri"/>
      <family val="2"/>
      <scheme val="minor"/>
    </font>
    <font>
      <b/>
      <sz val="14"/>
      <color rgb="FFFF0000"/>
      <name val="Calibri"/>
      <family val="2"/>
      <scheme val="minor"/>
    </font>
    <font>
      <sz val="10"/>
      <color indexed="63"/>
      <name val="Arial"/>
      <family val="2"/>
    </font>
    <font>
      <sz val="10"/>
      <color rgb="FF000000"/>
      <name val="Arial"/>
      <family val="2"/>
    </font>
    <font>
      <b/>
      <sz val="10"/>
      <color theme="1"/>
      <name val="Arial"/>
      <family val="2"/>
    </font>
    <font>
      <i/>
      <sz val="10"/>
      <color theme="1"/>
      <name val="Arial"/>
      <family val="2"/>
    </font>
    <font>
      <b/>
      <sz val="20"/>
      <color theme="1"/>
      <name val="Calibri"/>
      <family val="2"/>
      <scheme val="minor"/>
    </font>
    <font>
      <b/>
      <sz val="10"/>
      <color rgb="FF0000FF"/>
      <name val="Arial"/>
      <family val="2"/>
    </font>
    <font>
      <sz val="10"/>
      <color theme="1"/>
      <name val="Calibri"/>
      <family val="2"/>
      <scheme val="minor"/>
    </font>
    <font>
      <sz val="9"/>
      <color theme="1"/>
      <name val="Calibri"/>
      <family val="2"/>
      <scheme val="minor"/>
    </font>
    <font>
      <i/>
      <sz val="10"/>
      <color theme="1"/>
      <name val="Calibri"/>
      <family val="2"/>
      <scheme val="minor"/>
    </font>
    <font>
      <b/>
      <sz val="10"/>
      <color theme="1"/>
      <name val="Calibri"/>
      <family val="2"/>
      <scheme val="minor"/>
    </font>
    <font>
      <sz val="10"/>
      <color theme="1" tint="4.9989318521683403E-2"/>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rgb="FFFFCC99"/>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41"/>
        <bgColor indexed="64"/>
      </patternFill>
    </fill>
    <fill>
      <patternFill patternType="solid">
        <fgColor indexed="47"/>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99FF99"/>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66"/>
        <bgColor indexed="64"/>
      </patternFill>
    </fill>
    <fill>
      <patternFill patternType="solid">
        <fgColor rgb="FFFFCC66"/>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indexed="22"/>
        <bgColor indexed="0"/>
      </patternFill>
    </fill>
    <fill>
      <patternFill patternType="solid">
        <fgColor rgb="FFC0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43"/>
        <bgColor indexed="64"/>
      </patternFill>
    </fill>
    <fill>
      <patternFill patternType="solid">
        <fgColor indexed="9"/>
        <bgColor indexed="64"/>
      </patternFill>
    </fill>
  </fills>
  <borders count="96">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auto="1"/>
      </right>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thin">
        <color indexed="64"/>
      </top>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12"/>
      </right>
      <top/>
      <bottom style="medium">
        <color indexed="12"/>
      </bottom>
      <diagonal/>
    </border>
    <border>
      <left/>
      <right/>
      <top/>
      <bottom style="medium">
        <color indexed="12"/>
      </bottom>
      <diagonal/>
    </border>
    <border>
      <left style="medium">
        <color indexed="12"/>
      </left>
      <right/>
      <top/>
      <bottom style="medium">
        <color indexed="12"/>
      </bottom>
      <diagonal/>
    </border>
    <border>
      <left/>
      <right style="medium">
        <color indexed="12"/>
      </right>
      <top/>
      <bottom/>
      <diagonal/>
    </border>
    <border>
      <left style="medium">
        <color indexed="12"/>
      </left>
      <right/>
      <top/>
      <bottom/>
      <diagonal/>
    </border>
    <border>
      <left/>
      <right/>
      <top style="thin">
        <color indexed="12"/>
      </top>
      <bottom/>
      <diagonal/>
    </border>
    <border>
      <left/>
      <right/>
      <top/>
      <bottom style="thin">
        <color indexed="12"/>
      </bottom>
      <diagonal/>
    </border>
    <border>
      <left/>
      <right/>
      <top style="thin">
        <color indexed="39"/>
      </top>
      <bottom/>
      <diagonal/>
    </border>
    <border>
      <left/>
      <right/>
      <top/>
      <bottom style="thin">
        <color indexed="39"/>
      </bottom>
      <diagonal/>
    </border>
    <border>
      <left/>
      <right style="medium">
        <color indexed="12"/>
      </right>
      <top style="medium">
        <color indexed="12"/>
      </top>
      <bottom/>
      <diagonal/>
    </border>
    <border>
      <left/>
      <right/>
      <top style="medium">
        <color indexed="12"/>
      </top>
      <bottom/>
      <diagonal/>
    </border>
    <border>
      <left style="medium">
        <color indexed="12"/>
      </left>
      <right/>
      <top style="medium">
        <color indexed="12"/>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9"/>
      </right>
      <top style="double">
        <color indexed="9"/>
      </top>
      <bottom style="double">
        <color indexed="9"/>
      </bottom>
      <diagonal/>
    </border>
    <border>
      <left/>
      <right style="medium">
        <color indexed="64"/>
      </right>
      <top/>
      <bottom/>
      <diagonal/>
    </border>
    <border>
      <left style="thin">
        <color indexed="64"/>
      </left>
      <right/>
      <top style="thin">
        <color indexed="64"/>
      </top>
      <bottom style="double">
        <color indexed="64"/>
      </bottom>
      <diagonal/>
    </border>
    <border>
      <left/>
      <right/>
      <top/>
      <bottom style="double">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1" fillId="0" borderId="0" applyNumberFormat="0" applyFill="0" applyBorder="0" applyAlignment="0" applyProtection="0"/>
    <xf numFmtId="0" fontId="13" fillId="4" borderId="40" applyNumberForma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8"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70" fontId="14" fillId="0" borderId="50" applyNumberFormat="0" applyFill="0" applyBorder="0" applyProtection="0">
      <alignment horizontal="left"/>
    </xf>
    <xf numFmtId="0" fontId="15" fillId="0" borderId="0" applyNumberFormat="0" applyFill="0" applyBorder="0" applyAlignment="0" applyProtection="0">
      <alignment vertical="top"/>
      <protection locked="0"/>
    </xf>
    <xf numFmtId="0" fontId="16" fillId="0" borderId="0"/>
    <xf numFmtId="0" fontId="6" fillId="0" borderId="0" applyFont="0" applyFill="0" applyBorder="0" applyAlignment="0" applyProtection="0"/>
    <xf numFmtId="0" fontId="1" fillId="0" borderId="0"/>
    <xf numFmtId="0" fontId="4" fillId="0" borderId="0"/>
    <xf numFmtId="0" fontId="6" fillId="0" borderId="0"/>
    <xf numFmtId="9" fontId="6" fillId="0" borderId="0" applyFont="0" applyFill="0" applyBorder="0" applyAlignment="0" applyProtection="0"/>
    <xf numFmtId="9" fontId="1" fillId="0" borderId="0" applyFont="0" applyFill="0" applyBorder="0" applyAlignment="0" applyProtection="0"/>
    <xf numFmtId="170" fontId="17" fillId="0" borderId="50" applyNumberFormat="0" applyFill="0" applyBorder="0" applyProtection="0">
      <alignment horizontal="left"/>
    </xf>
    <xf numFmtId="170" fontId="17" fillId="0" borderId="50" applyNumberFormat="0" applyFill="0" applyBorder="0" applyProtection="0">
      <alignment horizontal="right"/>
    </xf>
    <xf numFmtId="170" fontId="18" fillId="0" borderId="0" applyNumberFormat="0" applyFill="0" applyBorder="0" applyAlignment="0" applyProtection="0">
      <alignment horizontal="left"/>
    </xf>
    <xf numFmtId="44" fontId="1" fillId="0" borderId="0" applyFont="0" applyFill="0" applyBorder="0" applyAlignment="0" applyProtection="0"/>
    <xf numFmtId="0" fontId="24" fillId="0" borderId="0"/>
    <xf numFmtId="9" fontId="24" fillId="0" borderId="0" applyFont="0" applyFill="0" applyBorder="0" applyAlignment="0" applyProtection="0"/>
    <xf numFmtId="0" fontId="26" fillId="0" borderId="0"/>
    <xf numFmtId="168"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alignment vertical="top"/>
      <protection locked="0"/>
    </xf>
    <xf numFmtId="0" fontId="6" fillId="0" borderId="0"/>
    <xf numFmtId="0" fontId="4" fillId="0" borderId="0"/>
    <xf numFmtId="0" fontId="4" fillId="0" borderId="0"/>
    <xf numFmtId="0" fontId="6" fillId="0" borderId="0"/>
    <xf numFmtId="0" fontId="81" fillId="0" borderId="0"/>
    <xf numFmtId="0" fontId="6" fillId="0" borderId="0"/>
    <xf numFmtId="0" fontId="6" fillId="0" borderId="0"/>
    <xf numFmtId="0" fontId="6" fillId="0" borderId="0"/>
    <xf numFmtId="9" fontId="9" fillId="0" borderId="0" applyFont="0" applyFill="0" applyBorder="0" applyAlignment="0" applyProtection="0"/>
    <xf numFmtId="0" fontId="15" fillId="0" borderId="0" applyNumberFormat="0" applyFill="0" applyBorder="0" applyAlignment="0" applyProtection="0">
      <alignment vertical="top"/>
      <protection locked="0"/>
    </xf>
  </cellStyleXfs>
  <cellXfs count="1428">
    <xf numFmtId="0" fontId="0" fillId="0" borderId="0" xfId="0"/>
    <xf numFmtId="0" fontId="0" fillId="0" borderId="0" xfId="0"/>
    <xf numFmtId="3" fontId="0" fillId="0" borderId="0" xfId="0" applyNumberFormat="1"/>
    <xf numFmtId="0" fontId="2" fillId="0" borderId="0" xfId="0" applyFont="1"/>
    <xf numFmtId="9" fontId="0" fillId="0" borderId="0" xfId="0" applyNumberFormat="1"/>
    <xf numFmtId="9" fontId="0" fillId="0" borderId="0" xfId="2" applyNumberFormat="1" applyFont="1" applyBorder="1" applyAlignment="1">
      <alignment horizontal="center"/>
    </xf>
    <xf numFmtId="0" fontId="0" fillId="0" borderId="0" xfId="0" applyFill="1"/>
    <xf numFmtId="0" fontId="0" fillId="0" borderId="0" xfId="0" applyFill="1" applyAlignment="1">
      <alignment horizontal="center"/>
    </xf>
    <xf numFmtId="9" fontId="0" fillId="0" borderId="0" xfId="0" applyNumberFormat="1" applyFill="1" applyAlignment="1">
      <alignment horizontal="center"/>
    </xf>
    <xf numFmtId="0" fontId="0" fillId="0" borderId="0" xfId="0" applyAlignment="1">
      <alignment horizontal="center"/>
    </xf>
    <xf numFmtId="9" fontId="0" fillId="0" borderId="0" xfId="0" applyNumberFormat="1" applyAlignment="1">
      <alignment horizontal="center"/>
    </xf>
    <xf numFmtId="9" fontId="0" fillId="0" borderId="0" xfId="2" applyFont="1" applyBorder="1" applyAlignment="1">
      <alignment horizontal="center"/>
    </xf>
    <xf numFmtId="9" fontId="0" fillId="0" borderId="0" xfId="2" applyFont="1" applyFill="1" applyBorder="1" applyAlignment="1">
      <alignment horizont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vertical="center"/>
    </xf>
    <xf numFmtId="0" fontId="0" fillId="0" borderId="0" xfId="0" applyBorder="1" applyAlignment="1">
      <alignment horizontal="center" vertical="center" wrapText="1"/>
    </xf>
    <xf numFmtId="0" fontId="3" fillId="0" borderId="9" xfId="0" applyFont="1" applyBorder="1" applyAlignment="1">
      <alignment horizontal="center" vertical="center"/>
    </xf>
    <xf numFmtId="0" fontId="0" fillId="0" borderId="17" xfId="0" applyFill="1" applyBorder="1"/>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0" borderId="1" xfId="3" applyFont="1" applyFill="1" applyBorder="1" applyAlignment="1">
      <alignment wrapText="1"/>
    </xf>
    <xf numFmtId="164" fontId="0" fillId="0" borderId="0" xfId="1" applyNumberFormat="1" applyFont="1" applyBorder="1"/>
    <xf numFmtId="164" fontId="0" fillId="0" borderId="8" xfId="1" applyNumberFormat="1" applyFont="1" applyBorder="1"/>
    <xf numFmtId="164" fontId="0" fillId="0" borderId="1" xfId="1" applyNumberFormat="1" applyFont="1" applyBorder="1"/>
    <xf numFmtId="164" fontId="0" fillId="0" borderId="21" xfId="1" applyNumberFormat="1" applyFont="1" applyBorder="1"/>
    <xf numFmtId="0" fontId="0" fillId="0" borderId="1" xfId="0" applyFill="1" applyBorder="1"/>
    <xf numFmtId="164" fontId="0" fillId="0" borderId="13" xfId="1" applyNumberFormat="1" applyFont="1" applyBorder="1"/>
    <xf numFmtId="164" fontId="0" fillId="3" borderId="22" xfId="1" applyNumberFormat="1" applyFont="1" applyFill="1" applyBorder="1"/>
    <xf numFmtId="164" fontId="0" fillId="3" borderId="23" xfId="1" applyNumberFormat="1" applyFont="1" applyFill="1" applyBorder="1"/>
    <xf numFmtId="164" fontId="0" fillId="3" borderId="24" xfId="1" applyNumberFormat="1" applyFont="1" applyFill="1" applyBorder="1"/>
    <xf numFmtId="164" fontId="0" fillId="0" borderId="8" xfId="1" applyNumberFormat="1" applyFont="1" applyFill="1" applyBorder="1"/>
    <xf numFmtId="164" fontId="0" fillId="0" borderId="1" xfId="0" applyNumberFormat="1" applyBorder="1"/>
    <xf numFmtId="164" fontId="0" fillId="0" borderId="8" xfId="0" applyNumberFormat="1" applyBorder="1"/>
    <xf numFmtId="164" fontId="0" fillId="0" borderId="21" xfId="0" applyNumberFormat="1" applyBorder="1"/>
    <xf numFmtId="0" fontId="5" fillId="0" borderId="25" xfId="3" applyFont="1" applyFill="1" applyBorder="1" applyAlignment="1">
      <alignment wrapText="1"/>
    </xf>
    <xf numFmtId="164" fontId="0" fillId="3" borderId="26" xfId="1" applyNumberFormat="1" applyFont="1" applyFill="1" applyBorder="1"/>
    <xf numFmtId="164" fontId="0" fillId="0" borderId="27" xfId="1" applyNumberFormat="1" applyFont="1" applyBorder="1"/>
    <xf numFmtId="164" fontId="0" fillId="0" borderId="28" xfId="0" applyNumberFormat="1" applyBorder="1"/>
    <xf numFmtId="164" fontId="0" fillId="0" borderId="28" xfId="1" applyNumberFormat="1" applyFont="1" applyBorder="1"/>
    <xf numFmtId="164" fontId="0" fillId="0" borderId="29" xfId="1" applyNumberFormat="1" applyFont="1" applyBorder="1"/>
    <xf numFmtId="164" fontId="0" fillId="0" borderId="25" xfId="0" applyNumberFormat="1" applyBorder="1"/>
    <xf numFmtId="164" fontId="0" fillId="0" borderId="29" xfId="0" applyNumberFormat="1" applyBorder="1"/>
    <xf numFmtId="164" fontId="0" fillId="0" borderId="27" xfId="0" applyNumberFormat="1" applyBorder="1"/>
    <xf numFmtId="0" fontId="5" fillId="0" borderId="1" xfId="3" applyFont="1" applyFill="1" applyBorder="1" applyAlignment="1"/>
    <xf numFmtId="164" fontId="0" fillId="0" borderId="0" xfId="0" applyNumberFormat="1"/>
    <xf numFmtId="0" fontId="0" fillId="0" borderId="33" xfId="0" applyBorder="1" applyAlignment="1">
      <alignment horizontal="center" vertical="center"/>
    </xf>
    <xf numFmtId="0" fontId="0" fillId="0" borderId="9" xfId="0" applyBorder="1" applyAlignment="1">
      <alignment horizontal="center" vertical="center"/>
    </xf>
    <xf numFmtId="0" fontId="2" fillId="2" borderId="30" xfId="0" applyFont="1" applyFill="1" applyBorder="1" applyAlignment="1">
      <alignment horizontal="center"/>
    </xf>
    <xf numFmtId="0" fontId="2" fillId="2" borderId="34" xfId="0" applyFont="1" applyFill="1" applyBorder="1" applyAlignment="1">
      <alignment horizontal="center"/>
    </xf>
    <xf numFmtId="164" fontId="0" fillId="0" borderId="35" xfId="1" applyNumberFormat="1" applyFont="1" applyFill="1" applyBorder="1" applyAlignment="1"/>
    <xf numFmtId="164" fontId="0" fillId="0" borderId="36" xfId="1" applyNumberFormat="1" applyFont="1" applyFill="1" applyBorder="1" applyAlignment="1"/>
    <xf numFmtId="0" fontId="0" fillId="3" borderId="24" xfId="0" applyFill="1" applyBorder="1"/>
    <xf numFmtId="0" fontId="0" fillId="0" borderId="37" xfId="0" applyBorder="1"/>
    <xf numFmtId="164" fontId="0" fillId="0" borderId="11" xfId="1" applyNumberFormat="1" applyFont="1" applyBorder="1"/>
    <xf numFmtId="164" fontId="0" fillId="0" borderId="25" xfId="1" applyNumberFormat="1" applyFont="1" applyBorder="1"/>
    <xf numFmtId="0" fontId="0" fillId="0" borderId="38" xfId="0" applyBorder="1"/>
    <xf numFmtId="164" fontId="0" fillId="0" borderId="39" xfId="1" applyNumberFormat="1" applyFont="1" applyBorder="1"/>
    <xf numFmtId="0" fontId="6" fillId="0" borderId="0" xfId="0" applyFont="1"/>
    <xf numFmtId="0" fontId="8" fillId="0" borderId="0" xfId="0" applyFont="1"/>
    <xf numFmtId="0" fontId="6" fillId="0" borderId="13" xfId="0" applyFont="1" applyBorder="1" applyAlignment="1">
      <alignment horizontal="left" indent="1"/>
    </xf>
    <xf numFmtId="0" fontId="0" fillId="0" borderId="13" xfId="0" applyBorder="1"/>
    <xf numFmtId="1" fontId="0" fillId="0" borderId="13" xfId="0" applyNumberFormat="1" applyBorder="1"/>
    <xf numFmtId="0" fontId="6" fillId="0" borderId="0" xfId="0" applyFont="1" applyBorder="1" applyAlignment="1">
      <alignment horizontal="left" indent="2"/>
    </xf>
    <xf numFmtId="0" fontId="0" fillId="0" borderId="0" xfId="0" applyBorder="1"/>
    <xf numFmtId="1" fontId="0" fillId="0" borderId="0" xfId="0" applyNumberFormat="1" applyBorder="1"/>
    <xf numFmtId="0" fontId="0" fillId="0" borderId="0" xfId="0" applyAlignment="1">
      <alignment horizontal="left" indent="2"/>
    </xf>
    <xf numFmtId="1" fontId="0" fillId="0" borderId="0" xfId="0" applyNumberFormat="1"/>
    <xf numFmtId="2" fontId="0" fillId="0" borderId="0" xfId="0" applyNumberFormat="1"/>
    <xf numFmtId="2" fontId="0" fillId="0" borderId="13" xfId="0" applyNumberFormat="1" applyBorder="1"/>
    <xf numFmtId="0" fontId="6" fillId="0" borderId="0" xfId="0" applyFont="1" applyFill="1" applyBorder="1" applyAlignment="1">
      <alignment horizontal="left" indent="1"/>
    </xf>
    <xf numFmtId="9" fontId="0" fillId="0" borderId="22" xfId="0" applyNumberFormat="1" applyBorder="1" applyAlignment="1">
      <alignment horizontal="center"/>
    </xf>
    <xf numFmtId="0" fontId="6" fillId="2" borderId="0"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3" xfId="0" applyFont="1" applyFill="1" applyBorder="1" applyAlignment="1">
      <alignment wrapText="1"/>
    </xf>
    <xf numFmtId="0" fontId="6" fillId="0" borderId="0" xfId="0" applyFont="1" applyAlignment="1">
      <alignment horizontal="left" indent="1"/>
    </xf>
    <xf numFmtId="0" fontId="6" fillId="0" borderId="0" xfId="0" quotePrefix="1" applyFont="1" applyFill="1" applyBorder="1" applyAlignment="1">
      <alignment horizontal="right"/>
    </xf>
    <xf numFmtId="164" fontId="6" fillId="0" borderId="41" xfId="1" applyNumberFormat="1" applyFont="1" applyFill="1" applyBorder="1" applyAlignment="1">
      <alignment horizontal="right"/>
    </xf>
    <xf numFmtId="164" fontId="6" fillId="0" borderId="0" xfId="1" applyNumberFormat="1" applyFont="1" applyFill="1" applyAlignment="1">
      <alignment horizontal="right"/>
    </xf>
    <xf numFmtId="166" fontId="0" fillId="0" borderId="41" xfId="2" applyNumberFormat="1" applyFont="1" applyBorder="1"/>
    <xf numFmtId="166" fontId="0" fillId="0" borderId="0" xfId="2" applyNumberFormat="1" applyFont="1" applyBorder="1"/>
    <xf numFmtId="166" fontId="0" fillId="0" borderId="0" xfId="2" applyNumberFormat="1" applyFont="1" applyFill="1"/>
    <xf numFmtId="164" fontId="6" fillId="0" borderId="21" xfId="1" applyNumberFormat="1" applyFont="1" applyFill="1" applyBorder="1" applyAlignment="1">
      <alignment horizontal="right"/>
    </xf>
    <xf numFmtId="166" fontId="0" fillId="0" borderId="21" xfId="2" applyNumberFormat="1" applyFont="1" applyFill="1" applyBorder="1"/>
    <xf numFmtId="0" fontId="6" fillId="0" borderId="0" xfId="0" applyFont="1" applyAlignment="1">
      <alignment horizontal="left" indent="2"/>
    </xf>
    <xf numFmtId="0" fontId="6" fillId="0" borderId="0" xfId="4" applyFont="1" applyAlignment="1">
      <alignment horizontal="left" indent="3"/>
    </xf>
    <xf numFmtId="0" fontId="6" fillId="0" borderId="0" xfId="0" applyFont="1" applyFill="1" applyAlignment="1">
      <alignment horizontal="left" indent="2"/>
    </xf>
    <xf numFmtId="166" fontId="0" fillId="2" borderId="0" xfId="2" applyNumberFormat="1" applyFont="1" applyFill="1"/>
    <xf numFmtId="0" fontId="6" fillId="0" borderId="0" xfId="0" applyFont="1" applyFill="1"/>
    <xf numFmtId="1" fontId="0" fillId="0" borderId="0" xfId="0" applyNumberFormat="1" applyAlignment="1">
      <alignment horizontal="center"/>
    </xf>
    <xf numFmtId="0" fontId="6" fillId="0" borderId="13" xfId="0" quotePrefix="1" applyFont="1" applyFill="1" applyBorder="1" applyAlignment="1">
      <alignment horizontal="right"/>
    </xf>
    <xf numFmtId="166" fontId="0" fillId="0" borderId="42" xfId="2" applyNumberFormat="1" applyFont="1" applyFill="1" applyBorder="1"/>
    <xf numFmtId="166" fontId="0" fillId="0" borderId="13" xfId="2" applyNumberFormat="1" applyFont="1" applyFill="1" applyBorder="1"/>
    <xf numFmtId="0" fontId="6" fillId="0" borderId="0" xfId="0" applyFont="1" applyFill="1" applyBorder="1" applyAlignment="1">
      <alignment horizontal="right"/>
    </xf>
    <xf numFmtId="166" fontId="0" fillId="0" borderId="0" xfId="0" applyNumberFormat="1"/>
    <xf numFmtId="164" fontId="6" fillId="0" borderId="42" xfId="1" applyNumberFormat="1" applyFont="1" applyFill="1" applyBorder="1" applyAlignment="1">
      <alignment horizontal="right"/>
    </xf>
    <xf numFmtId="164" fontId="6" fillId="0" borderId="13" xfId="1" applyNumberFormat="1" applyFont="1" applyFill="1" applyBorder="1" applyAlignment="1">
      <alignment horizontal="right"/>
    </xf>
    <xf numFmtId="164" fontId="0" fillId="0" borderId="0" xfId="1" applyNumberFormat="1" applyFont="1"/>
    <xf numFmtId="166" fontId="0" fillId="0" borderId="0" xfId="2" applyNumberFormat="1" applyFont="1"/>
    <xf numFmtId="0" fontId="12" fillId="0" borderId="13" xfId="0" applyFont="1" applyBorder="1"/>
    <xf numFmtId="9" fontId="0" fillId="0" borderId="0" xfId="2" applyFont="1" applyAlignment="1">
      <alignment horizontal="center"/>
    </xf>
    <xf numFmtId="0" fontId="6" fillId="0" borderId="13" xfId="0" applyFont="1" applyBorder="1"/>
    <xf numFmtId="1" fontId="6" fillId="0" borderId="0" xfId="0" applyNumberFormat="1" applyFont="1"/>
    <xf numFmtId="167" fontId="0" fillId="0" borderId="0" xfId="0" applyNumberFormat="1"/>
    <xf numFmtId="167" fontId="0" fillId="0" borderId="0" xfId="0" applyNumberFormat="1" applyAlignment="1">
      <alignment horizontal="center"/>
    </xf>
    <xf numFmtId="167" fontId="0" fillId="0" borderId="0" xfId="0" applyNumberFormat="1" applyFill="1"/>
    <xf numFmtId="0" fontId="0" fillId="0" borderId="0" xfId="0" applyAlignment="1">
      <alignment horizontal="right"/>
    </xf>
    <xf numFmtId="164" fontId="0" fillId="0" borderId="0" xfId="0" applyNumberFormat="1" applyBorder="1"/>
    <xf numFmtId="0" fontId="0" fillId="0" borderId="29" xfId="0" applyBorder="1"/>
    <xf numFmtId="0" fontId="0" fillId="0" borderId="25" xfId="0" applyBorder="1"/>
    <xf numFmtId="0" fontId="0" fillId="0" borderId="8" xfId="0" applyBorder="1"/>
    <xf numFmtId="0" fontId="0" fillId="0" borderId="1" xfId="0" applyBorder="1"/>
    <xf numFmtId="0" fontId="2" fillId="0" borderId="2" xfId="0" applyFont="1" applyBorder="1"/>
    <xf numFmtId="0" fontId="0" fillId="0" borderId="47" xfId="0" applyBorder="1"/>
    <xf numFmtId="0" fontId="0" fillId="0" borderId="21" xfId="0" applyBorder="1"/>
    <xf numFmtId="0" fontId="0" fillId="0" borderId="0" xfId="0" applyNumberFormat="1"/>
    <xf numFmtId="43" fontId="0" fillId="0" borderId="0" xfId="0" applyNumberFormat="1"/>
    <xf numFmtId="0" fontId="0" fillId="0" borderId="2" xfId="0" applyBorder="1"/>
    <xf numFmtId="0" fontId="0" fillId="5" borderId="0" xfId="0" applyFill="1"/>
    <xf numFmtId="0" fontId="19" fillId="0" borderId="0" xfId="0" applyFont="1"/>
    <xf numFmtId="0" fontId="2" fillId="0" borderId="0" xfId="0" applyFont="1" applyAlignment="1">
      <alignment horizontal="left" indent="1"/>
    </xf>
    <xf numFmtId="164" fontId="0" fillId="0" borderId="0" xfId="6" applyNumberFormat="1" applyFont="1"/>
    <xf numFmtId="3" fontId="0" fillId="0" borderId="0" xfId="6" applyNumberFormat="1" applyFont="1"/>
    <xf numFmtId="0" fontId="6" fillId="0" borderId="0" xfId="0" applyFont="1" applyAlignment="1">
      <alignment horizontal="center"/>
    </xf>
    <xf numFmtId="10" fontId="0" fillId="0" borderId="0" xfId="0" applyNumberFormat="1"/>
    <xf numFmtId="0" fontId="0" fillId="0" borderId="13" xfId="0" applyBorder="1" applyAlignment="1">
      <alignment horizontal="center"/>
    </xf>
    <xf numFmtId="166" fontId="0" fillId="0" borderId="0" xfId="21" applyNumberFormat="1" applyFont="1"/>
    <xf numFmtId="0" fontId="0" fillId="0" borderId="0" xfId="0" applyAlignment="1">
      <alignment horizontal="left" indent="1"/>
    </xf>
    <xf numFmtId="9" fontId="0" fillId="0" borderId="0" xfId="0" applyNumberFormat="1" applyAlignment="1">
      <alignment horizontal="right"/>
    </xf>
    <xf numFmtId="0" fontId="0" fillId="0" borderId="0" xfId="0" quotePrefix="1" applyAlignment="1">
      <alignment horizontal="center"/>
    </xf>
    <xf numFmtId="9" fontId="0" fillId="0" borderId="13" xfId="0" applyNumberFormat="1" applyBorder="1" applyAlignment="1">
      <alignment horizontal="center"/>
    </xf>
    <xf numFmtId="167" fontId="0" fillId="0" borderId="13" xfId="0" applyNumberFormat="1" applyBorder="1" applyAlignment="1">
      <alignment horizontal="center"/>
    </xf>
    <xf numFmtId="0" fontId="6" fillId="0" borderId="0" xfId="0" applyFont="1" applyBorder="1" applyAlignment="1">
      <alignment horizontal="right"/>
    </xf>
    <xf numFmtId="2" fontId="0" fillId="0" borderId="0" xfId="0" applyNumberFormat="1" applyBorder="1" applyAlignment="1">
      <alignment horizontal="center"/>
    </xf>
    <xf numFmtId="0" fontId="8" fillId="0" borderId="13" xfId="0" applyFont="1" applyBorder="1" applyAlignment="1">
      <alignment horizontal="center"/>
    </xf>
    <xf numFmtId="0" fontId="0" fillId="0" borderId="10" xfId="0" applyBorder="1"/>
    <xf numFmtId="0" fontId="10" fillId="0" borderId="0" xfId="0" applyFont="1"/>
    <xf numFmtId="2" fontId="0" fillId="0" borderId="0" xfId="0" applyNumberFormat="1" applyAlignment="1">
      <alignment horizontal="center"/>
    </xf>
    <xf numFmtId="0" fontId="12" fillId="0" borderId="0" xfId="0" applyFont="1"/>
    <xf numFmtId="0" fontId="8" fillId="0" borderId="0" xfId="0" applyFont="1" applyAlignment="1">
      <alignment horizontal="left" indent="1"/>
    </xf>
    <xf numFmtId="2" fontId="0" fillId="0" borderId="21" xfId="0" applyNumberFormat="1" applyBorder="1" applyAlignment="1">
      <alignment horizontal="center"/>
    </xf>
    <xf numFmtId="2" fontId="0" fillId="0" borderId="10" xfId="0" applyNumberFormat="1" applyBorder="1" applyAlignment="1">
      <alignment horizontal="center"/>
    </xf>
    <xf numFmtId="9" fontId="0" fillId="0" borderId="21" xfId="21" applyFont="1" applyBorder="1" applyAlignment="1">
      <alignment horizontal="center"/>
    </xf>
    <xf numFmtId="9" fontId="0" fillId="0" borderId="10" xfId="21" applyFont="1" applyBorder="1" applyAlignment="1">
      <alignment horizontal="center"/>
    </xf>
    <xf numFmtId="0" fontId="6" fillId="0" borderId="0" xfId="0" applyFont="1" applyAlignment="1">
      <alignment horizontal="right"/>
    </xf>
    <xf numFmtId="166" fontId="0" fillId="0" borderId="0" xfId="0" applyNumberFormat="1" applyAlignment="1">
      <alignment horizontal="center"/>
    </xf>
    <xf numFmtId="9" fontId="0" fillId="0" borderId="0" xfId="21" applyFont="1" applyAlignment="1">
      <alignment horizontal="center"/>
    </xf>
    <xf numFmtId="0" fontId="0" fillId="0" borderId="0" xfId="0" applyAlignment="1"/>
    <xf numFmtId="16" fontId="0" fillId="0" borderId="0" xfId="0" applyNumberFormat="1"/>
    <xf numFmtId="0" fontId="3" fillId="0" borderId="0" xfId="17" applyFont="1" applyAlignment="1">
      <alignment horizontal="left"/>
    </xf>
    <xf numFmtId="3" fontId="3" fillId="0" borderId="0" xfId="17" applyNumberFormat="1" applyFont="1" applyAlignment="1">
      <alignment horizontal="center"/>
    </xf>
    <xf numFmtId="10" fontId="3" fillId="0" borderId="0" xfId="2" applyNumberFormat="1" applyFont="1" applyAlignment="1">
      <alignment horizontal="center"/>
    </xf>
    <xf numFmtId="0" fontId="3" fillId="0" borderId="0" xfId="17" applyFont="1" applyAlignment="1">
      <alignment horizontal="center"/>
    </xf>
    <xf numFmtId="10" fontId="3" fillId="0" borderId="0" xfId="17" applyNumberFormat="1" applyFont="1" applyAlignment="1">
      <alignment horizontal="center"/>
    </xf>
    <xf numFmtId="0" fontId="20" fillId="0" borderId="0" xfId="17" applyFont="1" applyAlignment="1">
      <alignment horizontal="left"/>
    </xf>
    <xf numFmtId="0" fontId="21" fillId="0" borderId="0" xfId="0" applyFont="1" applyAlignment="1">
      <alignment horizontal="left"/>
    </xf>
    <xf numFmtId="16" fontId="21" fillId="0" borderId="0" xfId="0" quotePrefix="1" applyNumberFormat="1" applyFont="1" applyAlignment="1">
      <alignment horizontal="left"/>
    </xf>
    <xf numFmtId="17" fontId="21" fillId="0" borderId="0" xfId="0" quotePrefix="1" applyNumberFormat="1" applyFont="1" applyAlignment="1">
      <alignment horizontal="left"/>
    </xf>
    <xf numFmtId="0" fontId="21" fillId="0" borderId="0" xfId="0" quotePrefix="1" applyFont="1" applyAlignment="1">
      <alignment horizontal="left"/>
    </xf>
    <xf numFmtId="9" fontId="0" fillId="9" borderId="41" xfId="0" applyNumberFormat="1" applyFill="1" applyBorder="1"/>
    <xf numFmtId="0" fontId="0" fillId="9" borderId="50" xfId="0" applyFill="1" applyBorder="1" applyAlignment="1">
      <alignment horizontal="left"/>
    </xf>
    <xf numFmtId="0" fontId="0" fillId="9" borderId="54" xfId="0" applyFill="1" applyBorder="1"/>
    <xf numFmtId="0" fontId="0" fillId="9" borderId="21" xfId="0" applyFill="1" applyBorder="1"/>
    <xf numFmtId="0" fontId="0" fillId="9" borderId="0" xfId="0" applyFill="1" applyBorder="1" applyAlignment="1">
      <alignment horizontal="left"/>
    </xf>
    <xf numFmtId="0" fontId="0" fillId="9" borderId="47" xfId="0" applyFill="1" applyBorder="1"/>
    <xf numFmtId="167" fontId="0" fillId="8" borderId="0" xfId="0" applyNumberFormat="1" applyFill="1"/>
    <xf numFmtId="165" fontId="0" fillId="0" borderId="0" xfId="0" applyNumberFormat="1"/>
    <xf numFmtId="9" fontId="0" fillId="0" borderId="0" xfId="2" applyFont="1"/>
    <xf numFmtId="0" fontId="25" fillId="0" borderId="0" xfId="0" applyFont="1"/>
    <xf numFmtId="6" fontId="0" fillId="0" borderId="0" xfId="0" applyNumberFormat="1"/>
    <xf numFmtId="173" fontId="0" fillId="0" borderId="0" xfId="26" applyNumberFormat="1" applyFont="1"/>
    <xf numFmtId="0" fontId="0" fillId="0" borderId="25" xfId="0" applyFill="1" applyBorder="1"/>
    <xf numFmtId="9" fontId="0" fillId="0" borderId="28" xfId="0" applyNumberFormat="1" applyFill="1" applyBorder="1"/>
    <xf numFmtId="9" fontId="0" fillId="0" borderId="28" xfId="0" applyNumberFormat="1" applyBorder="1"/>
    <xf numFmtId="0" fontId="0" fillId="0" borderId="0" xfId="0" applyFill="1" applyAlignment="1">
      <alignment horizontal="left"/>
    </xf>
    <xf numFmtId="44" fontId="0" fillId="0" borderId="0" xfId="0" applyNumberFormat="1"/>
    <xf numFmtId="173" fontId="0" fillId="0" borderId="0" xfId="0" applyNumberFormat="1"/>
    <xf numFmtId="174" fontId="0" fillId="0" borderId="0" xfId="0" applyNumberFormat="1" applyFill="1"/>
    <xf numFmtId="175" fontId="0" fillId="0" borderId="0" xfId="26" applyNumberFormat="1" applyFont="1"/>
    <xf numFmtId="3" fontId="0" fillId="0" borderId="0" xfId="1" applyNumberFormat="1" applyFont="1" applyBorder="1" applyAlignment="1">
      <alignment horizontal="center"/>
    </xf>
    <xf numFmtId="0" fontId="0" fillId="0" borderId="0" xfId="0" applyAlignment="1">
      <alignment wrapText="1"/>
    </xf>
    <xf numFmtId="0" fontId="0" fillId="0" borderId="0" xfId="0" applyBorder="1" applyAlignment="1">
      <alignment horizontal="center" vertical="center"/>
    </xf>
    <xf numFmtId="0" fontId="0" fillId="0" borderId="0" xfId="0" applyBorder="1" applyAlignment="1">
      <alignment horizontal="center" wrapText="1"/>
    </xf>
    <xf numFmtId="37" fontId="0" fillId="0" borderId="0" xfId="0" applyNumberFormat="1"/>
    <xf numFmtId="37" fontId="0" fillId="0" borderId="13" xfId="0" applyNumberFormat="1" applyBorder="1"/>
    <xf numFmtId="8" fontId="0" fillId="0" borderId="0" xfId="0" applyNumberFormat="1" applyAlignment="1">
      <alignment horizontal="center"/>
    </xf>
    <xf numFmtId="0" fontId="27" fillId="0" borderId="0" xfId="0" applyFont="1" applyAlignment="1">
      <alignment horizontal="left"/>
    </xf>
    <xf numFmtId="0" fontId="28" fillId="0" borderId="0" xfId="0" applyFont="1"/>
    <xf numFmtId="0" fontId="0" fillId="0" borderId="0" xfId="0" applyFont="1" applyAlignment="1">
      <alignment horizontal="left" indent="1"/>
    </xf>
    <xf numFmtId="0" fontId="3" fillId="0" borderId="0" xfId="0" applyFont="1" applyAlignment="1">
      <alignment horizontal="left" indent="1"/>
    </xf>
    <xf numFmtId="0" fontId="25" fillId="0" borderId="0" xfId="0" applyFont="1" applyAlignment="1">
      <alignment horizontal="left"/>
    </xf>
    <xf numFmtId="0" fontId="27" fillId="0" borderId="0" xfId="0" applyFont="1"/>
    <xf numFmtId="0" fontId="2" fillId="0" borderId="0" xfId="0" applyFont="1" applyBorder="1"/>
    <xf numFmtId="9" fontId="0" fillId="0" borderId="0" xfId="0" applyNumberFormat="1" applyBorder="1"/>
    <xf numFmtId="9" fontId="0" fillId="0" borderId="0" xfId="0" applyNumberFormat="1" applyFill="1" applyBorder="1"/>
    <xf numFmtId="0" fontId="0" fillId="0" borderId="0" xfId="0" applyFill="1" applyBorder="1" applyAlignment="1">
      <alignment horizontal="center"/>
    </xf>
    <xf numFmtId="0" fontId="0" fillId="0" borderId="0" xfId="0" applyFill="1" applyBorder="1"/>
    <xf numFmtId="0" fontId="0" fillId="0" borderId="0" xfId="0" applyBorder="1" applyAlignment="1">
      <alignment horizontal="center"/>
    </xf>
    <xf numFmtId="0" fontId="0" fillId="0" borderId="0" xfId="0" applyFill="1" applyAlignment="1">
      <alignment horizontal="center" vertical="center"/>
    </xf>
    <xf numFmtId="0" fontId="0" fillId="0" borderId="0" xfId="0" applyFill="1" applyBorder="1" applyAlignment="1">
      <alignment wrapText="1"/>
    </xf>
    <xf numFmtId="43" fontId="0" fillId="0" borderId="0" xfId="0" applyNumberFormat="1" applyBorder="1"/>
    <xf numFmtId="3" fontId="0" fillId="0" borderId="0" xfId="1" applyNumberFormat="1" applyFont="1" applyAlignment="1">
      <alignment horizontal="center"/>
    </xf>
    <xf numFmtId="9" fontId="0" fillId="0" borderId="0" xfId="2" applyFont="1" applyBorder="1"/>
    <xf numFmtId="0" fontId="0" fillId="0" borderId="0" xfId="0" applyFill="1" applyBorder="1" applyAlignment="1">
      <alignment horizontal="left"/>
    </xf>
    <xf numFmtId="6" fontId="0" fillId="0" borderId="0" xfId="0" applyNumberFormat="1" applyFill="1" applyAlignment="1">
      <alignment horizontal="center"/>
    </xf>
    <xf numFmtId="0" fontId="2" fillId="0" borderId="0" xfId="0" applyFont="1" applyBorder="1" applyAlignment="1">
      <alignment horizontal="center"/>
    </xf>
    <xf numFmtId="0" fontId="0" fillId="0" borderId="13" xfId="0" applyFill="1" applyBorder="1" applyAlignment="1">
      <alignment horizontal="center"/>
    </xf>
    <xf numFmtId="8" fontId="0" fillId="0" borderId="13" xfId="0" applyNumberFormat="1" applyFont="1" applyFill="1" applyBorder="1" applyAlignment="1">
      <alignment horizontal="center"/>
    </xf>
    <xf numFmtId="0" fontId="0" fillId="10" borderId="0" xfId="0" applyFill="1"/>
    <xf numFmtId="0" fontId="0" fillId="10" borderId="0" xfId="0" applyFill="1" applyBorder="1"/>
    <xf numFmtId="0" fontId="0" fillId="11" borderId="0" xfId="0" applyFill="1" applyBorder="1"/>
    <xf numFmtId="0" fontId="0" fillId="11" borderId="0" xfId="0" applyFill="1"/>
    <xf numFmtId="0" fontId="0" fillId="11" borderId="0" xfId="0" applyFill="1" applyBorder="1" applyAlignment="1">
      <alignment horizontal="center"/>
    </xf>
    <xf numFmtId="9" fontId="0" fillId="5" borderId="0" xfId="0" applyNumberFormat="1" applyFill="1" applyAlignment="1">
      <alignment horizontal="center"/>
    </xf>
    <xf numFmtId="166" fontId="0" fillId="0" borderId="0" xfId="2" applyNumberFormat="1" applyFont="1" applyAlignment="1">
      <alignment horizontal="center"/>
    </xf>
    <xf numFmtId="9" fontId="0" fillId="0" borderId="0" xfId="2" applyNumberFormat="1" applyFont="1" applyAlignment="1">
      <alignment horizontal="right"/>
    </xf>
    <xf numFmtId="0" fontId="2" fillId="0" borderId="0" xfId="0" applyFont="1" applyAlignment="1">
      <alignment horizontal="center"/>
    </xf>
    <xf numFmtId="9" fontId="0" fillId="0" borderId="0" xfId="0" applyNumberFormat="1" applyFill="1"/>
    <xf numFmtId="9" fontId="0" fillId="0" borderId="0" xfId="2" applyNumberFormat="1" applyFont="1"/>
    <xf numFmtId="176" fontId="0" fillId="0" borderId="0" xfId="0" applyNumberFormat="1"/>
    <xf numFmtId="9" fontId="0" fillId="5" borderId="0" xfId="0" applyNumberFormat="1" applyFill="1"/>
    <xf numFmtId="165" fontId="0" fillId="0" borderId="0" xfId="0" applyNumberFormat="1" applyAlignment="1">
      <alignment horizontal="center"/>
    </xf>
    <xf numFmtId="2" fontId="0" fillId="0" borderId="0" xfId="0" applyNumberFormat="1" applyAlignment="1">
      <alignment horizontal="right"/>
    </xf>
    <xf numFmtId="164" fontId="0" fillId="0" borderId="0" xfId="1" applyNumberFormat="1" applyFont="1" applyFill="1"/>
    <xf numFmtId="0" fontId="0" fillId="0" borderId="0" xfId="0" applyBorder="1" applyAlignment="1">
      <alignment vertical="center"/>
    </xf>
    <xf numFmtId="166" fontId="0" fillId="0" borderId="22" xfId="2" applyNumberFormat="1" applyFont="1" applyBorder="1" applyAlignment="1">
      <alignment vertical="center"/>
    </xf>
    <xf numFmtId="167" fontId="0" fillId="0" borderId="0" xfId="1" applyNumberFormat="1" applyFont="1" applyFill="1"/>
    <xf numFmtId="0" fontId="0" fillId="0" borderId="0" xfId="1" applyNumberFormat="1" applyFont="1" applyFill="1"/>
    <xf numFmtId="166" fontId="0" fillId="0" borderId="0" xfId="1" applyNumberFormat="1" applyFont="1" applyFill="1"/>
    <xf numFmtId="165" fontId="0" fillId="0" borderId="0" xfId="0" applyNumberFormat="1" applyBorder="1" applyAlignment="1">
      <alignment vertical="center"/>
    </xf>
    <xf numFmtId="167" fontId="0" fillId="0" borderId="13" xfId="1" applyNumberFormat="1" applyFont="1" applyFill="1" applyBorder="1"/>
    <xf numFmtId="2" fontId="0" fillId="0" borderId="0" xfId="0" applyNumberFormat="1" applyBorder="1" applyAlignment="1">
      <alignment vertical="center"/>
    </xf>
    <xf numFmtId="167" fontId="0" fillId="0" borderId="0" xfId="0" applyNumberFormat="1" applyBorder="1" applyAlignment="1">
      <alignment vertical="center"/>
    </xf>
    <xf numFmtId="0" fontId="0" fillId="0" borderId="0" xfId="0" applyFill="1" applyBorder="1" applyAlignment="1">
      <alignment horizontal="left" vertical="center" indent="1"/>
    </xf>
    <xf numFmtId="9" fontId="0" fillId="0" borderId="0" xfId="1" applyNumberFormat="1" applyFont="1" applyFill="1"/>
    <xf numFmtId="0" fontId="0" fillId="0" borderId="0" xfId="0" applyBorder="1" applyAlignment="1">
      <alignment horizontal="left" vertical="center"/>
    </xf>
    <xf numFmtId="0" fontId="0" fillId="0" borderId="0" xfId="0" applyAlignment="1">
      <alignment horizontal="left"/>
    </xf>
    <xf numFmtId="167" fontId="0" fillId="2" borderId="0" xfId="1" applyNumberFormat="1" applyFont="1" applyFill="1"/>
    <xf numFmtId="0" fontId="0" fillId="0" borderId="0" xfId="0" applyFill="1" applyBorder="1" applyAlignment="1">
      <alignment horizontal="left" vertical="center"/>
    </xf>
    <xf numFmtId="2" fontId="0" fillId="0" borderId="0" xfId="1" applyNumberFormat="1" applyFont="1" applyFill="1"/>
    <xf numFmtId="9" fontId="0" fillId="0" borderId="0" xfId="2" applyFont="1" applyFill="1" applyBorder="1"/>
    <xf numFmtId="0" fontId="0" fillId="0" borderId="0" xfId="0" applyFill="1" applyBorder="1" applyAlignment="1">
      <alignment horizontal="left" indent="2"/>
    </xf>
    <xf numFmtId="164" fontId="3" fillId="0" borderId="0" xfId="17" applyNumberFormat="1" applyFont="1" applyAlignment="1">
      <alignment horizontal="left"/>
    </xf>
    <xf numFmtId="0" fontId="3" fillId="0" borderId="0" xfId="17" applyFont="1" applyAlignment="1">
      <alignment horizontal="right"/>
    </xf>
    <xf numFmtId="166" fontId="3" fillId="12" borderId="0" xfId="17" applyNumberFormat="1" applyFont="1" applyFill="1" applyAlignment="1">
      <alignment horizontal="center"/>
    </xf>
    <xf numFmtId="0" fontId="0" fillId="0" borderId="0" xfId="0" applyFont="1"/>
    <xf numFmtId="0" fontId="0" fillId="13" borderId="0" xfId="0" applyFont="1" applyFill="1"/>
    <xf numFmtId="0" fontId="0" fillId="0" borderId="0" xfId="0" applyFont="1" applyBorder="1"/>
    <xf numFmtId="0" fontId="0" fillId="13" borderId="0" xfId="0" applyFill="1"/>
    <xf numFmtId="9" fontId="0" fillId="0" borderId="0" xfId="0" applyNumberFormat="1" applyFont="1" applyBorder="1" applyAlignment="1">
      <alignment wrapText="1"/>
    </xf>
    <xf numFmtId="0" fontId="25" fillId="0" borderId="13" xfId="0" applyFont="1" applyBorder="1"/>
    <xf numFmtId="0" fontId="25" fillId="0" borderId="13" xfId="0" applyFont="1" applyBorder="1" applyAlignment="1">
      <alignment horizontal="left"/>
    </xf>
    <xf numFmtId="0" fontId="25" fillId="0" borderId="0" xfId="0" applyFont="1" applyBorder="1"/>
    <xf numFmtId="0" fontId="2" fillId="0" borderId="0" xfId="0" applyFont="1" applyAlignment="1">
      <alignment horizontal="left"/>
    </xf>
    <xf numFmtId="0" fontId="28" fillId="0" borderId="0" xfId="0" applyFont="1" applyAlignment="1">
      <alignment horizontal="left"/>
    </xf>
    <xf numFmtId="37" fontId="0" fillId="0" borderId="0" xfId="0" applyNumberFormat="1" applyBorder="1"/>
    <xf numFmtId="0" fontId="0" fillId="0" borderId="0" xfId="0" applyFill="1" applyBorder="1" applyAlignment="1">
      <alignment horizontal="left" vertical="center" wrapText="1" indent="2"/>
    </xf>
    <xf numFmtId="0" fontId="0" fillId="0" borderId="0" xfId="0" applyBorder="1" applyAlignment="1">
      <alignment horizontal="left" vertical="center" wrapText="1" indent="2"/>
    </xf>
    <xf numFmtId="37" fontId="25" fillId="0" borderId="0" xfId="0" applyNumberFormat="1" applyFont="1" applyBorder="1"/>
    <xf numFmtId="164" fontId="25" fillId="0" borderId="0" xfId="0" applyNumberFormat="1" applyFont="1" applyFill="1" applyBorder="1" applyAlignment="1">
      <alignment horizontal="center"/>
    </xf>
    <xf numFmtId="0" fontId="25" fillId="0" borderId="0" xfId="0" applyFont="1" applyBorder="1" applyAlignment="1">
      <alignment horizontal="center"/>
    </xf>
    <xf numFmtId="0" fontId="25" fillId="0" borderId="0" xfId="0" applyFont="1" applyAlignment="1">
      <alignment horizontal="left" indent="1"/>
    </xf>
    <xf numFmtId="0" fontId="0" fillId="0" borderId="0" xfId="0" applyBorder="1" applyAlignment="1">
      <alignment horizontal="left" vertical="center" indent="2"/>
    </xf>
    <xf numFmtId="0" fontId="25" fillId="0" borderId="0" xfId="0" applyFont="1" applyFill="1" applyBorder="1" applyAlignment="1">
      <alignment horizontal="center"/>
    </xf>
    <xf numFmtId="0" fontId="25" fillId="0" borderId="0" xfId="0" applyFont="1" applyBorder="1" applyAlignment="1">
      <alignment horizontal="center" wrapText="1"/>
    </xf>
    <xf numFmtId="0" fontId="30" fillId="0" borderId="0" xfId="0" applyFont="1" applyBorder="1"/>
    <xf numFmtId="0" fontId="2" fillId="0" borderId="0" xfId="0" applyFont="1" applyAlignment="1">
      <alignment horizontal="left" wrapText="1"/>
    </xf>
    <xf numFmtId="0" fontId="28" fillId="0" borderId="0" xfId="0" applyFont="1" applyBorder="1"/>
    <xf numFmtId="10" fontId="25" fillId="0" borderId="22" xfId="2" applyNumberFormat="1" applyFont="1" applyBorder="1"/>
    <xf numFmtId="0" fontId="25" fillId="0" borderId="0" xfId="0" applyFont="1" applyAlignment="1">
      <alignment horizontal="right"/>
    </xf>
    <xf numFmtId="3" fontId="25" fillId="0" borderId="0" xfId="0" applyNumberFormat="1" applyFont="1"/>
    <xf numFmtId="0" fontId="25" fillId="0" borderId="0" xfId="0" applyFont="1" applyAlignment="1">
      <alignment horizontal="center"/>
    </xf>
    <xf numFmtId="0" fontId="2" fillId="0" borderId="0" xfId="0" applyFont="1" applyFill="1" applyBorder="1" applyAlignment="1">
      <alignment wrapText="1"/>
    </xf>
    <xf numFmtId="0" fontId="0" fillId="0" borderId="0" xfId="0" applyAlignment="1">
      <alignment horizontal="center" vertical="center"/>
    </xf>
    <xf numFmtId="0" fontId="0" fillId="0" borderId="0" xfId="0" applyAlignment="1">
      <alignment horizontal="left" vertical="center" wrapText="1"/>
    </xf>
    <xf numFmtId="11" fontId="0" fillId="0" borderId="0" xfId="0" applyNumberFormat="1" applyFill="1" applyAlignment="1">
      <alignment horizontal="center"/>
    </xf>
    <xf numFmtId="11" fontId="0" fillId="0" borderId="0" xfId="0" applyNumberFormat="1"/>
    <xf numFmtId="0" fontId="0" fillId="0" borderId="0" xfId="0" applyAlignment="1">
      <alignment vertical="center"/>
    </xf>
    <xf numFmtId="0" fontId="7" fillId="0" borderId="0" xfId="0" applyFont="1"/>
    <xf numFmtId="0" fontId="0" fillId="0" borderId="0" xfId="0" applyFont="1" applyAlignment="1">
      <alignment horizontal="left"/>
    </xf>
    <xf numFmtId="0" fontId="0" fillId="0" borderId="0" xfId="0" applyFill="1" applyBorder="1" applyAlignment="1">
      <alignment horizontal="left" indent="1"/>
    </xf>
    <xf numFmtId="1" fontId="0" fillId="0" borderId="0"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Border="1" applyAlignment="1">
      <alignment horizontal="left"/>
    </xf>
    <xf numFmtId="9" fontId="0" fillId="0" borderId="0" xfId="0" applyNumberFormat="1" applyFill="1" applyBorder="1" applyAlignment="1">
      <alignment horizontal="center"/>
    </xf>
    <xf numFmtId="0" fontId="0" fillId="0" borderId="0" xfId="0" applyBorder="1" applyAlignment="1">
      <alignment horizontal="left" indent="1"/>
    </xf>
    <xf numFmtId="0" fontId="0" fillId="0" borderId="0" xfId="0" applyFont="1" applyFill="1"/>
    <xf numFmtId="0" fontId="0" fillId="0" borderId="0" xfId="0" applyFont="1" applyFill="1" applyAlignment="1">
      <alignment horizontal="center"/>
    </xf>
    <xf numFmtId="3" fontId="0" fillId="0" borderId="0" xfId="0" applyNumberFormat="1" applyBorder="1" applyAlignment="1">
      <alignment horizontal="center"/>
    </xf>
    <xf numFmtId="3" fontId="0" fillId="0" borderId="21" xfId="0" applyNumberFormat="1" applyBorder="1" applyAlignment="1">
      <alignment horizontal="center"/>
    </xf>
    <xf numFmtId="0" fontId="0" fillId="2" borderId="0" xfId="0" applyFill="1"/>
    <xf numFmtId="0" fontId="0" fillId="0" borderId="10" xfId="0" applyBorder="1" applyAlignment="1">
      <alignment horizontal="center"/>
    </xf>
    <xf numFmtId="0" fontId="3" fillId="0" borderId="10" xfId="0" applyFont="1" applyBorder="1"/>
    <xf numFmtId="0" fontId="32" fillId="0" borderId="0" xfId="0" applyFont="1" applyBorder="1"/>
    <xf numFmtId="9" fontId="0" fillId="0" borderId="0" xfId="0" applyNumberFormat="1" applyBorder="1" applyAlignment="1">
      <alignment horizontal="center"/>
    </xf>
    <xf numFmtId="9" fontId="0" fillId="0" borderId="21" xfId="0" applyNumberFormat="1" applyBorder="1" applyAlignment="1">
      <alignment horizontal="center"/>
    </xf>
    <xf numFmtId="166" fontId="0" fillId="0" borderId="0" xfId="0" applyNumberFormat="1" applyBorder="1" applyAlignment="1">
      <alignment horizontal="center"/>
    </xf>
    <xf numFmtId="0" fontId="3" fillId="0" borderId="10" xfId="0" applyFont="1" applyBorder="1" applyAlignment="1">
      <alignment horizontal="center"/>
    </xf>
    <xf numFmtId="0" fontId="2" fillId="0" borderId="0" xfId="0" applyFont="1" applyAlignment="1">
      <alignment horizontal="left" vertical="center" wrapText="1"/>
    </xf>
    <xf numFmtId="0" fontId="0" fillId="0" borderId="0" xfId="0" applyFont="1" applyAlignment="1">
      <alignment horizontal="left" indent="2"/>
    </xf>
    <xf numFmtId="166" fontId="0" fillId="0" borderId="0" xfId="2" applyNumberFormat="1" applyFont="1" applyBorder="1" applyAlignment="1">
      <alignment horizontal="center"/>
    </xf>
    <xf numFmtId="9" fontId="0" fillId="0" borderId="0" xfId="0" applyNumberFormat="1" applyBorder="1" applyAlignment="1">
      <alignment horizontal="left"/>
    </xf>
    <xf numFmtId="164" fontId="0" fillId="0" borderId="0" xfId="0" applyNumberFormat="1" applyBorder="1" applyAlignment="1">
      <alignment horizontal="left"/>
    </xf>
    <xf numFmtId="43" fontId="0" fillId="0" borderId="0" xfId="0" applyNumberFormat="1" applyBorder="1" applyAlignment="1">
      <alignment horizontal="left"/>
    </xf>
    <xf numFmtId="9" fontId="0" fillId="0" borderId="0" xfId="0" applyNumberFormat="1" applyFill="1" applyBorder="1" applyAlignment="1">
      <alignment horizontal="left"/>
    </xf>
    <xf numFmtId="164" fontId="33" fillId="0" borderId="0" xfId="1" applyNumberFormat="1" applyFont="1"/>
    <xf numFmtId="0" fontId="0" fillId="0" borderId="0" xfId="0" applyAlignment="1">
      <alignment horizontal="left" wrapText="1"/>
    </xf>
    <xf numFmtId="9" fontId="0" fillId="0" borderId="0" xfId="0" applyNumberFormat="1" applyBorder="1" applyAlignment="1">
      <alignment horizontal="left" wrapText="1"/>
    </xf>
    <xf numFmtId="9" fontId="0" fillId="0" borderId="0" xfId="0" applyNumberFormat="1" applyBorder="1" applyAlignment="1">
      <alignment horizontal="center" wrapText="1"/>
    </xf>
    <xf numFmtId="9" fontId="0" fillId="0" borderId="21" xfId="0" applyNumberFormat="1" applyBorder="1" applyAlignment="1">
      <alignment horizontal="center" wrapText="1"/>
    </xf>
    <xf numFmtId="0" fontId="0" fillId="0" borderId="0" xfId="0" applyFont="1" applyAlignment="1">
      <alignment horizontal="left" wrapText="1"/>
    </xf>
    <xf numFmtId="0" fontId="0" fillId="0" borderId="0" xfId="0" applyBorder="1" applyAlignment="1">
      <alignment horizontal="left" wrapText="1"/>
    </xf>
    <xf numFmtId="0" fontId="0" fillId="0" borderId="0" xfId="0" applyFont="1" applyAlignment="1">
      <alignment horizontal="left" vertical="center" indent="1"/>
    </xf>
    <xf numFmtId="1" fontId="0" fillId="0" borderId="0" xfId="0" applyNumberFormat="1" applyBorder="1" applyAlignment="1">
      <alignment horizontal="left"/>
    </xf>
    <xf numFmtId="3" fontId="0" fillId="0" borderId="0" xfId="0" applyNumberFormat="1" applyBorder="1" applyAlignment="1">
      <alignment horizontal="left"/>
    </xf>
    <xf numFmtId="0" fontId="0" fillId="0" borderId="44" xfId="0"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xf>
    <xf numFmtId="0" fontId="0" fillId="0" borderId="21" xfId="0" applyFont="1" applyBorder="1"/>
    <xf numFmtId="0" fontId="3" fillId="0" borderId="14" xfId="0" applyFont="1" applyBorder="1" applyAlignment="1">
      <alignment horizontal="center"/>
    </xf>
    <xf numFmtId="0" fontId="2" fillId="0" borderId="13" xfId="0" applyFont="1" applyBorder="1" applyAlignment="1">
      <alignment horizontal="left"/>
    </xf>
    <xf numFmtId="3" fontId="0" fillId="0" borderId="0" xfId="0" applyNumberFormat="1" applyFont="1" applyBorder="1" applyAlignment="1">
      <alignment horizontal="center"/>
    </xf>
    <xf numFmtId="3" fontId="0" fillId="0" borderId="56" xfId="0" applyNumberFormat="1" applyFont="1" applyBorder="1"/>
    <xf numFmtId="0" fontId="0" fillId="0" borderId="0" xfId="0" applyFont="1" applyFill="1" applyBorder="1"/>
    <xf numFmtId="3" fontId="0" fillId="0" borderId="22" xfId="0" applyNumberFormat="1" applyFont="1" applyBorder="1" applyAlignment="1">
      <alignment horizontal="center"/>
    </xf>
    <xf numFmtId="3" fontId="0" fillId="0" borderId="21" xfId="0" applyNumberFormat="1" applyFont="1" applyBorder="1" applyAlignment="1">
      <alignment horizontal="center"/>
    </xf>
    <xf numFmtId="1" fontId="0" fillId="0" borderId="41" xfId="0" applyNumberFormat="1" applyFont="1" applyBorder="1" applyAlignment="1">
      <alignment horizontal="center"/>
    </xf>
    <xf numFmtId="0" fontId="0" fillId="0" borderId="46" xfId="0" applyFont="1" applyBorder="1"/>
    <xf numFmtId="0" fontId="0" fillId="0" borderId="13" xfId="0" applyFont="1" applyBorder="1"/>
    <xf numFmtId="0" fontId="25" fillId="0" borderId="21" xfId="0" applyFont="1" applyBorder="1"/>
    <xf numFmtId="0" fontId="0" fillId="0" borderId="0" xfId="0" applyFont="1" applyBorder="1" applyAlignment="1">
      <alignment horizontal="center"/>
    </xf>
    <xf numFmtId="0" fontId="0" fillId="0" borderId="0" xfId="0" applyFont="1" applyBorder="1" applyAlignment="1">
      <alignment horizontal="left"/>
    </xf>
    <xf numFmtId="0" fontId="0" fillId="0" borderId="47" xfId="0" applyFont="1" applyBorder="1"/>
    <xf numFmtId="0" fontId="32" fillId="0" borderId="46" xfId="0" applyFont="1" applyBorder="1"/>
    <xf numFmtId="0" fontId="32" fillId="0" borderId="13" xfId="0" applyFont="1" applyBorder="1"/>
    <xf numFmtId="0" fontId="0" fillId="0" borderId="46" xfId="0" applyBorder="1"/>
    <xf numFmtId="0" fontId="0" fillId="0" borderId="13" xfId="0" applyBorder="1" applyAlignment="1">
      <alignment horizontal="left"/>
    </xf>
    <xf numFmtId="0" fontId="32" fillId="0" borderId="47" xfId="0" applyFont="1" applyBorder="1"/>
    <xf numFmtId="177" fontId="0" fillId="0" borderId="47" xfId="2" applyNumberFormat="1" applyFont="1" applyBorder="1" applyAlignment="1">
      <alignment horizontal="center"/>
    </xf>
    <xf numFmtId="177" fontId="0" fillId="0" borderId="0" xfId="2" applyNumberFormat="1" applyFont="1" applyAlignment="1">
      <alignment horizontal="center"/>
    </xf>
    <xf numFmtId="177" fontId="0" fillId="0" borderId="0" xfId="2" applyNumberFormat="1" applyFont="1" applyBorder="1" applyAlignment="1">
      <alignment horizontal="center"/>
    </xf>
    <xf numFmtId="166" fontId="0" fillId="0" borderId="47" xfId="2" applyNumberFormat="1" applyFont="1" applyBorder="1" applyAlignment="1">
      <alignment horizontal="center"/>
    </xf>
    <xf numFmtId="166" fontId="0" fillId="0" borderId="21" xfId="2" applyNumberFormat="1" applyFont="1" applyBorder="1" applyAlignment="1">
      <alignment horizontal="center"/>
    </xf>
    <xf numFmtId="10" fontId="0" fillId="0" borderId="21" xfId="2" applyNumberFormat="1" applyFont="1" applyBorder="1" applyAlignment="1">
      <alignment horizontal="center"/>
    </xf>
    <xf numFmtId="0" fontId="0" fillId="0" borderId="21" xfId="0" applyBorder="1" applyAlignment="1">
      <alignment horizontal="center"/>
    </xf>
    <xf numFmtId="3" fontId="0" fillId="0" borderId="0" xfId="0" applyNumberFormat="1" applyBorder="1"/>
    <xf numFmtId="0" fontId="34" fillId="0" borderId="10" xfId="0" applyFont="1" applyBorder="1" applyAlignment="1">
      <alignment horizontal="center"/>
    </xf>
    <xf numFmtId="3" fontId="0" fillId="0" borderId="0" xfId="0" applyNumberFormat="1" applyFont="1" applyBorder="1"/>
    <xf numFmtId="3" fontId="0" fillId="0" borderId="47" xfId="0" applyNumberFormat="1" applyBorder="1"/>
    <xf numFmtId="0" fontId="0" fillId="0" borderId="47" xfId="0" applyBorder="1" applyAlignment="1">
      <alignment horizontal="center" vertical="center" wrapText="1"/>
    </xf>
    <xf numFmtId="0" fontId="0" fillId="0" borderId="10" xfId="0" applyBorder="1" applyAlignment="1">
      <alignment vertical="top" wrapText="1"/>
    </xf>
    <xf numFmtId="9" fontId="0" fillId="0" borderId="0" xfId="0" applyNumberFormat="1" applyBorder="1" applyAlignment="1">
      <alignment horizontal="left" vertical="center" wrapText="1"/>
    </xf>
    <xf numFmtId="9" fontId="0" fillId="0" borderId="47" xfId="0" applyNumberFormat="1" applyBorder="1" applyAlignment="1">
      <alignment horizontal="left" vertical="center" wrapText="1"/>
    </xf>
    <xf numFmtId="9"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indent="1"/>
    </xf>
    <xf numFmtId="9" fontId="0" fillId="0" borderId="0" xfId="0" applyNumberFormat="1" applyAlignment="1">
      <alignment horizontal="left"/>
    </xf>
    <xf numFmtId="0" fontId="0" fillId="0" borderId="0" xfId="0" applyFont="1" applyAlignment="1">
      <alignment horizontal="left" vertical="center"/>
    </xf>
    <xf numFmtId="0" fontId="2" fillId="0" borderId="0" xfId="0" applyFont="1" applyBorder="1" applyAlignment="1">
      <alignment horizontal="left"/>
    </xf>
    <xf numFmtId="0" fontId="0" fillId="0" borderId="0" xfId="0" applyFill="1" applyBorder="1" applyAlignment="1">
      <alignment horizontal="center" vertical="center" wrapText="1"/>
    </xf>
    <xf numFmtId="178" fontId="0" fillId="0" borderId="0" xfId="0" applyNumberFormat="1" applyBorder="1" applyAlignment="1">
      <alignment horizontal="center" vertical="center"/>
    </xf>
    <xf numFmtId="178" fontId="0" fillId="0" borderId="21" xfId="0" applyNumberFormat="1" applyBorder="1" applyAlignment="1">
      <alignment horizontal="center" vertical="center"/>
    </xf>
    <xf numFmtId="164" fontId="0" fillId="0" borderId="0" xfId="0" applyNumberForma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41" xfId="0" applyNumberFormat="1" applyBorder="1" applyAlignment="1">
      <alignment horizontal="center" vertical="center" wrapText="1"/>
    </xf>
    <xf numFmtId="164" fontId="0" fillId="0" borderId="0" xfId="0" applyNumberFormat="1" applyBorder="1" applyAlignment="1">
      <alignment horizontal="center" vertical="center"/>
    </xf>
    <xf numFmtId="164" fontId="0" fillId="0" borderId="0" xfId="1" applyNumberFormat="1" applyFont="1" applyBorder="1" applyAlignment="1">
      <alignment horizontal="center" vertical="center"/>
    </xf>
    <xf numFmtId="0" fontId="0" fillId="0" borderId="7" xfId="0" applyBorder="1" applyAlignment="1">
      <alignment horizontal="center" vertical="top" wrapText="1"/>
    </xf>
    <xf numFmtId="0" fontId="0" fillId="0" borderId="50" xfId="0" applyBorder="1" applyAlignment="1">
      <alignment horizontal="center" vertical="center" wrapText="1"/>
    </xf>
    <xf numFmtId="0" fontId="0" fillId="0" borderId="57" xfId="0" applyBorder="1" applyAlignment="1">
      <alignment vertical="top" wrapText="1"/>
    </xf>
    <xf numFmtId="0" fontId="2" fillId="15" borderId="22" xfId="0" applyFont="1" applyFill="1" applyBorder="1" applyAlignment="1">
      <alignment horizontal="left" vertical="center" wrapText="1"/>
    </xf>
    <xf numFmtId="0" fontId="2" fillId="15" borderId="22" xfId="0" applyFont="1" applyFill="1" applyBorder="1" applyAlignment="1">
      <alignment horizontal="left" vertical="center"/>
    </xf>
    <xf numFmtId="10" fontId="0" fillId="0" borderId="0" xfId="2" applyNumberFormat="1" applyFont="1"/>
    <xf numFmtId="10" fontId="0" fillId="0" borderId="0" xfId="2" applyNumberFormat="1" applyFont="1" applyBorder="1"/>
    <xf numFmtId="0" fontId="3" fillId="0" borderId="0" xfId="0" applyFont="1" applyAlignment="1">
      <alignment horizontal="left" vertical="center"/>
    </xf>
    <xf numFmtId="0" fontId="2" fillId="15" borderId="22" xfId="0" applyFont="1" applyFill="1" applyBorder="1"/>
    <xf numFmtId="165" fontId="0" fillId="5" borderId="0" xfId="0" applyNumberFormat="1" applyFill="1" applyAlignment="1">
      <alignment horizontal="center"/>
    </xf>
    <xf numFmtId="165" fontId="25" fillId="0" borderId="0" xfId="0" applyNumberFormat="1" applyFont="1" applyAlignment="1">
      <alignment horizontal="center" wrapText="1"/>
    </xf>
    <xf numFmtId="0" fontId="25" fillId="0" borderId="0" xfId="0" applyFont="1" applyAlignment="1">
      <alignment horizontal="center" wrapText="1"/>
    </xf>
    <xf numFmtId="0" fontId="29" fillId="0" borderId="0" xfId="0" applyFont="1" applyAlignment="1">
      <alignment horizontal="left"/>
    </xf>
    <xf numFmtId="9" fontId="0" fillId="0" borderId="0" xfId="0" applyNumberFormat="1" applyFont="1" applyAlignment="1">
      <alignment horizontal="center" wrapText="1"/>
    </xf>
    <xf numFmtId="0" fontId="0" fillId="0" borderId="0" xfId="0" applyFont="1" applyAlignment="1">
      <alignment horizontal="center" vertical="center"/>
    </xf>
    <xf numFmtId="0" fontId="0" fillId="0" borderId="0" xfId="0" applyFont="1" applyAlignment="1">
      <alignment horizontal="center" wrapText="1"/>
    </xf>
    <xf numFmtId="0" fontId="25" fillId="0" borderId="0" xfId="0" applyFont="1" applyAlignment="1">
      <alignment horizontal="center" vertical="center"/>
    </xf>
    <xf numFmtId="0" fontId="0" fillId="16" borderId="0" xfId="0" applyFill="1"/>
    <xf numFmtId="0" fontId="0" fillId="16" borderId="13" xfId="0" applyFill="1" applyBorder="1"/>
    <xf numFmtId="0" fontId="25" fillId="16" borderId="13" xfId="0" applyFont="1" applyFill="1" applyBorder="1" applyAlignment="1">
      <alignment horizontal="center"/>
    </xf>
    <xf numFmtId="0" fontId="2" fillId="16" borderId="0" xfId="0" applyFont="1" applyFill="1" applyAlignment="1">
      <alignment horizontal="left"/>
    </xf>
    <xf numFmtId="0" fontId="0" fillId="0" borderId="0" xfId="0" applyAlignment="1">
      <alignment vertical="center" wrapText="1"/>
    </xf>
    <xf numFmtId="0" fontId="0" fillId="0" borderId="0" xfId="0" applyFont="1" applyFill="1" applyAlignment="1">
      <alignment horizontal="left"/>
    </xf>
    <xf numFmtId="166" fontId="0" fillId="0" borderId="0" xfId="2" applyNumberFormat="1" applyFont="1" applyAlignment="1">
      <alignment horizontal="center" vertical="center"/>
    </xf>
    <xf numFmtId="0" fontId="35" fillId="0" borderId="0" xfId="0" applyFont="1" applyFill="1" applyBorder="1" applyAlignment="1">
      <alignment horizontal="left"/>
    </xf>
    <xf numFmtId="165" fontId="0" fillId="0" borderId="0" xfId="0" applyNumberFormat="1" applyFill="1" applyAlignment="1">
      <alignment horizontal="center"/>
    </xf>
    <xf numFmtId="0" fontId="25" fillId="0" borderId="0" xfId="0" applyFont="1" applyAlignment="1">
      <alignment horizontal="center" vertical="center" wrapText="1"/>
    </xf>
    <xf numFmtId="0" fontId="0" fillId="16" borderId="0" xfId="0" applyFill="1" applyAlignment="1">
      <alignment horizontal="center"/>
    </xf>
    <xf numFmtId="0" fontId="34" fillId="0" borderId="0" xfId="0" applyFont="1" applyFill="1" applyBorder="1"/>
    <xf numFmtId="179" fontId="34" fillId="0" borderId="0" xfId="0" applyNumberFormat="1" applyFont="1" applyFill="1" applyBorder="1"/>
    <xf numFmtId="180" fontId="34" fillId="0" borderId="0" xfId="0" applyNumberFormat="1" applyFont="1" applyFill="1" applyBorder="1"/>
    <xf numFmtId="0" fontId="34" fillId="0" borderId="0" xfId="0" applyFont="1" applyBorder="1"/>
    <xf numFmtId="180" fontId="34" fillId="0" borderId="0" xfId="0" applyNumberFormat="1" applyFont="1" applyBorder="1"/>
    <xf numFmtId="8" fontId="34" fillId="0" borderId="0" xfId="0" applyNumberFormat="1" applyFont="1" applyBorder="1"/>
    <xf numFmtId="0" fontId="0" fillId="0" borderId="55" xfId="0" applyBorder="1"/>
    <xf numFmtId="0" fontId="2" fillId="0" borderId="55" xfId="0" applyFont="1" applyFill="1" applyBorder="1"/>
    <xf numFmtId="0" fontId="0" fillId="0" borderId="25" xfId="0" applyFont="1" applyBorder="1"/>
    <xf numFmtId="165" fontId="0" fillId="0" borderId="0" xfId="0" applyNumberFormat="1" applyFont="1" applyFill="1" applyBorder="1"/>
    <xf numFmtId="9" fontId="0" fillId="0" borderId="8" xfId="2" applyFont="1" applyFill="1" applyBorder="1"/>
    <xf numFmtId="0" fontId="0" fillId="0" borderId="1" xfId="0" applyFill="1" applyBorder="1" applyAlignment="1">
      <alignment horizontal="left"/>
    </xf>
    <xf numFmtId="165" fontId="0" fillId="0" borderId="8" xfId="0" applyNumberFormat="1" applyFont="1" applyFill="1" applyBorder="1"/>
    <xf numFmtId="8" fontId="0" fillId="0" borderId="0" xfId="0" applyNumberFormat="1" applyBorder="1"/>
    <xf numFmtId="172" fontId="0" fillId="0" borderId="0" xfId="0" applyNumberFormat="1" applyFont="1" applyFill="1" applyBorder="1"/>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xf numFmtId="0" fontId="2" fillId="0" borderId="0" xfId="0" applyFont="1" applyFill="1" applyBorder="1"/>
    <xf numFmtId="0" fontId="2" fillId="0" borderId="8" xfId="0" applyFont="1" applyBorder="1"/>
    <xf numFmtId="0" fontId="2"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2" fillId="0" borderId="8" xfId="0" applyFont="1" applyFill="1" applyBorder="1" applyAlignment="1">
      <alignment horizontal="right"/>
    </xf>
    <xf numFmtId="0" fontId="25" fillId="0" borderId="1" xfId="0" applyFont="1" applyFill="1" applyBorder="1" applyAlignment="1">
      <alignment horizontal="right"/>
    </xf>
    <xf numFmtId="0" fontId="0" fillId="10" borderId="48" xfId="0" applyFill="1" applyBorder="1"/>
    <xf numFmtId="0" fontId="0" fillId="10" borderId="49" xfId="0" applyFill="1" applyBorder="1"/>
    <xf numFmtId="0" fontId="0" fillId="2" borderId="49" xfId="0" applyFill="1" applyBorder="1" applyAlignment="1">
      <alignment horizontal="center"/>
    </xf>
    <xf numFmtId="0" fontId="2" fillId="0" borderId="49" xfId="0" applyFont="1" applyFill="1" applyBorder="1"/>
    <xf numFmtId="0" fontId="25" fillId="0" borderId="2" xfId="0" applyFont="1" applyBorder="1" applyAlignment="1">
      <alignment horizontal="left"/>
    </xf>
    <xf numFmtId="0" fontId="0" fillId="14" borderId="58" xfId="0" applyFill="1" applyBorder="1"/>
    <xf numFmtId="0" fontId="0" fillId="14" borderId="26" xfId="0" applyFill="1" applyBorder="1" applyAlignment="1">
      <alignment horizontal="right"/>
    </xf>
    <xf numFmtId="166" fontId="36" fillId="0" borderId="0" xfId="2" applyNumberFormat="1" applyFont="1"/>
    <xf numFmtId="0" fontId="34" fillId="0" borderId="0" xfId="0" applyFont="1" applyAlignment="1">
      <alignment horizontal="right"/>
    </xf>
    <xf numFmtId="0" fontId="0" fillId="14" borderId="59" xfId="0" applyFill="1" applyBorder="1"/>
    <xf numFmtId="0" fontId="0" fillId="14" borderId="60" xfId="0" applyFill="1" applyBorder="1" applyAlignment="1">
      <alignment horizontal="right"/>
    </xf>
    <xf numFmtId="0" fontId="2" fillId="0" borderId="0" xfId="0" applyFont="1" applyBorder="1" applyAlignment="1"/>
    <xf numFmtId="0" fontId="7" fillId="0" borderId="0" xfId="0" applyFont="1" applyBorder="1"/>
    <xf numFmtId="181" fontId="1" fillId="0" borderId="0" xfId="26" applyNumberFormat="1" applyFont="1" applyBorder="1"/>
    <xf numFmtId="0" fontId="0" fillId="0" borderId="0" xfId="0" applyBorder="1" applyAlignment="1">
      <alignment horizontal="right" vertical="center"/>
    </xf>
    <xf numFmtId="181" fontId="0" fillId="0" borderId="8" xfId="0" applyNumberFormat="1" applyFont="1" applyBorder="1"/>
    <xf numFmtId="181" fontId="0" fillId="0" borderId="0" xfId="0" applyNumberFormat="1" applyFont="1" applyBorder="1"/>
    <xf numFmtId="8" fontId="0" fillId="0" borderId="0" xfId="0" applyNumberFormat="1"/>
    <xf numFmtId="181" fontId="0" fillId="0" borderId="0" xfId="0" applyNumberFormat="1"/>
    <xf numFmtId="0" fontId="2" fillId="0" borderId="21" xfId="0" applyFont="1" applyBorder="1" applyAlignment="1">
      <alignment horizontal="center"/>
    </xf>
    <xf numFmtId="0" fontId="37" fillId="0" borderId="0" xfId="0" applyFont="1" applyBorder="1" applyAlignment="1">
      <alignment horizontal="center" vertical="center"/>
    </xf>
    <xf numFmtId="166" fontId="0" fillId="0" borderId="0" xfId="0" applyNumberFormat="1" applyBorder="1" applyAlignment="1">
      <alignment horizontal="center" vertical="center"/>
    </xf>
    <xf numFmtId="166" fontId="0" fillId="0" borderId="0" xfId="0" applyNumberFormat="1" applyFont="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vertical="center"/>
    </xf>
    <xf numFmtId="9" fontId="0" fillId="0" borderId="56" xfId="0" applyNumberFormat="1" applyBorder="1" applyAlignment="1">
      <alignment horizontal="center"/>
    </xf>
    <xf numFmtId="1" fontId="0" fillId="0" borderId="0" xfId="0" applyNumberFormat="1" applyBorder="1" applyAlignment="1">
      <alignment vertical="center"/>
    </xf>
    <xf numFmtId="0" fontId="2" fillId="0" borderId="0" xfId="0" applyFont="1" applyFill="1" applyBorder="1" applyAlignment="1">
      <alignment horizontal="center"/>
    </xf>
    <xf numFmtId="9" fontId="0" fillId="17" borderId="7" xfId="0" applyNumberFormat="1" applyFill="1" applyBorder="1" applyAlignment="1">
      <alignment horizontal="center"/>
    </xf>
    <xf numFmtId="0" fontId="0" fillId="14" borderId="61" xfId="0" applyFill="1" applyBorder="1" applyAlignment="1">
      <alignment horizontal="center"/>
    </xf>
    <xf numFmtId="0" fontId="0" fillId="14" borderId="53" xfId="0" applyFill="1" applyBorder="1" applyAlignment="1">
      <alignment horizontal="right"/>
    </xf>
    <xf numFmtId="9" fontId="0" fillId="17" borderId="22" xfId="0" applyNumberFormat="1" applyFill="1" applyBorder="1" applyAlignment="1">
      <alignment horizontal="center"/>
    </xf>
    <xf numFmtId="0" fontId="0" fillId="14" borderId="39" xfId="0" applyFill="1" applyBorder="1" applyAlignment="1">
      <alignment horizontal="center"/>
    </xf>
    <xf numFmtId="0" fontId="0" fillId="14" borderId="25" xfId="0" applyFill="1" applyBorder="1" applyAlignment="1">
      <alignment horizontal="right"/>
    </xf>
    <xf numFmtId="0" fontId="0" fillId="0" borderId="0" xfId="0" applyBorder="1" applyAlignment="1" applyProtection="1">
      <alignment horizontal="center"/>
      <protection locked="0"/>
    </xf>
    <xf numFmtId="0" fontId="0" fillId="0" borderId="62" xfId="0" applyFill="1" applyBorder="1" applyAlignment="1">
      <alignment horizontal="center"/>
    </xf>
    <xf numFmtId="0" fontId="2" fillId="0" borderId="62" xfId="0" applyFont="1" applyBorder="1" applyAlignment="1">
      <alignment horizontal="center"/>
    </xf>
    <xf numFmtId="0" fontId="0" fillId="5" borderId="0" xfId="0" applyFont="1" applyFill="1" applyAlignment="1">
      <alignment horizontal="center"/>
    </xf>
    <xf numFmtId="0" fontId="0" fillId="14" borderId="58" xfId="0" applyFill="1" applyBorder="1" applyAlignment="1">
      <alignment horizontal="center"/>
    </xf>
    <xf numFmtId="167" fontId="37" fillId="0" borderId="0" xfId="0" applyNumberFormat="1" applyFont="1" applyBorder="1" applyAlignment="1">
      <alignment horizontal="center" vertical="center"/>
    </xf>
    <xf numFmtId="0" fontId="0" fillId="0" borderId="59" xfId="0"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ill="1" applyBorder="1" applyAlignment="1">
      <alignment vertical="center"/>
    </xf>
    <xf numFmtId="167" fontId="37" fillId="0" borderId="13" xfId="0" applyNumberFormat="1" applyFont="1" applyBorder="1" applyAlignment="1">
      <alignment horizontal="center" vertical="center"/>
    </xf>
    <xf numFmtId="0" fontId="0" fillId="0" borderId="51" xfId="0" applyFill="1" applyBorder="1" applyAlignment="1">
      <alignment horizontal="center"/>
    </xf>
    <xf numFmtId="0" fontId="0" fillId="0" borderId="63" xfId="0" applyFill="1" applyBorder="1" applyAlignment="1">
      <alignment horizontal="center"/>
    </xf>
    <xf numFmtId="0" fontId="0" fillId="0" borderId="58" xfId="0" applyFill="1" applyBorder="1" applyAlignment="1">
      <alignment horizontal="center" vertical="center"/>
    </xf>
    <xf numFmtId="0" fontId="0" fillId="14" borderId="23" xfId="0" applyFill="1" applyBorder="1" applyAlignment="1">
      <alignment horizontal="center" vertical="center"/>
    </xf>
    <xf numFmtId="0" fontId="0" fillId="14" borderId="24" xfId="0" applyFill="1" applyBorder="1" applyAlignment="1">
      <alignment horizontal="right"/>
    </xf>
    <xf numFmtId="0" fontId="2" fillId="0" borderId="22" xfId="0" applyFont="1" applyFill="1" applyBorder="1" applyAlignment="1">
      <alignment horizontal="center"/>
    </xf>
    <xf numFmtId="0" fontId="0" fillId="0" borderId="0" xfId="0" applyBorder="1" applyAlignment="1">
      <alignment horizontal="right" vertical="center" indent="1"/>
    </xf>
    <xf numFmtId="0" fontId="0" fillId="0" borderId="23" xfId="0" applyFill="1" applyBorder="1" applyAlignment="1">
      <alignment horizontal="center" vertical="center"/>
    </xf>
    <xf numFmtId="0" fontId="0" fillId="5" borderId="0" xfId="0" applyFont="1" applyFill="1" applyBorder="1" applyAlignment="1">
      <alignment horizontal="center" vertical="center"/>
    </xf>
    <xf numFmtId="0" fontId="0" fillId="0" borderId="0" xfId="0" applyBorder="1" applyProtection="1">
      <protection locked="0"/>
    </xf>
    <xf numFmtId="3" fontId="0" fillId="0" borderId="0" xfId="0" applyNumberFormat="1" applyBorder="1" applyProtection="1">
      <protection locked="0"/>
    </xf>
    <xf numFmtId="37" fontId="23" fillId="0" borderId="0" xfId="0" applyNumberFormat="1" applyFont="1" applyBorder="1" applyProtection="1">
      <protection locked="0"/>
    </xf>
    <xf numFmtId="37" fontId="3" fillId="0" borderId="0" xfId="0" applyNumberFormat="1" applyFont="1" applyBorder="1" applyProtection="1">
      <protection locked="0"/>
    </xf>
    <xf numFmtId="10" fontId="3" fillId="0" borderId="22" xfId="2" applyNumberFormat="1" applyFont="1" applyFill="1" applyBorder="1" applyAlignment="1" applyProtection="1">
      <alignment horizontal="center"/>
      <protection locked="0"/>
    </xf>
    <xf numFmtId="37" fontId="38" fillId="0" borderId="0" xfId="0" applyNumberFormat="1" applyFont="1" applyBorder="1" applyProtection="1">
      <protection locked="0"/>
    </xf>
    <xf numFmtId="0" fontId="0" fillId="0" borderId="0" xfId="0" applyFill="1" applyBorder="1" applyProtection="1">
      <protection locked="0"/>
    </xf>
    <xf numFmtId="0" fontId="0" fillId="14" borderId="59" xfId="0" applyFill="1" applyBorder="1" applyAlignment="1" applyProtection="1">
      <alignment horizontal="center"/>
      <protection locked="0"/>
    </xf>
    <xf numFmtId="0" fontId="0" fillId="14" borderId="60" xfId="0" applyFont="1" applyFill="1" applyBorder="1" applyAlignment="1">
      <alignment horizontal="right"/>
    </xf>
    <xf numFmtId="37" fontId="23" fillId="0" borderId="0" xfId="0" applyNumberFormat="1" applyFont="1" applyFill="1" applyBorder="1" applyProtection="1">
      <protection locked="0"/>
    </xf>
    <xf numFmtId="0" fontId="0" fillId="0" borderId="55" xfId="0" applyFill="1" applyBorder="1" applyProtection="1">
      <protection locked="0"/>
    </xf>
    <xf numFmtId="8" fontId="2" fillId="0" borderId="0" xfId="0" applyNumberFormat="1" applyFont="1" applyFill="1" applyBorder="1"/>
    <xf numFmtId="3" fontId="0" fillId="0" borderId="8" xfId="0" applyNumberFormat="1" applyBorder="1" applyProtection="1">
      <protection locked="0"/>
    </xf>
    <xf numFmtId="181" fontId="0" fillId="0" borderId="0" xfId="0" applyNumberFormat="1" applyBorder="1" applyProtection="1">
      <protection locked="0"/>
    </xf>
    <xf numFmtId="181" fontId="0" fillId="0" borderId="0" xfId="0" applyNumberFormat="1" applyFill="1" applyBorder="1" applyProtection="1">
      <protection locked="0"/>
    </xf>
    <xf numFmtId="181" fontId="0" fillId="0" borderId="0" xfId="0" applyNumberFormat="1" applyBorder="1"/>
    <xf numFmtId="2" fontId="2" fillId="0" borderId="0" xfId="0" applyNumberFormat="1" applyFont="1" applyFill="1" applyBorder="1" applyAlignment="1">
      <alignment horizontal="center"/>
    </xf>
    <xf numFmtId="0" fontId="2" fillId="0" borderId="49" xfId="0" applyFont="1" applyFill="1" applyBorder="1" applyAlignment="1">
      <alignment horizontal="center"/>
    </xf>
    <xf numFmtId="0" fontId="0" fillId="0" borderId="49" xfId="0" applyBorder="1"/>
    <xf numFmtId="2" fontId="2" fillId="0" borderId="2" xfId="0" applyNumberFormat="1" applyFont="1" applyFill="1" applyBorder="1"/>
    <xf numFmtId="166" fontId="39" fillId="18" borderId="52" xfId="17" applyNumberFormat="1" applyFont="1" applyFill="1" applyBorder="1" applyAlignment="1">
      <alignment vertical="center"/>
    </xf>
    <xf numFmtId="0" fontId="39" fillId="0" borderId="53" xfId="17" applyFont="1" applyBorder="1" applyAlignment="1">
      <alignment vertical="center"/>
    </xf>
    <xf numFmtId="0" fontId="40" fillId="0" borderId="0" xfId="17" applyFont="1" applyBorder="1" applyAlignment="1">
      <alignment vertical="center"/>
    </xf>
    <xf numFmtId="22" fontId="0" fillId="0" borderId="0" xfId="0" applyNumberFormat="1"/>
    <xf numFmtId="181" fontId="3" fillId="0" borderId="0" xfId="17" applyNumberFormat="1" applyFont="1" applyAlignment="1">
      <alignment horizontal="left"/>
    </xf>
    <xf numFmtId="10" fontId="3" fillId="0" borderId="0" xfId="21" applyNumberFormat="1" applyFont="1" applyAlignment="1">
      <alignment horizontal="left"/>
    </xf>
    <xf numFmtId="10" fontId="3" fillId="0" borderId="0" xfId="17" applyNumberFormat="1" applyFont="1" applyAlignment="1">
      <alignment horizontal="left"/>
    </xf>
    <xf numFmtId="0" fontId="20" fillId="0" borderId="0" xfId="17" applyFont="1" applyAlignment="1">
      <alignment horizontal="center"/>
    </xf>
    <xf numFmtId="10" fontId="20" fillId="0" borderId="0" xfId="21" applyNumberFormat="1" applyFont="1" applyAlignment="1">
      <alignment horizontal="center"/>
    </xf>
    <xf numFmtId="181" fontId="20" fillId="0" borderId="0" xfId="17" applyNumberFormat="1" applyFont="1" applyAlignment="1">
      <alignment horizontal="center"/>
    </xf>
    <xf numFmtId="181" fontId="3" fillId="0" borderId="0" xfId="17" applyNumberFormat="1" applyFont="1" applyAlignment="1">
      <alignment horizontal="center"/>
    </xf>
    <xf numFmtId="167" fontId="0" fillId="0" borderId="0" xfId="0" applyNumberFormat="1" applyFill="1" applyAlignment="1">
      <alignment horizontal="center"/>
    </xf>
    <xf numFmtId="2" fontId="3" fillId="0" borderId="0" xfId="17" applyNumberFormat="1" applyFont="1" applyAlignment="1">
      <alignment horizontal="right"/>
    </xf>
    <xf numFmtId="9" fontId="3" fillId="0" borderId="0" xfId="2" applyFont="1" applyAlignment="1">
      <alignment horizontal="right"/>
    </xf>
    <xf numFmtId="166" fontId="3" fillId="0" borderId="0" xfId="2" applyNumberFormat="1" applyFont="1" applyAlignment="1">
      <alignment horizontal="right"/>
    </xf>
    <xf numFmtId="1" fontId="3" fillId="0" borderId="0" xfId="17" applyNumberFormat="1" applyFont="1" applyAlignment="1">
      <alignment horizontal="right"/>
    </xf>
    <xf numFmtId="164" fontId="3" fillId="0" borderId="0" xfId="1" applyNumberFormat="1" applyFont="1" applyAlignment="1">
      <alignment horizontal="center"/>
    </xf>
    <xf numFmtId="166" fontId="3" fillId="0" borderId="0" xfId="2" applyNumberFormat="1" applyFont="1" applyAlignment="1">
      <alignment horizontal="center"/>
    </xf>
    <xf numFmtId="166" fontId="0" fillId="0" borderId="0" xfId="0" applyNumberFormat="1" applyFill="1" applyAlignment="1">
      <alignment horizontal="right"/>
    </xf>
    <xf numFmtId="10" fontId="3" fillId="0" borderId="0" xfId="2" applyNumberFormat="1" applyFont="1" applyAlignment="1">
      <alignment horizontal="right"/>
    </xf>
    <xf numFmtId="166" fontId="3" fillId="0" borderId="0" xfId="17" applyNumberFormat="1" applyFont="1" applyAlignment="1">
      <alignment horizontal="right"/>
    </xf>
    <xf numFmtId="0" fontId="0" fillId="19" borderId="0" xfId="0" applyFont="1" applyFill="1" applyAlignment="1">
      <alignment horizontal="center"/>
    </xf>
    <xf numFmtId="167" fontId="0" fillId="19" borderId="0" xfId="0" applyNumberFormat="1" applyFill="1" applyAlignment="1">
      <alignment horizontal="center"/>
    </xf>
    <xf numFmtId="166" fontId="0" fillId="19" borderId="0" xfId="0" applyNumberFormat="1" applyFill="1" applyAlignment="1">
      <alignment horizontal="right"/>
    </xf>
    <xf numFmtId="10" fontId="3" fillId="19" borderId="0" xfId="2" applyNumberFormat="1" applyFont="1" applyFill="1" applyAlignment="1">
      <alignment horizontal="right"/>
    </xf>
    <xf numFmtId="2" fontId="3" fillId="19" borderId="0" xfId="17" applyNumberFormat="1" applyFont="1" applyFill="1" applyAlignment="1">
      <alignment horizontal="right"/>
    </xf>
    <xf numFmtId="0" fontId="3" fillId="0" borderId="0" xfId="17" applyNumberFormat="1" applyFont="1" applyAlignment="1">
      <alignment horizontal="center"/>
    </xf>
    <xf numFmtId="37" fontId="0" fillId="0" borderId="0" xfId="0" applyNumberFormat="1" applyAlignment="1">
      <alignment horizontal="center"/>
    </xf>
    <xf numFmtId="0" fontId="6" fillId="0" borderId="0" xfId="0" applyFont="1" applyAlignment="1">
      <alignment horizontal="left"/>
    </xf>
    <xf numFmtId="166" fontId="0" fillId="0" borderId="56" xfId="0" applyNumberFormat="1" applyBorder="1" applyAlignment="1">
      <alignment horizontal="center"/>
    </xf>
    <xf numFmtId="3" fontId="0" fillId="0" borderId="22" xfId="0" applyNumberFormat="1" applyBorder="1"/>
    <xf numFmtId="0" fontId="2" fillId="5" borderId="0" xfId="0" applyFont="1" applyFill="1"/>
    <xf numFmtId="0" fontId="2" fillId="0" borderId="0" xfId="0" applyFont="1" applyFill="1"/>
    <xf numFmtId="0" fontId="22" fillId="0" borderId="0" xfId="0" applyFont="1" applyFill="1" applyBorder="1" applyAlignment="1">
      <alignment horizontal="left" vertical="center"/>
    </xf>
    <xf numFmtId="2" fontId="0" fillId="0" borderId="0" xfId="0" applyNumberFormat="1" applyFill="1" applyBorder="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center" vertical="center"/>
    </xf>
    <xf numFmtId="0" fontId="41" fillId="0" borderId="0" xfId="0" applyFont="1" applyFill="1" applyBorder="1" applyAlignment="1">
      <alignment horizontal="right" vertical="center"/>
    </xf>
    <xf numFmtId="0" fontId="42" fillId="0" borderId="0" xfId="0" applyFont="1" applyFill="1" applyBorder="1" applyAlignment="1">
      <alignment vertical="center"/>
    </xf>
    <xf numFmtId="166" fontId="43" fillId="0" borderId="0" xfId="0" applyNumberFormat="1" applyFont="1" applyFill="1" applyBorder="1" applyAlignment="1">
      <alignment horizontal="center" vertical="center"/>
    </xf>
    <xf numFmtId="0" fontId="44" fillId="0" borderId="0" xfId="15" applyFont="1" applyFill="1" applyBorder="1" applyAlignment="1" applyProtection="1">
      <alignment vertical="center"/>
    </xf>
    <xf numFmtId="0" fontId="45" fillId="0" borderId="0" xfId="0" applyFont="1" applyFill="1" applyBorder="1" applyAlignment="1">
      <alignment horizontal="left" vertical="center" wrapText="1"/>
    </xf>
    <xf numFmtId="2"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2" fontId="46"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44" fillId="0" borderId="0" xfId="15" applyFont="1" applyFill="1" applyBorder="1" applyAlignment="1" applyProtection="1">
      <alignment horizontal="center" vertical="center"/>
    </xf>
    <xf numFmtId="3" fontId="47" fillId="0" borderId="0"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46"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0"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10" fontId="46"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9" fontId="46"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9" fontId="0" fillId="0" borderId="0" xfId="0" applyNumberFormat="1" applyFill="1" applyBorder="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wrapText="1"/>
    </xf>
    <xf numFmtId="8" fontId="0" fillId="0" borderId="0" xfId="0" applyNumberFormat="1" applyFont="1" applyFill="1" applyBorder="1"/>
    <xf numFmtId="8" fontId="0" fillId="0" borderId="0" xfId="0" applyNumberFormat="1" applyFill="1" applyBorder="1"/>
    <xf numFmtId="0" fontId="0" fillId="0" borderId="1" xfId="0" applyFill="1" applyBorder="1" applyAlignment="1">
      <alignment horizontal="left" indent="1"/>
    </xf>
    <xf numFmtId="180" fontId="0" fillId="0" borderId="0" xfId="0" applyNumberFormat="1" applyFill="1" applyBorder="1"/>
    <xf numFmtId="0" fontId="0" fillId="0" borderId="1" xfId="0" applyFont="1" applyBorder="1" applyAlignment="1">
      <alignment horizontal="left"/>
    </xf>
    <xf numFmtId="0" fontId="0" fillId="0" borderId="1" xfId="0" applyBorder="1" applyAlignment="1">
      <alignment horizontal="left" indent="1"/>
    </xf>
    <xf numFmtId="180" fontId="0" fillId="0" borderId="49" xfId="0" applyNumberFormat="1" applyFill="1" applyBorder="1"/>
    <xf numFmtId="8" fontId="0" fillId="0" borderId="49" xfId="0" applyNumberFormat="1" applyBorder="1"/>
    <xf numFmtId="0" fontId="0" fillId="0" borderId="55" xfId="0" applyFill="1" applyBorder="1"/>
    <xf numFmtId="180" fontId="0" fillId="0" borderId="0" xfId="26" applyNumberFormat="1" applyFont="1" applyFill="1" applyBorder="1"/>
    <xf numFmtId="0" fontId="0" fillId="0" borderId="1" xfId="0" applyFont="1" applyFill="1" applyBorder="1"/>
    <xf numFmtId="0" fontId="29" fillId="0" borderId="0" xfId="0" applyFont="1" applyBorder="1"/>
    <xf numFmtId="0" fontId="29" fillId="0" borderId="1" xfId="0" applyFont="1" applyBorder="1"/>
    <xf numFmtId="2" fontId="2" fillId="0" borderId="0" xfId="0" applyNumberFormat="1" applyFont="1" applyFill="1"/>
    <xf numFmtId="0" fontId="2" fillId="0" borderId="1" xfId="0" applyFont="1" applyFill="1" applyBorder="1"/>
    <xf numFmtId="0" fontId="2" fillId="12" borderId="0" xfId="0" applyFont="1" applyFill="1"/>
    <xf numFmtId="0" fontId="2" fillId="20" borderId="0" xfId="0" applyFont="1" applyFill="1"/>
    <xf numFmtId="0" fontId="2" fillId="19" borderId="0" xfId="0" applyFont="1" applyFill="1"/>
    <xf numFmtId="0" fontId="25" fillId="21" borderId="0" xfId="0" applyFont="1" applyFill="1" applyAlignment="1">
      <alignment horizontal="center"/>
    </xf>
    <xf numFmtId="0" fontId="25" fillId="2" borderId="0" xfId="0" applyFont="1" applyFill="1" applyAlignment="1">
      <alignment horizontal="center"/>
    </xf>
    <xf numFmtId="0" fontId="40" fillId="0" borderId="0" xfId="17" applyFont="1" applyBorder="1" applyAlignment="1">
      <alignment horizontal="left" vertical="center"/>
    </xf>
    <xf numFmtId="2" fontId="2" fillId="0" borderId="0" xfId="0" applyNumberFormat="1" applyFont="1" applyFill="1" applyAlignment="1">
      <alignment vertical="center"/>
    </xf>
    <xf numFmtId="164" fontId="0" fillId="0" borderId="0" xfId="1" applyNumberFormat="1" applyFont="1" applyBorder="1" applyAlignment="1">
      <alignment horizontal="center"/>
    </xf>
    <xf numFmtId="3" fontId="0" fillId="0" borderId="0" xfId="1" applyNumberFormat="1" applyFont="1" applyBorder="1" applyAlignment="1"/>
    <xf numFmtId="0" fontId="0" fillId="0" borderId="0" xfId="0" applyBorder="1" applyAlignment="1">
      <alignment horizontal="right"/>
    </xf>
    <xf numFmtId="0" fontId="25" fillId="0" borderId="0" xfId="0" applyFont="1" applyFill="1" applyBorder="1"/>
    <xf numFmtId="10" fontId="0" fillId="0" borderId="0" xfId="0" applyNumberFormat="1" applyBorder="1"/>
    <xf numFmtId="164" fontId="0" fillId="0" borderId="0" xfId="0" applyNumberFormat="1" applyFill="1" applyBorder="1" applyAlignment="1">
      <alignment horizontal="center"/>
    </xf>
    <xf numFmtId="4" fontId="0" fillId="0" borderId="0" xfId="0" applyNumberFormat="1" applyBorder="1" applyAlignment="1">
      <alignment horizontal="center" vertical="center"/>
    </xf>
    <xf numFmtId="0" fontId="0" fillId="0" borderId="0" xfId="0" applyFill="1" applyAlignment="1">
      <alignment horizontal="left" wrapText="1"/>
    </xf>
    <xf numFmtId="3" fontId="0" fillId="0" borderId="13" xfId="0" applyNumberFormat="1" applyBorder="1"/>
    <xf numFmtId="167" fontId="0" fillId="0" borderId="0" xfId="0" applyNumberFormat="1" applyBorder="1"/>
    <xf numFmtId="3" fontId="0" fillId="0" borderId="0" xfId="0" applyNumberFormat="1" applyBorder="1" applyAlignment="1">
      <alignment horizontal="right"/>
    </xf>
    <xf numFmtId="3" fontId="0" fillId="0" borderId="21" xfId="1" applyNumberFormat="1" applyFont="1" applyFill="1" applyBorder="1" applyAlignment="1">
      <alignment horizontal="right"/>
    </xf>
    <xf numFmtId="3" fontId="0" fillId="0" borderId="21" xfId="1" applyNumberFormat="1" applyFont="1" applyFill="1" applyBorder="1" applyAlignment="1">
      <alignment horizontal="center"/>
    </xf>
    <xf numFmtId="0" fontId="25" fillId="0" borderId="0" xfId="0" applyFont="1" applyBorder="1" applyAlignment="1">
      <alignment horizontal="left" indent="1"/>
    </xf>
    <xf numFmtId="0" fontId="0" fillId="0" borderId="21" xfId="0" applyFill="1" applyBorder="1" applyAlignment="1">
      <alignment horizontal="right"/>
    </xf>
    <xf numFmtId="0" fontId="0" fillId="0" borderId="21" xfId="0" applyFill="1" applyBorder="1" applyAlignment="1">
      <alignment horizontal="center"/>
    </xf>
    <xf numFmtId="0" fontId="2" fillId="6" borderId="13" xfId="0" applyFont="1" applyFill="1" applyBorder="1" applyAlignment="1">
      <alignment horizontal="center"/>
    </xf>
    <xf numFmtId="0" fontId="0" fillId="0" borderId="13" xfId="0" applyFill="1" applyBorder="1"/>
    <xf numFmtId="0" fontId="2" fillId="6" borderId="42" xfId="0" applyFont="1" applyFill="1" applyBorder="1" applyAlignment="1">
      <alignment horizontal="center"/>
    </xf>
    <xf numFmtId="0" fontId="2" fillId="6" borderId="0" xfId="0" applyFont="1" applyFill="1" applyBorder="1" applyAlignment="1">
      <alignment horizontal="center"/>
    </xf>
    <xf numFmtId="0" fontId="2" fillId="6" borderId="21" xfId="0" applyFont="1" applyFill="1" applyBorder="1" applyAlignment="1">
      <alignment horizontal="center"/>
    </xf>
    <xf numFmtId="0" fontId="29" fillId="0" borderId="0" xfId="0" applyFont="1" applyFill="1" applyBorder="1"/>
    <xf numFmtId="0" fontId="0" fillId="0" borderId="0" xfId="0" applyFont="1" applyFill="1" applyBorder="1" applyAlignment="1">
      <alignment horizontal="left"/>
    </xf>
    <xf numFmtId="0" fontId="0" fillId="0" borderId="0" xfId="0" quotePrefix="1" applyFont="1" applyFill="1" applyBorder="1" applyAlignment="1">
      <alignment horizontal="left" indent="1"/>
    </xf>
    <xf numFmtId="166" fontId="0" fillId="0" borderId="29" xfId="2" applyNumberFormat="1" applyFont="1" applyBorder="1" applyAlignment="1">
      <alignment horizontal="center"/>
    </xf>
    <xf numFmtId="166" fontId="0" fillId="0" borderId="55" xfId="2" applyNumberFormat="1" applyFont="1" applyBorder="1" applyAlignment="1">
      <alignment horizontal="center"/>
    </xf>
    <xf numFmtId="166" fontId="0" fillId="0" borderId="25" xfId="2" applyNumberFormat="1" applyFont="1" applyBorder="1" applyAlignment="1">
      <alignment horizontal="center"/>
    </xf>
    <xf numFmtId="0" fontId="0" fillId="0" borderId="47" xfId="0" applyBorder="1" applyAlignment="1">
      <alignment horizontal="center" vertical="center"/>
    </xf>
    <xf numFmtId="166" fontId="0" fillId="0" borderId="8" xfId="2" applyNumberFormat="1" applyFont="1" applyBorder="1" applyAlignment="1">
      <alignment horizontal="center"/>
    </xf>
    <xf numFmtId="166" fontId="0" fillId="0" borderId="1" xfId="2" applyNumberFormat="1" applyFont="1" applyBorder="1" applyAlignment="1">
      <alignment horizontal="center"/>
    </xf>
    <xf numFmtId="166" fontId="0" fillId="0" borderId="48" xfId="2" applyNumberFormat="1" applyFont="1" applyBorder="1" applyAlignment="1">
      <alignment horizontal="center"/>
    </xf>
    <xf numFmtId="166" fontId="0" fillId="0" borderId="49" xfId="2" applyNumberFormat="1" applyFont="1" applyBorder="1" applyAlignment="1">
      <alignment horizontal="center"/>
    </xf>
    <xf numFmtId="166" fontId="0" fillId="0" borderId="2" xfId="2" applyNumberFormat="1" applyFont="1" applyBorder="1" applyAlignment="1">
      <alignment horizontal="center"/>
    </xf>
    <xf numFmtId="0" fontId="0" fillId="0" borderId="50" xfId="0" applyBorder="1" applyAlignment="1">
      <alignment horizontal="center"/>
    </xf>
    <xf numFmtId="0" fontId="0" fillId="0" borderId="47" xfId="0" applyBorder="1" applyAlignment="1">
      <alignment horizontal="center"/>
    </xf>
    <xf numFmtId="166" fontId="0" fillId="2" borderId="13" xfId="2" applyNumberFormat="1" applyFont="1" applyFill="1" applyBorder="1" applyAlignment="1">
      <alignment horizontal="center"/>
    </xf>
    <xf numFmtId="166" fontId="0" fillId="0" borderId="13" xfId="2" applyNumberFormat="1" applyFont="1" applyBorder="1" applyAlignment="1">
      <alignment horizontal="center"/>
    </xf>
    <xf numFmtId="3" fontId="0" fillId="0" borderId="13" xfId="0" applyNumberFormat="1" applyBorder="1" applyAlignment="1">
      <alignment horizontal="center"/>
    </xf>
    <xf numFmtId="43" fontId="0" fillId="0" borderId="0" xfId="0" applyNumberFormat="1" applyBorder="1" applyAlignment="1">
      <alignment horizontal="center"/>
    </xf>
    <xf numFmtId="0" fontId="0" fillId="2" borderId="0" xfId="0" applyFill="1" applyBorder="1" applyAlignment="1">
      <alignment horizontal="center"/>
    </xf>
    <xf numFmtId="43" fontId="2" fillId="0" borderId="0" xfId="0" applyNumberFormat="1" applyFont="1" applyBorder="1" applyAlignment="1">
      <alignment horizontal="center"/>
    </xf>
    <xf numFmtId="166" fontId="0" fillId="2" borderId="0" xfId="2" applyNumberFormat="1" applyFont="1" applyFill="1" applyBorder="1" applyAlignment="1">
      <alignment horizontal="center"/>
    </xf>
    <xf numFmtId="0" fontId="2" fillId="0" borderId="13" xfId="0" applyFont="1" applyBorder="1" applyAlignment="1">
      <alignment horizontal="center"/>
    </xf>
    <xf numFmtId="43" fontId="2" fillId="0" borderId="13" xfId="0" applyNumberFormat="1" applyFont="1" applyBorder="1" applyAlignment="1">
      <alignment horizontal="center"/>
    </xf>
    <xf numFmtId="43" fontId="2" fillId="6" borderId="0" xfId="0" applyNumberFormat="1" applyFont="1" applyFill="1" applyBorder="1" applyAlignment="1">
      <alignment horizontal="left"/>
    </xf>
    <xf numFmtId="0" fontId="0" fillId="6" borderId="0" xfId="0" applyFill="1" applyBorder="1"/>
    <xf numFmtId="0" fontId="25" fillId="0" borderId="0" xfId="0" applyFont="1" applyFill="1" applyBorder="1" applyAlignment="1">
      <alignment horizontal="left"/>
    </xf>
    <xf numFmtId="0" fontId="0" fillId="0" borderId="0" xfId="0" applyBorder="1" applyAlignment="1"/>
    <xf numFmtId="9" fontId="0" fillId="0" borderId="0" xfId="21" applyFont="1" applyBorder="1"/>
    <xf numFmtId="1" fontId="0" fillId="0" borderId="0" xfId="0" applyNumberFormat="1" applyFill="1" applyBorder="1" applyAlignment="1">
      <alignment horizontal="right"/>
    </xf>
    <xf numFmtId="9" fontId="0" fillId="5" borderId="0" xfId="0" applyNumberFormat="1" applyFill="1" applyBorder="1"/>
    <xf numFmtId="1" fontId="0" fillId="5" borderId="0" xfId="0" applyNumberFormat="1" applyFill="1" applyBorder="1" applyAlignment="1">
      <alignment horizontal="center"/>
    </xf>
    <xf numFmtId="4" fontId="0" fillId="0" borderId="0" xfId="1" applyNumberFormat="1" applyFont="1" applyBorder="1" applyAlignment="1">
      <alignment horizontal="center"/>
    </xf>
    <xf numFmtId="2" fontId="0" fillId="0" borderId="0" xfId="0" applyNumberFormat="1" applyBorder="1"/>
    <xf numFmtId="4" fontId="0" fillId="5" borderId="0" xfId="1" applyNumberFormat="1" applyFont="1" applyFill="1" applyBorder="1" applyAlignment="1">
      <alignment horizontal="center"/>
    </xf>
    <xf numFmtId="165" fontId="0" fillId="0" borderId="0" xfId="0" applyNumberFormat="1" applyFill="1" applyBorder="1"/>
    <xf numFmtId="0" fontId="0" fillId="0" borderId="1" xfId="0" applyFill="1" applyBorder="1" applyAlignment="1">
      <alignment horizontal="right"/>
    </xf>
    <xf numFmtId="165" fontId="0" fillId="0" borderId="0" xfId="0" applyNumberFormat="1" applyBorder="1"/>
    <xf numFmtId="165" fontId="0" fillId="0" borderId="0" xfId="1" applyNumberFormat="1" applyFont="1" applyBorder="1"/>
    <xf numFmtId="0" fontId="51" fillId="0" borderId="1" xfId="0" applyFont="1" applyBorder="1"/>
    <xf numFmtId="0" fontId="51" fillId="0" borderId="1" xfId="0" applyFont="1" applyFill="1" applyBorder="1"/>
    <xf numFmtId="0" fontId="0" fillId="0" borderId="1" xfId="0" applyBorder="1" applyAlignment="1">
      <alignment horizontal="right"/>
    </xf>
    <xf numFmtId="0" fontId="0" fillId="0" borderId="48" xfId="0" applyBorder="1"/>
    <xf numFmtId="0" fontId="28" fillId="0" borderId="0" xfId="0" applyFont="1" applyFill="1"/>
    <xf numFmtId="9" fontId="0" fillId="0" borderId="55" xfId="0" applyNumberFormat="1" applyBorder="1"/>
    <xf numFmtId="9" fontId="0" fillId="0" borderId="55" xfId="0" applyNumberFormat="1" applyFill="1" applyBorder="1"/>
    <xf numFmtId="0" fontId="0" fillId="0" borderId="55" xfId="0" applyFill="1" applyBorder="1" applyAlignment="1">
      <alignment horizontal="center"/>
    </xf>
    <xf numFmtId="171" fontId="0" fillId="0" borderId="0" xfId="1" applyNumberFormat="1" applyFont="1" applyBorder="1"/>
    <xf numFmtId="179" fontId="0" fillId="0" borderId="0" xfId="1" applyNumberFormat="1" applyFont="1" applyBorder="1"/>
    <xf numFmtId="179" fontId="0" fillId="0" borderId="0" xfId="1" applyNumberFormat="1" applyFont="1" applyFill="1" applyBorder="1"/>
    <xf numFmtId="37" fontId="23" fillId="0" borderId="8" xfId="0" applyNumberFormat="1" applyFont="1" applyBorder="1" applyProtection="1">
      <protection locked="0"/>
    </xf>
    <xf numFmtId="8" fontId="0" fillId="0" borderId="0" xfId="0" applyNumberFormat="1" applyFont="1" applyBorder="1"/>
    <xf numFmtId="0" fontId="51" fillId="0" borderId="1" xfId="0" applyFont="1" applyBorder="1" applyProtection="1">
      <protection locked="0"/>
    </xf>
    <xf numFmtId="0" fontId="0" fillId="0" borderId="8" xfId="0" applyFill="1" applyBorder="1" applyAlignment="1">
      <alignment horizontal="right"/>
    </xf>
    <xf numFmtId="0" fontId="25" fillId="0" borderId="1" xfId="0" applyFont="1" applyFill="1" applyBorder="1" applyAlignment="1">
      <alignment horizontal="left"/>
    </xf>
    <xf numFmtId="0" fontId="2" fillId="2" borderId="49" xfId="0" applyFont="1" applyFill="1" applyBorder="1"/>
    <xf numFmtId="0" fontId="42" fillId="0" borderId="0" xfId="0" applyFont="1"/>
    <xf numFmtId="9" fontId="0" fillId="0" borderId="0" xfId="2" applyNumberFormat="1" applyFont="1" applyBorder="1"/>
    <xf numFmtId="2" fontId="0" fillId="0" borderId="0" xfId="0" applyNumberFormat="1" applyFill="1" applyAlignment="1">
      <alignment horizontal="center"/>
    </xf>
    <xf numFmtId="9" fontId="2" fillId="0" borderId="0" xfId="2" applyFont="1" applyBorder="1"/>
    <xf numFmtId="164" fontId="0" fillId="0" borderId="0" xfId="2" applyNumberFormat="1" applyFont="1" applyBorder="1"/>
    <xf numFmtId="9" fontId="0" fillId="5" borderId="0" xfId="2" applyFont="1" applyFill="1" applyBorder="1"/>
    <xf numFmtId="3" fontId="0" fillId="0" borderId="0" xfId="0" applyNumberFormat="1" applyAlignment="1">
      <alignment horizontal="center"/>
    </xf>
    <xf numFmtId="3" fontId="0" fillId="0" borderId="0" xfId="0" applyNumberFormat="1" applyFill="1" applyAlignment="1">
      <alignment horizontal="center"/>
    </xf>
    <xf numFmtId="9" fontId="2" fillId="0" borderId="0" xfId="2" applyFont="1" applyFill="1" applyBorder="1"/>
    <xf numFmtId="164" fontId="0" fillId="0" borderId="29" xfId="2" applyNumberFormat="1" applyFont="1" applyBorder="1"/>
    <xf numFmtId="164" fontId="0" fillId="0" borderId="55" xfId="2" applyNumberFormat="1" applyFont="1" applyBorder="1"/>
    <xf numFmtId="0" fontId="0" fillId="0" borderId="55" xfId="0" applyFont="1" applyBorder="1" applyAlignment="1">
      <alignment horizontal="center"/>
    </xf>
    <xf numFmtId="0" fontId="0" fillId="0" borderId="25" xfId="0" applyFont="1" applyBorder="1" applyAlignment="1">
      <alignment horizontal="left"/>
    </xf>
    <xf numFmtId="3" fontId="0" fillId="0" borderId="0" xfId="0" applyNumberFormat="1" applyFont="1"/>
    <xf numFmtId="164" fontId="1" fillId="0" borderId="0" xfId="1" applyNumberFormat="1" applyFont="1" applyFill="1" applyBorder="1" applyAlignment="1">
      <alignment horizontal="left" indent="2"/>
    </xf>
    <xf numFmtId="164" fontId="1" fillId="0" borderId="8" xfId="1" applyNumberFormat="1" applyFont="1" applyBorder="1" applyAlignment="1">
      <alignment horizontal="left" indent="1"/>
    </xf>
    <xf numFmtId="164" fontId="1" fillId="0" borderId="0" xfId="1" applyNumberFormat="1" applyFont="1" applyBorder="1" applyAlignment="1">
      <alignment horizontal="left" indent="1"/>
    </xf>
    <xf numFmtId="3" fontId="0" fillId="0" borderId="0" xfId="0" applyNumberFormat="1" applyFill="1" applyBorder="1"/>
    <xf numFmtId="164" fontId="0" fillId="0" borderId="8" xfId="1" applyNumberFormat="1" applyFont="1" applyBorder="1" applyAlignment="1">
      <alignment horizontal="left" indent="1"/>
    </xf>
    <xf numFmtId="164" fontId="0" fillId="0" borderId="0" xfId="1" applyNumberFormat="1" applyFont="1" applyBorder="1" applyAlignment="1">
      <alignment horizontal="left" indent="1"/>
    </xf>
    <xf numFmtId="164" fontId="0" fillId="0" borderId="8" xfId="2" applyNumberFormat="1" applyFont="1" applyBorder="1"/>
    <xf numFmtId="0" fontId="0" fillId="0" borderId="1" xfId="0" applyFont="1" applyBorder="1" applyAlignment="1">
      <alignment horizontal="left" indent="1"/>
    </xf>
    <xf numFmtId="9" fontId="0" fillId="0" borderId="8" xfId="2" applyNumberFormat="1" applyFont="1" applyBorder="1"/>
    <xf numFmtId="9" fontId="1" fillId="0" borderId="0" xfId="2" applyFont="1" applyBorder="1"/>
    <xf numFmtId="9" fontId="2" fillId="5" borderId="0" xfId="2" applyFont="1" applyFill="1" applyBorder="1"/>
    <xf numFmtId="9" fontId="0" fillId="0" borderId="0" xfId="2" applyFont="1" applyBorder="1" applyAlignment="1">
      <alignment horizontal="right"/>
    </xf>
    <xf numFmtId="3" fontId="0" fillId="0" borderId="8" xfId="0" applyNumberFormat="1" applyBorder="1"/>
    <xf numFmtId="0" fontId="0" fillId="0" borderId="0" xfId="0" applyFont="1" applyBorder="1" applyAlignment="1">
      <alignment horizontal="left" indent="1"/>
    </xf>
    <xf numFmtId="0" fontId="0" fillId="0" borderId="1" xfId="0" applyFont="1" applyBorder="1" applyAlignment="1">
      <alignment horizontal="left" indent="3"/>
    </xf>
    <xf numFmtId="164" fontId="0" fillId="0" borderId="0" xfId="1" applyNumberFormat="1" applyFont="1" applyFill="1" applyBorder="1"/>
    <xf numFmtId="9" fontId="0" fillId="0" borderId="8" xfId="2" applyFont="1" applyBorder="1"/>
    <xf numFmtId="0" fontId="52" fillId="0" borderId="1" xfId="0" applyFont="1" applyBorder="1"/>
    <xf numFmtId="177" fontId="0" fillId="0" borderId="0" xfId="0" applyNumberFormat="1"/>
    <xf numFmtId="0" fontId="0" fillId="0" borderId="0" xfId="0" applyFont="1" applyBorder="1" applyAlignment="1">
      <alignment vertical="center"/>
    </xf>
    <xf numFmtId="0" fontId="0" fillId="0" borderId="0" xfId="0" applyFont="1" applyBorder="1" applyAlignment="1">
      <alignment horizontal="left" vertical="center" indent="1"/>
    </xf>
    <xf numFmtId="0" fontId="0" fillId="0" borderId="0" xfId="0" applyFill="1" applyBorder="1" applyAlignment="1" applyProtection="1">
      <alignment horizontal="center"/>
      <protection locked="0"/>
    </xf>
    <xf numFmtId="2" fontId="29" fillId="0" borderId="0" xfId="0" applyNumberFormat="1" applyFont="1"/>
    <xf numFmtId="2" fontId="2" fillId="0" borderId="0" xfId="0" applyNumberFormat="1" applyFont="1" applyFill="1" applyAlignment="1">
      <alignment horizontal="center"/>
    </xf>
    <xf numFmtId="0" fontId="1" fillId="0" borderId="0" xfId="0" applyFont="1"/>
    <xf numFmtId="0" fontId="25" fillId="0" borderId="0" xfId="0" applyFont="1" applyFill="1"/>
    <xf numFmtId="3" fontId="0" fillId="0" borderId="0" xfId="0" applyNumberFormat="1" applyFill="1"/>
    <xf numFmtId="2" fontId="0" fillId="0" borderId="0" xfId="0" applyNumberFormat="1" applyFill="1"/>
    <xf numFmtId="4" fontId="0" fillId="0" borderId="0" xfId="0" applyNumberFormat="1" applyFill="1"/>
    <xf numFmtId="3" fontId="25" fillId="0" borderId="0" xfId="0" applyNumberFormat="1" applyFont="1" applyFill="1" applyBorder="1"/>
    <xf numFmtId="3" fontId="25" fillId="0" borderId="0" xfId="0" applyNumberFormat="1" applyFont="1" applyFill="1"/>
    <xf numFmtId="3" fontId="0" fillId="0" borderId="13" xfId="0" applyNumberFormat="1" applyFill="1" applyBorder="1"/>
    <xf numFmtId="4" fontId="0" fillId="0" borderId="0" xfId="0" applyNumberFormat="1" applyFill="1" applyBorder="1"/>
    <xf numFmtId="4" fontId="0" fillId="0" borderId="0" xfId="0" applyNumberFormat="1"/>
    <xf numFmtId="3" fontId="0" fillId="0" borderId="56" xfId="0" applyNumberForma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2" fontId="25" fillId="0" borderId="0" xfId="0" applyNumberFormat="1" applyFont="1"/>
    <xf numFmtId="0" fontId="34" fillId="5" borderId="0" xfId="0" applyFont="1" applyFill="1"/>
    <xf numFmtId="0" fontId="34" fillId="0" borderId="0" xfId="0" applyFont="1" applyFill="1" applyAlignment="1"/>
    <xf numFmtId="2" fontId="0" fillId="0" borderId="0" xfId="0" applyNumberFormat="1" applyAlignment="1">
      <alignment horizontal="center" vertical="center"/>
    </xf>
    <xf numFmtId="0" fontId="0" fillId="0" borderId="0" xfId="0" applyFill="1" applyAlignment="1">
      <alignment wrapText="1"/>
    </xf>
    <xf numFmtId="0" fontId="34" fillId="0" borderId="0" xfId="0" applyFont="1" applyFill="1"/>
    <xf numFmtId="0" fontId="34" fillId="0" borderId="0" xfId="0" applyFont="1" applyAlignment="1">
      <alignment vertical="center"/>
    </xf>
    <xf numFmtId="166" fontId="0" fillId="0" borderId="0" xfId="0" applyNumberFormat="1" applyFill="1" applyAlignment="1">
      <alignment horizontal="center" vertical="center"/>
    </xf>
    <xf numFmtId="0" fontId="0" fillId="0" borderId="0" xfId="0" applyFill="1" applyAlignment="1">
      <alignment vertical="center" wrapText="1"/>
    </xf>
    <xf numFmtId="3" fontId="0" fillId="0" borderId="0" xfId="0" applyNumberFormat="1" applyFill="1" applyAlignment="1">
      <alignment horizontal="center" vertical="center"/>
    </xf>
    <xf numFmtId="0" fontId="0" fillId="14" borderId="0" xfId="0" applyFill="1" applyAlignment="1">
      <alignment vertical="center" wrapText="1"/>
    </xf>
    <xf numFmtId="9" fontId="0" fillId="14" borderId="0" xfId="0" applyNumberFormat="1" applyFill="1" applyAlignment="1">
      <alignment horizontal="center" vertical="center"/>
    </xf>
    <xf numFmtId="0" fontId="0" fillId="14" borderId="0" xfId="0" applyFill="1" applyAlignment="1">
      <alignment horizontal="center" vertical="center"/>
    </xf>
    <xf numFmtId="165" fontId="0" fillId="0" borderId="0" xfId="0" applyNumberFormat="1" applyFill="1" applyAlignment="1">
      <alignment horizontal="center" vertical="center"/>
    </xf>
    <xf numFmtId="1" fontId="0" fillId="0" borderId="0" xfId="0" applyNumberFormat="1" applyAlignment="1">
      <alignment horizontal="center" vertical="center"/>
    </xf>
    <xf numFmtId="1" fontId="0" fillId="0" borderId="0" xfId="2" applyNumberFormat="1" applyFont="1" applyFill="1" applyAlignment="1">
      <alignment horizontal="center" vertical="center"/>
    </xf>
    <xf numFmtId="2" fontId="0" fillId="0" borderId="0" xfId="2" applyNumberFormat="1" applyFont="1" applyFill="1" applyAlignment="1">
      <alignment horizontal="center" vertical="center"/>
    </xf>
    <xf numFmtId="0" fontId="0" fillId="0" borderId="0" xfId="0" applyFill="1" applyAlignment="1">
      <alignment vertical="center"/>
    </xf>
    <xf numFmtId="9" fontId="0" fillId="0" borderId="0" xfId="2" applyFont="1" applyFill="1" applyAlignment="1">
      <alignment horizontal="center" vertical="center"/>
    </xf>
    <xf numFmtId="0" fontId="0" fillId="14" borderId="0" xfId="0" applyFill="1" applyAlignment="1">
      <alignment wrapText="1"/>
    </xf>
    <xf numFmtId="9" fontId="0" fillId="14" borderId="0" xfId="2" applyFont="1" applyFill="1" applyAlignment="1">
      <alignment horizontal="center" vertical="center"/>
    </xf>
    <xf numFmtId="0" fontId="0" fillId="14" borderId="0" xfId="0" applyFill="1"/>
    <xf numFmtId="0" fontId="0" fillId="14" borderId="0" xfId="0" applyFill="1" applyAlignment="1">
      <alignment vertical="center"/>
    </xf>
    <xf numFmtId="183" fontId="0" fillId="0" borderId="0" xfId="0" applyNumberFormat="1"/>
    <xf numFmtId="4" fontId="0" fillId="0" borderId="0" xfId="0" applyNumberFormat="1" applyAlignment="1">
      <alignment horizontal="center"/>
    </xf>
    <xf numFmtId="3" fontId="0" fillId="0" borderId="0" xfId="0" applyNumberFormat="1" applyAlignment="1">
      <alignment vertical="center"/>
    </xf>
    <xf numFmtId="3" fontId="25" fillId="0" borderId="0" xfId="0" applyNumberFormat="1" applyFont="1" applyAlignment="1">
      <alignment vertical="center"/>
    </xf>
    <xf numFmtId="3" fontId="25" fillId="0" borderId="0" xfId="0" applyNumberFormat="1" applyFont="1" applyAlignment="1">
      <alignment horizontal="center"/>
    </xf>
    <xf numFmtId="4" fontId="25" fillId="0" borderId="0" xfId="0" applyNumberFormat="1" applyFont="1" applyAlignment="1">
      <alignment horizontal="center"/>
    </xf>
    <xf numFmtId="0" fontId="25" fillId="0" borderId="0" xfId="0" applyFont="1" applyAlignment="1">
      <alignment wrapText="1"/>
    </xf>
    <xf numFmtId="183" fontId="0" fillId="0" borderId="0" xfId="0" applyNumberFormat="1" applyAlignment="1">
      <alignment vertical="center"/>
    </xf>
    <xf numFmtId="4" fontId="0" fillId="0" borderId="0" xfId="0" applyNumberFormat="1" applyAlignment="1">
      <alignment horizontal="center" vertical="center"/>
    </xf>
    <xf numFmtId="3" fontId="25" fillId="0" borderId="0" xfId="0" applyNumberFormat="1" applyFont="1" applyBorder="1"/>
    <xf numFmtId="0" fontId="2" fillId="0" borderId="0" xfId="0" applyFont="1"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9" fontId="0" fillId="0" borderId="0" xfId="2" applyNumberFormat="1" applyFont="1" applyAlignment="1">
      <alignment horizontal="right" vertical="center"/>
    </xf>
    <xf numFmtId="0" fontId="0" fillId="0" borderId="0" xfId="0" applyAlignment="1">
      <alignment horizontal="left" vertical="center"/>
    </xf>
    <xf numFmtId="9" fontId="0" fillId="0" borderId="0" xfId="0" applyNumberFormat="1" applyFill="1" applyAlignment="1">
      <alignment horizontal="center" vertical="center"/>
    </xf>
    <xf numFmtId="2" fontId="0" fillId="0" borderId="0" xfId="2" applyNumberFormat="1" applyFont="1" applyAlignment="1">
      <alignment vertical="center"/>
    </xf>
    <xf numFmtId="9" fontId="0" fillId="5" borderId="0" xfId="0" applyNumberFormat="1" applyFill="1" applyAlignment="1">
      <alignment horizontal="center" vertical="center"/>
    </xf>
    <xf numFmtId="2" fontId="0" fillId="5" borderId="0" xfId="0" applyNumberFormat="1" applyFill="1" applyAlignment="1">
      <alignment horizontal="center" vertical="center"/>
    </xf>
    <xf numFmtId="9" fontId="0" fillId="0" borderId="0" xfId="2" applyNumberFormat="1" applyFont="1" applyFill="1" applyAlignment="1">
      <alignment horizontal="center" vertical="center"/>
    </xf>
    <xf numFmtId="0" fontId="2" fillId="0" borderId="0" xfId="0" applyFont="1" applyFill="1" applyAlignment="1">
      <alignment horizontal="center"/>
    </xf>
    <xf numFmtId="3" fontId="0" fillId="0" borderId="56" xfId="0" applyNumberFormat="1" applyFill="1" applyBorder="1"/>
    <xf numFmtId="0" fontId="35" fillId="0" borderId="0" xfId="0" applyFont="1"/>
    <xf numFmtId="0" fontId="2" fillId="0" borderId="0" xfId="0" applyFont="1" applyAlignment="1">
      <alignment horizontal="center" vertical="center" wrapText="1"/>
    </xf>
    <xf numFmtId="172" fontId="0" fillId="0" borderId="0" xfId="0" applyNumberFormat="1"/>
    <xf numFmtId="172" fontId="0" fillId="0" borderId="21" xfId="0" applyNumberFormat="1" applyBorder="1"/>
    <xf numFmtId="172" fontId="0" fillId="0" borderId="13" xfId="0" applyNumberFormat="1" applyBorder="1"/>
    <xf numFmtId="172" fontId="0" fillId="0" borderId="42" xfId="0" applyNumberFormat="1" applyBorder="1"/>
    <xf numFmtId="172" fontId="0" fillId="0" borderId="0" xfId="0" applyNumberFormat="1" applyBorder="1"/>
    <xf numFmtId="172" fontId="0" fillId="0" borderId="50" xfId="0" applyNumberFormat="1" applyBorder="1"/>
    <xf numFmtId="172" fontId="0" fillId="0" borderId="41" xfId="0" applyNumberFormat="1" applyBorder="1"/>
    <xf numFmtId="0" fontId="2" fillId="0" borderId="42" xfId="0" applyFont="1" applyBorder="1" applyAlignment="1">
      <alignment horizontal="center"/>
    </xf>
    <xf numFmtId="0" fontId="25" fillId="0" borderId="13" xfId="0" applyFont="1" applyBorder="1" applyAlignment="1">
      <alignment horizontal="right"/>
    </xf>
    <xf numFmtId="0" fontId="0" fillId="0" borderId="22" xfId="0" applyBorder="1"/>
    <xf numFmtId="9" fontId="0" fillId="0" borderId="22" xfId="2" applyFont="1" applyBorder="1" applyAlignment="1">
      <alignment horizontal="center" vertical="center"/>
    </xf>
    <xf numFmtId="9" fontId="0" fillId="2" borderId="22" xfId="2" applyFont="1" applyFill="1" applyBorder="1" applyAlignment="1">
      <alignment horizontal="center" vertical="center"/>
    </xf>
    <xf numFmtId="9" fontId="0" fillId="0" borderId="22" xfId="2" applyFont="1" applyFill="1" applyBorder="1" applyAlignment="1">
      <alignment horizontal="center" vertical="center"/>
    </xf>
    <xf numFmtId="0" fontId="0" fillId="5" borderId="22" xfId="0" applyFont="1" applyFill="1" applyBorder="1" applyAlignment="1">
      <alignment horizontal="left" vertical="center" indent="1"/>
    </xf>
    <xf numFmtId="0" fontId="0" fillId="5" borderId="22" xfId="0" applyFill="1" applyBorder="1" applyAlignment="1" applyProtection="1">
      <alignment horizontal="center"/>
      <protection locked="0"/>
    </xf>
    <xf numFmtId="0" fontId="0" fillId="0" borderId="22" xfId="0" applyBorder="1" applyAlignment="1">
      <alignment horizontal="left" vertical="center" indent="1"/>
    </xf>
    <xf numFmtId="0" fontId="0" fillId="0" borderId="22" xfId="0" applyBorder="1" applyAlignment="1" applyProtection="1">
      <alignment horizontal="center"/>
      <protection locked="0"/>
    </xf>
    <xf numFmtId="0" fontId="0" fillId="12" borderId="22" xfId="0" applyFill="1" applyBorder="1" applyAlignment="1">
      <alignment horizontal="left" vertical="center" indent="1"/>
    </xf>
    <xf numFmtId="0" fontId="0" fillId="12" borderId="22" xfId="0" applyFill="1" applyBorder="1" applyAlignment="1" applyProtection="1">
      <alignment horizontal="center"/>
      <protection locked="0"/>
    </xf>
    <xf numFmtId="0" fontId="0" fillId="0" borderId="22" xfId="0" applyFill="1" applyBorder="1" applyAlignment="1">
      <alignment horizontal="left" vertical="center" indent="1"/>
    </xf>
    <xf numFmtId="0" fontId="0" fillId="0" borderId="22" xfId="0" applyFill="1" applyBorder="1" applyAlignment="1" applyProtection="1">
      <alignment horizontal="center"/>
      <protection locked="0"/>
    </xf>
    <xf numFmtId="0" fontId="0" fillId="5" borderId="22" xfId="0" applyFill="1" applyBorder="1" applyAlignment="1">
      <alignment horizontal="left" vertical="center" indent="1"/>
    </xf>
    <xf numFmtId="0" fontId="25" fillId="0" borderId="22" xfId="0" applyFont="1" applyBorder="1"/>
    <xf numFmtId="0" fontId="2" fillId="0" borderId="22" xfId="0" applyFont="1" applyBorder="1"/>
    <xf numFmtId="0" fontId="0" fillId="5" borderId="0" xfId="0" applyFont="1" applyFill="1" applyBorder="1" applyAlignment="1">
      <alignment horizontal="left" vertical="center" indent="1"/>
    </xf>
    <xf numFmtId="0" fontId="0" fillId="5" borderId="0" xfId="0" applyFill="1" applyBorder="1" applyAlignment="1" applyProtection="1">
      <alignment horizontal="center"/>
      <protection locked="0"/>
    </xf>
    <xf numFmtId="0" fontId="0" fillId="5" borderId="0" xfId="0" applyFill="1" applyBorder="1" applyAlignment="1">
      <alignment horizontal="left" vertical="center" indent="1"/>
    </xf>
    <xf numFmtId="0" fontId="54" fillId="0" borderId="0" xfId="34" applyAlignment="1" applyProtection="1"/>
    <xf numFmtId="0" fontId="45" fillId="0" borderId="44" xfId="18" applyFont="1" applyFill="1" applyBorder="1" applyAlignment="1">
      <alignment horizontal="center"/>
    </xf>
    <xf numFmtId="164" fontId="0" fillId="12" borderId="0" xfId="1" applyNumberFormat="1" applyFont="1" applyFill="1"/>
    <xf numFmtId="164" fontId="0" fillId="5" borderId="0" xfId="1" applyNumberFormat="1" applyFont="1" applyFill="1"/>
    <xf numFmtId="38" fontId="0" fillId="0" borderId="0" xfId="0" applyNumberFormat="1"/>
    <xf numFmtId="0" fontId="45" fillId="0" borderId="43" xfId="18" applyFont="1" applyFill="1" applyBorder="1" applyAlignment="1">
      <alignment horizontal="center"/>
    </xf>
    <xf numFmtId="10" fontId="0" fillId="0" borderId="13" xfId="0" applyNumberFormat="1" applyBorder="1"/>
    <xf numFmtId="181" fontId="0" fillId="0" borderId="13" xfId="0" applyNumberFormat="1" applyBorder="1"/>
    <xf numFmtId="3" fontId="0" fillId="2" borderId="0" xfId="0" applyNumberFormat="1" applyFill="1" applyAlignment="1">
      <alignment horizontal="center"/>
    </xf>
    <xf numFmtId="0" fontId="0" fillId="12" borderId="0" xfId="0" applyFill="1"/>
    <xf numFmtId="0" fontId="0" fillId="12" borderId="0" xfId="0" applyFill="1" applyBorder="1" applyAlignment="1">
      <alignment horizontal="left" vertical="center" indent="1"/>
    </xf>
    <xf numFmtId="0" fontId="0" fillId="12" borderId="0" xfId="0" applyFill="1" applyBorder="1" applyAlignment="1" applyProtection="1">
      <alignment horizontal="center"/>
      <protection locked="0"/>
    </xf>
    <xf numFmtId="8" fontId="7" fillId="0" borderId="0" xfId="0" applyNumberFormat="1" applyFont="1" applyAlignment="1">
      <alignment horizontal="center"/>
    </xf>
    <xf numFmtId="0" fontId="37" fillId="0" borderId="0" xfId="0" applyFont="1"/>
    <xf numFmtId="164" fontId="0" fillId="0" borderId="22" xfId="0" applyNumberFormat="1" applyBorder="1"/>
    <xf numFmtId="0" fontId="0" fillId="0" borderId="0" xfId="0" quotePrefix="1"/>
    <xf numFmtId="164" fontId="0" fillId="23" borderId="0" xfId="1" applyNumberFormat="1" applyFont="1" applyFill="1" applyBorder="1"/>
    <xf numFmtId="164" fontId="0" fillId="0" borderId="22" xfId="1" applyNumberFormat="1" applyFont="1" applyBorder="1"/>
    <xf numFmtId="164" fontId="0" fillId="23" borderId="22" xfId="1" applyNumberFormat="1" applyFont="1" applyFill="1" applyBorder="1"/>
    <xf numFmtId="1" fontId="0" fillId="5" borderId="0" xfId="0" applyNumberFormat="1" applyFill="1"/>
    <xf numFmtId="0" fontId="0" fillId="5" borderId="0" xfId="0" applyFill="1" applyAlignment="1">
      <alignment horizontal="right"/>
    </xf>
    <xf numFmtId="178" fontId="0" fillId="0" borderId="0" xfId="0" applyNumberFormat="1"/>
    <xf numFmtId="44" fontId="0" fillId="0" borderId="0" xfId="26" applyNumberFormat="1" applyFont="1" applyBorder="1"/>
    <xf numFmtId="43" fontId="0" fillId="0" borderId="0" xfId="1" applyNumberFormat="1" applyFont="1"/>
    <xf numFmtId="173" fontId="0" fillId="0" borderId="0" xfId="26" applyNumberFormat="1" applyFont="1" applyBorder="1"/>
    <xf numFmtId="0" fontId="7" fillId="0" borderId="0" xfId="0" applyFont="1" applyAlignment="1">
      <alignment horizontal="right"/>
    </xf>
    <xf numFmtId="0" fontId="2" fillId="0" borderId="0" xfId="0" applyFont="1" applyAlignment="1"/>
    <xf numFmtId="10" fontId="3" fillId="0" borderId="0" xfId="17" applyNumberFormat="1" applyFont="1" applyAlignment="1">
      <alignment horizontal="right"/>
    </xf>
    <xf numFmtId="181" fontId="3" fillId="0" borderId="0" xfId="17" applyNumberFormat="1" applyFont="1" applyAlignment="1">
      <alignment horizontal="right"/>
    </xf>
    <xf numFmtId="0" fontId="3" fillId="0" borderId="0" xfId="17" applyFont="1" applyAlignment="1">
      <alignment horizontal="right" wrapText="1"/>
    </xf>
    <xf numFmtId="10" fontId="3" fillId="0" borderId="0" xfId="21" applyNumberFormat="1" applyFont="1" applyAlignment="1">
      <alignment horizontal="right"/>
    </xf>
    <xf numFmtId="9" fontId="3" fillId="0" borderId="0" xfId="21" applyFont="1" applyAlignment="1">
      <alignment horizontal="right"/>
    </xf>
    <xf numFmtId="1" fontId="3" fillId="0" borderId="0" xfId="21" applyNumberFormat="1" applyFont="1" applyAlignment="1">
      <alignment horizontal="right"/>
    </xf>
    <xf numFmtId="2" fontId="3" fillId="0" borderId="0" xfId="17" applyNumberFormat="1" applyFont="1" applyAlignment="1">
      <alignment horizontal="left"/>
    </xf>
    <xf numFmtId="0" fontId="3" fillId="0" borderId="0" xfId="17" applyFont="1" applyAlignment="1">
      <alignment horizontal="left" wrapText="1"/>
    </xf>
    <xf numFmtId="9" fontId="3" fillId="0" borderId="0" xfId="21" applyFont="1" applyAlignment="1">
      <alignment horizontal="left"/>
    </xf>
    <xf numFmtId="1" fontId="3" fillId="0" borderId="0" xfId="21" applyNumberFormat="1" applyFont="1" applyAlignment="1">
      <alignment horizontal="left"/>
    </xf>
    <xf numFmtId="184" fontId="3" fillId="0" borderId="0" xfId="17" applyNumberFormat="1" applyFont="1" applyAlignment="1">
      <alignment horizontal="left"/>
    </xf>
    <xf numFmtId="0" fontId="3" fillId="0" borderId="0" xfId="17" applyFont="1" applyAlignment="1">
      <alignment horizontal="left" indent="2"/>
    </xf>
    <xf numFmtId="9" fontId="3" fillId="0" borderId="0" xfId="2" applyFont="1" applyAlignment="1">
      <alignment horizontal="center"/>
    </xf>
    <xf numFmtId="0" fontId="3" fillId="0" borderId="13" xfId="17" applyFont="1" applyBorder="1" applyAlignment="1">
      <alignment horizontal="center"/>
    </xf>
    <xf numFmtId="10" fontId="3" fillId="0" borderId="13" xfId="17" applyNumberFormat="1" applyFont="1" applyBorder="1" applyAlignment="1">
      <alignment horizontal="left"/>
    </xf>
    <xf numFmtId="0" fontId="3" fillId="0" borderId="13" xfId="17" applyFont="1" applyBorder="1" applyAlignment="1">
      <alignment horizontal="left"/>
    </xf>
    <xf numFmtId="3" fontId="3" fillId="0" borderId="0" xfId="17" applyNumberFormat="1" applyFont="1" applyAlignment="1">
      <alignment horizontal="left"/>
    </xf>
    <xf numFmtId="10" fontId="55" fillId="0" borderId="0" xfId="17" applyNumberFormat="1" applyFont="1" applyAlignment="1">
      <alignment horizontal="right"/>
    </xf>
    <xf numFmtId="2" fontId="55" fillId="0" borderId="0" xfId="17" applyNumberFormat="1" applyFont="1" applyAlignment="1">
      <alignment horizontal="right"/>
    </xf>
    <xf numFmtId="2" fontId="3" fillId="0" borderId="0" xfId="17" applyNumberFormat="1" applyFont="1" applyAlignment="1">
      <alignment horizontal="right" wrapText="1"/>
    </xf>
    <xf numFmtId="181" fontId="55" fillId="0" borderId="0" xfId="17" applyNumberFormat="1" applyFont="1" applyAlignment="1">
      <alignment horizontal="right"/>
    </xf>
    <xf numFmtId="0" fontId="55" fillId="0" borderId="0" xfId="17" applyFont="1" applyAlignment="1">
      <alignment horizontal="right" wrapText="1"/>
    </xf>
    <xf numFmtId="0" fontId="55" fillId="0" borderId="0" xfId="17" applyFont="1" applyAlignment="1">
      <alignment horizontal="right"/>
    </xf>
    <xf numFmtId="166" fontId="56" fillId="0" borderId="0" xfId="17" applyNumberFormat="1" applyFont="1" applyAlignment="1">
      <alignment horizontal="right" wrapText="1"/>
    </xf>
    <xf numFmtId="181" fontId="3" fillId="0" borderId="0" xfId="17" applyNumberFormat="1" applyFont="1" applyAlignment="1">
      <alignment horizontal="right" wrapText="1"/>
    </xf>
    <xf numFmtId="10" fontId="55" fillId="0" borderId="0" xfId="21" applyNumberFormat="1" applyFont="1" applyAlignment="1">
      <alignment horizontal="right"/>
    </xf>
    <xf numFmtId="164" fontId="3" fillId="0" borderId="0" xfId="1" applyNumberFormat="1" applyFont="1" applyAlignment="1">
      <alignment horizontal="right" wrapText="1"/>
    </xf>
    <xf numFmtId="2" fontId="55" fillId="0" borderId="0" xfId="21" applyNumberFormat="1" applyFont="1" applyAlignment="1">
      <alignment horizontal="right" wrapText="1"/>
    </xf>
    <xf numFmtId="164" fontId="55" fillId="0" borderId="0" xfId="6" applyNumberFormat="1" applyFont="1" applyAlignment="1">
      <alignment horizontal="right" wrapText="1"/>
    </xf>
    <xf numFmtId="10" fontId="55" fillId="0" borderId="0" xfId="21" applyNumberFormat="1" applyFont="1" applyAlignment="1">
      <alignment horizontal="right" wrapText="1"/>
    </xf>
    <xf numFmtId="166" fontId="3" fillId="0" borderId="0" xfId="2" applyNumberFormat="1" applyFont="1" applyAlignment="1">
      <alignment horizontal="right" wrapText="1"/>
    </xf>
    <xf numFmtId="3" fontId="55" fillId="0" borderId="0" xfId="17" applyNumberFormat="1" applyFont="1" applyFill="1" applyAlignment="1">
      <alignment horizontal="right" wrapText="1"/>
    </xf>
    <xf numFmtId="0" fontId="57" fillId="0" borderId="0" xfId="17" applyFont="1" applyAlignment="1">
      <alignment horizontal="left"/>
    </xf>
    <xf numFmtId="0" fontId="57" fillId="19" borderId="0" xfId="17" applyFont="1" applyFill="1" applyAlignment="1">
      <alignment horizontal="left"/>
    </xf>
    <xf numFmtId="0" fontId="58" fillId="0" borderId="0" xfId="17" applyFont="1" applyAlignment="1">
      <alignment horizontal="left"/>
    </xf>
    <xf numFmtId="3" fontId="55" fillId="0" borderId="0" xfId="17" applyNumberFormat="1" applyFont="1" applyAlignment="1">
      <alignment horizontal="right" wrapText="1"/>
    </xf>
    <xf numFmtId="0" fontId="51" fillId="0" borderId="0" xfId="0" applyFont="1"/>
    <xf numFmtId="10" fontId="55" fillId="0" borderId="0" xfId="17" applyNumberFormat="1" applyFont="1" applyAlignment="1">
      <alignment horizontal="right" wrapText="1"/>
    </xf>
    <xf numFmtId="2" fontId="55" fillId="0" borderId="0" xfId="17" applyNumberFormat="1" applyFont="1" applyAlignment="1">
      <alignment horizontal="right" wrapText="1"/>
    </xf>
    <xf numFmtId="166" fontId="3" fillId="0" borderId="0" xfId="17" applyNumberFormat="1" applyFont="1" applyAlignment="1">
      <alignment horizontal="right" wrapText="1"/>
    </xf>
    <xf numFmtId="181" fontId="55" fillId="0" borderId="0" xfId="17" applyNumberFormat="1" applyFont="1" applyAlignment="1">
      <alignment horizontal="right" wrapText="1"/>
    </xf>
    <xf numFmtId="0" fontId="57" fillId="0" borderId="0" xfId="17" applyFont="1" applyAlignment="1">
      <alignment horizontal="left" wrapText="1"/>
    </xf>
    <xf numFmtId="0" fontId="3" fillId="0" borderId="0" xfId="17" applyFont="1" applyAlignment="1">
      <alignment horizontal="center" vertical="center"/>
    </xf>
    <xf numFmtId="10" fontId="60" fillId="0" borderId="64" xfId="17" applyNumberFormat="1" applyFont="1" applyBorder="1" applyAlignment="1">
      <alignment horizontal="center" vertical="center" wrapText="1"/>
    </xf>
    <xf numFmtId="2" fontId="60" fillId="0" borderId="64" xfId="17" applyNumberFormat="1" applyFont="1" applyBorder="1" applyAlignment="1">
      <alignment horizontal="center" vertical="center" wrapText="1"/>
    </xf>
    <xf numFmtId="0" fontId="60" fillId="0" borderId="64" xfId="17" applyFont="1" applyBorder="1" applyAlignment="1">
      <alignment horizontal="center" vertical="center" wrapText="1"/>
    </xf>
    <xf numFmtId="181" fontId="60" fillId="0" borderId="64" xfId="17" applyNumberFormat="1" applyFont="1" applyBorder="1" applyAlignment="1">
      <alignment horizontal="center" vertical="center" wrapText="1"/>
    </xf>
    <xf numFmtId="10" fontId="60" fillId="0" borderId="64" xfId="21" applyNumberFormat="1" applyFont="1" applyBorder="1" applyAlignment="1">
      <alignment horizontal="center" vertical="center" wrapText="1"/>
    </xf>
    <xf numFmtId="9" fontId="60" fillId="0" borderId="64" xfId="21" applyFont="1" applyBorder="1" applyAlignment="1">
      <alignment horizontal="center" vertical="center" wrapText="1"/>
    </xf>
    <xf numFmtId="1" fontId="60" fillId="0" borderId="64" xfId="21" applyNumberFormat="1" applyFont="1" applyBorder="1" applyAlignment="1">
      <alignment horizontal="center" vertical="center" wrapText="1"/>
    </xf>
    <xf numFmtId="0" fontId="20" fillId="0" borderId="0" xfId="17" applyFont="1" applyAlignment="1">
      <alignment horizontal="center" wrapText="1"/>
    </xf>
    <xf numFmtId="0" fontId="27" fillId="0" borderId="0" xfId="17" applyFont="1" applyBorder="1" applyAlignment="1">
      <alignment horizontal="right" vertical="center"/>
    </xf>
    <xf numFmtId="0" fontId="3" fillId="0" borderId="0" xfId="17" applyFont="1" applyBorder="1" applyAlignment="1">
      <alignment horizontal="right" vertical="center"/>
    </xf>
    <xf numFmtId="166" fontId="62" fillId="0" borderId="0" xfId="17" applyNumberFormat="1" applyFont="1" applyFill="1" applyBorder="1" applyAlignment="1">
      <alignment horizontal="right" vertical="center"/>
    </xf>
    <xf numFmtId="0" fontId="20" fillId="0" borderId="0" xfId="17" applyFont="1" applyBorder="1" applyAlignment="1">
      <alignment horizontal="right" vertical="center"/>
    </xf>
    <xf numFmtId="1" fontId="27" fillId="0" borderId="0" xfId="17" applyNumberFormat="1" applyFont="1" applyBorder="1" applyAlignment="1">
      <alignment horizontal="right" vertical="center"/>
    </xf>
    <xf numFmtId="0" fontId="27" fillId="0" borderId="0" xfId="17" applyFont="1" applyBorder="1" applyAlignment="1">
      <alignment vertical="center"/>
    </xf>
    <xf numFmtId="0" fontId="20" fillId="0" borderId="0" xfId="17" applyFont="1" applyBorder="1" applyAlignment="1">
      <alignment vertical="center"/>
    </xf>
    <xf numFmtId="0" fontId="20" fillId="0" borderId="0" xfId="17" applyFont="1" applyFill="1" applyBorder="1" applyAlignment="1">
      <alignment horizontal="right" vertical="center"/>
    </xf>
    <xf numFmtId="0" fontId="0" fillId="0" borderId="0" xfId="0"/>
    <xf numFmtId="0" fontId="0" fillId="0" borderId="0" xfId="0" applyAlignment="1">
      <alignment horizontal="center"/>
    </xf>
    <xf numFmtId="4" fontId="0" fillId="0" borderId="0" xfId="0" applyNumberFormat="1" applyAlignment="1">
      <alignment horizontal="left"/>
    </xf>
    <xf numFmtId="0" fontId="3" fillId="0" borderId="0" xfId="0" applyFont="1" applyFill="1"/>
    <xf numFmtId="0" fontId="1" fillId="0" borderId="65" xfId="18" applyBorder="1"/>
    <xf numFmtId="0" fontId="1" fillId="0" borderId="67" xfId="18" applyBorder="1"/>
    <xf numFmtId="0" fontId="1" fillId="0" borderId="0" xfId="18" applyBorder="1"/>
    <xf numFmtId="0" fontId="1" fillId="0" borderId="68" xfId="18" applyBorder="1"/>
    <xf numFmtId="0" fontId="1" fillId="0" borderId="69" xfId="18" applyBorder="1"/>
    <xf numFmtId="0" fontId="1" fillId="0" borderId="0" xfId="18"/>
    <xf numFmtId="9" fontId="65" fillId="0" borderId="0" xfId="18" applyNumberFormat="1" applyFont="1" applyFill="1" applyBorder="1" applyAlignment="1">
      <alignment wrapText="1"/>
    </xf>
    <xf numFmtId="0" fontId="65" fillId="0" borderId="0" xfId="18" applyFont="1" applyBorder="1"/>
    <xf numFmtId="0" fontId="65" fillId="0" borderId="0" xfId="18" applyFont="1" applyFill="1" applyBorder="1" applyAlignment="1">
      <alignment wrapText="1"/>
    </xf>
    <xf numFmtId="0" fontId="65" fillId="0" borderId="71" xfId="18" applyFont="1" applyBorder="1"/>
    <xf numFmtId="3" fontId="65" fillId="0" borderId="0" xfId="18" applyNumberFormat="1" applyFont="1" applyFill="1" applyBorder="1" applyAlignment="1">
      <alignment horizontal="center"/>
    </xf>
    <xf numFmtId="0" fontId="65" fillId="0" borderId="71" xfId="18" applyFont="1" applyFill="1" applyBorder="1" applyAlignment="1">
      <alignment wrapText="1"/>
    </xf>
    <xf numFmtId="182" fontId="65" fillId="0" borderId="0" xfId="18" applyNumberFormat="1" applyFont="1" applyFill="1" applyBorder="1" applyAlignment="1">
      <alignment horizontal="center" wrapText="1"/>
    </xf>
    <xf numFmtId="7" fontId="65" fillId="0" borderId="0" xfId="10" applyNumberFormat="1" applyFont="1" applyFill="1" applyBorder="1" applyAlignment="1">
      <alignment horizontal="right" wrapText="1" indent="1"/>
    </xf>
    <xf numFmtId="44" fontId="65" fillId="0" borderId="0" xfId="10" applyFont="1" applyBorder="1" applyAlignment="1">
      <alignment horizontal="right" indent="2"/>
    </xf>
    <xf numFmtId="7" fontId="65" fillId="0" borderId="0" xfId="10" applyNumberFormat="1" applyFont="1" applyBorder="1" applyAlignment="1">
      <alignment horizontal="center"/>
    </xf>
    <xf numFmtId="9" fontId="65" fillId="0" borderId="0" xfId="21" applyFont="1" applyFill="1" applyBorder="1" applyAlignment="1">
      <alignment horizontal="center"/>
    </xf>
    <xf numFmtId="0" fontId="67" fillId="0" borderId="0" xfId="18" applyFont="1" applyFill="1" applyBorder="1" applyAlignment="1">
      <alignment wrapText="1"/>
    </xf>
    <xf numFmtId="9" fontId="68" fillId="0" borderId="72" xfId="18" applyNumberFormat="1" applyFont="1" applyFill="1" applyBorder="1" applyAlignment="1">
      <alignment horizontal="right" indent="1"/>
    </xf>
    <xf numFmtId="0" fontId="68" fillId="0" borderId="72" xfId="18" applyFont="1" applyBorder="1" applyAlignment="1">
      <alignment horizontal="right" indent="2"/>
    </xf>
    <xf numFmtId="0" fontId="68" fillId="0" borderId="72" xfId="18" applyFont="1" applyBorder="1" applyAlignment="1">
      <alignment horizontal="center"/>
    </xf>
    <xf numFmtId="0" fontId="65" fillId="0" borderId="72" xfId="18" applyFont="1" applyFill="1" applyBorder="1" applyAlignment="1">
      <alignment wrapText="1"/>
    </xf>
    <xf numFmtId="2" fontId="0" fillId="0" borderId="0" xfId="2" applyNumberFormat="1" applyFont="1"/>
    <xf numFmtId="2" fontId="65" fillId="0" borderId="73" xfId="10" applyNumberFormat="1" applyFont="1" applyFill="1" applyBorder="1" applyAlignment="1">
      <alignment horizontal="center" wrapText="1"/>
    </xf>
    <xf numFmtId="2" fontId="65" fillId="0" borderId="73" xfId="10" applyNumberFormat="1" applyFont="1" applyBorder="1" applyAlignment="1">
      <alignment horizontal="right" indent="2"/>
    </xf>
    <xf numFmtId="0" fontId="65" fillId="0" borderId="73" xfId="18" applyFont="1" applyFill="1" applyBorder="1" applyAlignment="1">
      <alignment wrapText="1"/>
    </xf>
    <xf numFmtId="0" fontId="67" fillId="0" borderId="73" xfId="18" applyFont="1" applyFill="1" applyBorder="1" applyAlignment="1">
      <alignment horizontal="center"/>
    </xf>
    <xf numFmtId="0" fontId="67" fillId="0" borderId="0" xfId="18" applyFont="1" applyFill="1" applyBorder="1" applyAlignment="1">
      <alignment horizontal="center"/>
    </xf>
    <xf numFmtId="0" fontId="68" fillId="0" borderId="0" xfId="18" applyFont="1" applyFill="1" applyBorder="1" applyAlignment="1">
      <alignment horizontal="center"/>
    </xf>
    <xf numFmtId="0" fontId="68" fillId="0" borderId="0" xfId="18" applyFont="1" applyBorder="1" applyAlignment="1">
      <alignment horizontal="right" indent="2"/>
    </xf>
    <xf numFmtId="0" fontId="68" fillId="0" borderId="0" xfId="18" applyFont="1" applyBorder="1" applyAlignment="1">
      <alignment horizontal="center"/>
    </xf>
    <xf numFmtId="0" fontId="67" fillId="0" borderId="0" xfId="18" applyFont="1" applyFill="1" applyBorder="1" applyAlignment="1"/>
    <xf numFmtId="0" fontId="68" fillId="0" borderId="73" xfId="18" applyFont="1" applyFill="1" applyBorder="1" applyAlignment="1">
      <alignment horizontal="center"/>
    </xf>
    <xf numFmtId="0" fontId="68" fillId="0" borderId="73" xfId="18" applyFont="1" applyBorder="1" applyAlignment="1">
      <alignment horizontal="right" indent="2"/>
    </xf>
    <xf numFmtId="0" fontId="68" fillId="0" borderId="73" xfId="18" applyFont="1" applyBorder="1" applyAlignment="1">
      <alignment horizontal="center"/>
    </xf>
    <xf numFmtId="0" fontId="67" fillId="0" borderId="73" xfId="18" applyFont="1" applyFill="1" applyBorder="1" applyAlignment="1"/>
    <xf numFmtId="9" fontId="68" fillId="0" borderId="72" xfId="18" applyNumberFormat="1" applyFont="1" applyFill="1" applyBorder="1" applyAlignment="1">
      <alignment horizontal="center"/>
    </xf>
    <xf numFmtId="9" fontId="65" fillId="0" borderId="73" xfId="18" applyNumberFormat="1" applyFont="1" applyFill="1" applyBorder="1" applyAlignment="1">
      <alignment horizontal="center" wrapText="1"/>
    </xf>
    <xf numFmtId="0" fontId="68" fillId="0" borderId="73" xfId="18" applyFont="1" applyFill="1" applyBorder="1" applyAlignment="1">
      <alignment horizontal="right" indent="2"/>
    </xf>
    <xf numFmtId="9" fontId="65" fillId="0" borderId="73" xfId="21" applyNumberFormat="1" applyFont="1" applyBorder="1" applyAlignment="1">
      <alignment horizontal="center"/>
    </xf>
    <xf numFmtId="0" fontId="65" fillId="0" borderId="73" xfId="18" applyFont="1" applyBorder="1"/>
    <xf numFmtId="182" fontId="65" fillId="0" borderId="0" xfId="18" applyNumberFormat="1" applyFont="1" applyFill="1" applyBorder="1" applyAlignment="1">
      <alignment horizontal="center" vertical="center"/>
    </xf>
    <xf numFmtId="0" fontId="65" fillId="0" borderId="0" xfId="18" applyFont="1" applyBorder="1" applyAlignment="1">
      <alignment horizontal="left" vertical="center" indent="2"/>
    </xf>
    <xf numFmtId="0" fontId="67" fillId="0" borderId="72" xfId="18" applyFont="1" applyFill="1" applyBorder="1" applyAlignment="1">
      <alignment horizontal="center"/>
    </xf>
    <xf numFmtId="0" fontId="67" fillId="0" borderId="72" xfId="18" applyFont="1" applyBorder="1" applyAlignment="1">
      <alignment horizontal="right"/>
    </xf>
    <xf numFmtId="0" fontId="67" fillId="0" borderId="72" xfId="18" applyFont="1" applyFill="1" applyBorder="1" applyAlignment="1"/>
    <xf numFmtId="0" fontId="67" fillId="0" borderId="73" xfId="18" applyFont="1" applyBorder="1" applyAlignment="1">
      <alignment horizontal="right"/>
    </xf>
    <xf numFmtId="9" fontId="68" fillId="0" borderId="72" xfId="21" applyFont="1" applyFill="1" applyBorder="1" applyAlignment="1">
      <alignment horizontal="center"/>
    </xf>
    <xf numFmtId="0" fontId="68" fillId="0" borderId="72" xfId="18" applyFont="1" applyFill="1" applyBorder="1" applyAlignment="1">
      <alignment horizontal="center"/>
    </xf>
    <xf numFmtId="0" fontId="68" fillId="0" borderId="72" xfId="18" applyFont="1" applyFill="1" applyBorder="1" applyAlignment="1">
      <alignment horizontal="right" indent="2"/>
    </xf>
    <xf numFmtId="0" fontId="65" fillId="0" borderId="72" xfId="18" applyFont="1" applyBorder="1"/>
    <xf numFmtId="0" fontId="69" fillId="0" borderId="69" xfId="18" applyFont="1" applyBorder="1"/>
    <xf numFmtId="0" fontId="65" fillId="0" borderId="73" xfId="18" applyFont="1" applyBorder="1" applyAlignment="1">
      <alignment horizontal="right" indent="2"/>
    </xf>
    <xf numFmtId="0" fontId="65" fillId="0" borderId="73" xfId="18" applyFont="1" applyBorder="1" applyAlignment="1">
      <alignment horizontal="center"/>
    </xf>
    <xf numFmtId="9" fontId="65" fillId="0" borderId="0" xfId="18" applyNumberFormat="1" applyFont="1" applyFill="1" applyBorder="1" applyAlignment="1">
      <alignment horizontal="center" wrapText="1"/>
    </xf>
    <xf numFmtId="0" fontId="65" fillId="0" borderId="0" xfId="18" applyFont="1" applyBorder="1" applyAlignment="1">
      <alignment horizontal="right" indent="2"/>
    </xf>
    <xf numFmtId="0" fontId="65" fillId="0" borderId="0" xfId="18" applyFont="1" applyBorder="1" applyAlignment="1">
      <alignment horizontal="center"/>
    </xf>
    <xf numFmtId="0" fontId="65" fillId="0" borderId="0" xfId="18" applyFont="1" applyFill="1" applyBorder="1" applyAlignment="1">
      <alignment horizontal="center"/>
    </xf>
    <xf numFmtId="164" fontId="65" fillId="0" borderId="0" xfId="6" applyNumberFormat="1" applyFont="1" applyFill="1" applyBorder="1" applyAlignment="1">
      <alignment horizontal="center" wrapText="1"/>
    </xf>
    <xf numFmtId="3" fontId="65" fillId="0" borderId="0" xfId="18" applyNumberFormat="1" applyFont="1" applyFill="1" applyBorder="1" applyAlignment="1">
      <alignment horizontal="center" wrapText="1"/>
    </xf>
    <xf numFmtId="0" fontId="67" fillId="0" borderId="0" xfId="18" applyFont="1" applyFill="1" applyBorder="1" applyAlignment="1">
      <alignment horizontal="center" wrapText="1"/>
    </xf>
    <xf numFmtId="0" fontId="65" fillId="0" borderId="0" xfId="18" applyFont="1" applyFill="1" applyBorder="1"/>
    <xf numFmtId="185" fontId="67" fillId="0" borderId="0" xfId="18" applyNumberFormat="1" applyFont="1" applyFill="1" applyBorder="1" applyAlignment="1">
      <alignment horizontal="center"/>
    </xf>
    <xf numFmtId="167" fontId="67" fillId="0" borderId="0" xfId="18" applyNumberFormat="1" applyFont="1" applyFill="1" applyBorder="1" applyAlignment="1">
      <alignment horizontal="center"/>
    </xf>
    <xf numFmtId="167" fontId="67" fillId="0" borderId="0" xfId="18" applyNumberFormat="1" applyFont="1" applyFill="1" applyBorder="1" applyAlignment="1">
      <alignment horizontal="center" wrapText="1"/>
    </xf>
    <xf numFmtId="166" fontId="67" fillId="0" borderId="0" xfId="21" applyNumberFormat="1" applyFont="1" applyFill="1" applyBorder="1" applyAlignment="1">
      <alignment horizontal="center" wrapText="1"/>
    </xf>
    <xf numFmtId="186" fontId="67" fillId="0" borderId="0" xfId="18" applyNumberFormat="1" applyFont="1" applyFill="1" applyBorder="1" applyAlignment="1">
      <alignment horizontal="center" wrapText="1"/>
    </xf>
    <xf numFmtId="0" fontId="1" fillId="0" borderId="74" xfId="18" applyBorder="1"/>
    <xf numFmtId="0" fontId="6" fillId="0" borderId="75" xfId="18" applyFont="1" applyBorder="1"/>
    <xf numFmtId="182" fontId="65" fillId="0" borderId="75" xfId="18" applyNumberFormat="1" applyFont="1" applyFill="1" applyBorder="1" applyAlignment="1">
      <alignment horizontal="right" wrapText="1"/>
    </xf>
    <xf numFmtId="0" fontId="65" fillId="0" borderId="75" xfId="18" applyFont="1" applyFill="1" applyBorder="1" applyAlignment="1">
      <alignment wrapText="1"/>
    </xf>
    <xf numFmtId="0" fontId="1" fillId="0" borderId="76" xfId="18" applyBorder="1"/>
    <xf numFmtId="0" fontId="71" fillId="0" borderId="0" xfId="18" applyFont="1" applyFill="1" applyBorder="1" applyAlignment="1">
      <alignment horizontal="right"/>
    </xf>
    <xf numFmtId="0" fontId="6" fillId="0" borderId="0" xfId="18" applyFont="1" applyFill="1" applyBorder="1"/>
    <xf numFmtId="0" fontId="72" fillId="0" borderId="0" xfId="18" applyFont="1" applyFill="1" applyBorder="1"/>
    <xf numFmtId="0" fontId="73" fillId="0" borderId="0" xfId="18" applyFont="1" applyFill="1" applyBorder="1" applyAlignment="1"/>
    <xf numFmtId="0" fontId="1" fillId="0" borderId="0" xfId="18" applyFill="1" applyBorder="1"/>
    <xf numFmtId="0" fontId="22" fillId="0" borderId="0" xfId="18" applyFont="1" applyFill="1" applyBorder="1" applyAlignment="1"/>
    <xf numFmtId="179" fontId="0" fillId="0" borderId="0" xfId="0" applyNumberFormat="1"/>
    <xf numFmtId="0" fontId="0" fillId="0" borderId="0" xfId="0" applyFill="1" applyBorder="1" applyAlignment="1"/>
    <xf numFmtId="181" fontId="0" fillId="0" borderId="0" xfId="26" applyNumberFormat="1" applyFont="1" applyBorder="1"/>
    <xf numFmtId="43" fontId="0" fillId="0" borderId="0" xfId="1" applyFont="1"/>
    <xf numFmtId="179" fontId="46" fillId="0" borderId="0" xfId="0" applyNumberFormat="1" applyFont="1" applyFill="1" applyBorder="1" applyAlignment="1">
      <alignment horizontal="center" vertical="center"/>
    </xf>
    <xf numFmtId="175" fontId="46" fillId="0" borderId="0" xfId="26" applyNumberFormat="1" applyFont="1" applyFill="1" applyBorder="1" applyAlignment="1">
      <alignment horizontal="center" vertical="center"/>
    </xf>
    <xf numFmtId="8" fontId="0" fillId="0" borderId="0" xfId="0" applyNumberFormat="1" applyFont="1" applyFill="1" applyBorder="1" applyAlignment="1">
      <alignment vertical="center" wrapText="1"/>
    </xf>
    <xf numFmtId="164" fontId="0" fillId="0" borderId="0" xfId="1" applyNumberFormat="1" applyFont="1" applyFill="1" applyAlignment="1">
      <alignment horizontal="center"/>
    </xf>
    <xf numFmtId="0" fontId="11" fillId="0" borderId="0" xfId="4"/>
    <xf numFmtId="3" fontId="0" fillId="0" borderId="0" xfId="1" applyNumberFormat="1" applyFont="1" applyBorder="1" applyAlignment="1">
      <alignment horizontal="center"/>
    </xf>
    <xf numFmtId="180" fontId="0" fillId="0" borderId="0" xfId="0" applyNumberFormat="1"/>
    <xf numFmtId="0" fontId="0" fillId="14" borderId="0" xfId="0" applyFill="1" applyBorder="1" applyAlignment="1">
      <alignment horizontal="right"/>
    </xf>
    <xf numFmtId="3" fontId="0" fillId="0" borderId="0" xfId="0" applyNumberFormat="1" applyFill="1" applyBorder="1" applyAlignment="1">
      <alignment horizontal="right"/>
    </xf>
    <xf numFmtId="3" fontId="0" fillId="0" borderId="0" xfId="1" applyNumberFormat="1" applyFont="1" applyBorder="1" applyAlignment="1">
      <alignment horizontal="center"/>
    </xf>
    <xf numFmtId="164" fontId="0" fillId="3" borderId="0" xfId="1" applyNumberFormat="1" applyFont="1" applyFill="1" applyBorder="1"/>
    <xf numFmtId="14" fontId="0" fillId="0" borderId="0" xfId="0" applyNumberFormat="1"/>
    <xf numFmtId="0" fontId="0" fillId="0" borderId="0" xfId="0" applyFont="1" applyFill="1" applyBorder="1" applyAlignment="1">
      <alignment horizontal="left" vertical="center" indent="1"/>
    </xf>
    <xf numFmtId="40" fontId="0" fillId="0" borderId="0" xfId="0" applyNumberFormat="1"/>
    <xf numFmtId="0" fontId="4" fillId="2" borderId="77" xfId="36" applyFont="1" applyFill="1" applyBorder="1" applyAlignment="1">
      <alignment wrapText="1"/>
    </xf>
    <xf numFmtId="0" fontId="4" fillId="28" borderId="78" xfId="37" applyFont="1" applyFill="1" applyBorder="1" applyAlignment="1">
      <alignment horizontal="center" wrapText="1"/>
    </xf>
    <xf numFmtId="0" fontId="75" fillId="0" borderId="56" xfId="0" applyFont="1" applyBorder="1" applyAlignment="1">
      <alignment vertical="center" wrapText="1"/>
    </xf>
    <xf numFmtId="0" fontId="75" fillId="0" borderId="51" xfId="0" applyFont="1" applyBorder="1" applyAlignment="1">
      <alignment vertical="center" wrapText="1"/>
    </xf>
    <xf numFmtId="44" fontId="0" fillId="0" borderId="0" xfId="26" applyFont="1"/>
    <xf numFmtId="0" fontId="75" fillId="0" borderId="0" xfId="0" applyFont="1" applyFill="1" applyBorder="1" applyAlignment="1">
      <alignment vertical="center" wrapText="1"/>
    </xf>
    <xf numFmtId="165" fontId="0" fillId="0" borderId="22" xfId="0" applyNumberFormat="1" applyBorder="1"/>
    <xf numFmtId="187" fontId="0" fillId="0" borderId="0" xfId="0" applyNumberFormat="1"/>
    <xf numFmtId="39" fontId="0" fillId="0" borderId="0" xfId="0" applyNumberFormat="1"/>
    <xf numFmtId="37" fontId="3" fillId="0" borderId="0" xfId="0" applyNumberFormat="1" applyFont="1"/>
    <xf numFmtId="3" fontId="0" fillId="0" borderId="0" xfId="1" applyNumberFormat="1" applyFont="1" applyBorder="1" applyAlignment="1">
      <alignment horizontal="center"/>
    </xf>
    <xf numFmtId="8" fontId="0" fillId="0" borderId="1" xfId="0" applyNumberFormat="1" applyBorder="1" applyAlignment="1">
      <alignment horizontal="left" indent="1"/>
    </xf>
    <xf numFmtId="0" fontId="0" fillId="0" borderId="56" xfId="0" applyBorder="1"/>
    <xf numFmtId="43" fontId="0" fillId="0" borderId="0" xfId="1" applyFont="1" applyAlignment="1">
      <alignment horizontal="center"/>
    </xf>
    <xf numFmtId="0" fontId="0" fillId="0" borderId="0" xfId="0" applyAlignment="1">
      <alignment wrapText="1"/>
    </xf>
    <xf numFmtId="43" fontId="0" fillId="0" borderId="22" xfId="0" applyNumberFormat="1" applyBorder="1"/>
    <xf numFmtId="0" fontId="6" fillId="0" borderId="0" xfId="38"/>
    <xf numFmtId="0" fontId="76" fillId="0" borderId="0" xfId="38" applyFont="1" applyAlignment="1"/>
    <xf numFmtId="0" fontId="6" fillId="0" borderId="0" xfId="38" applyAlignment="1">
      <alignment vertical="center"/>
    </xf>
    <xf numFmtId="0" fontId="10" fillId="0" borderId="79" xfId="38" applyFont="1" applyBorder="1" applyAlignment="1">
      <alignment horizontal="left" vertical="center" wrapText="1"/>
    </xf>
    <xf numFmtId="0" fontId="79" fillId="0" borderId="80" xfId="0" applyFont="1" applyBorder="1"/>
    <xf numFmtId="0" fontId="10" fillId="0" borderId="81" xfId="38" applyFont="1" applyBorder="1" applyAlignment="1">
      <alignment horizontal="left" vertical="center" wrapText="1"/>
    </xf>
    <xf numFmtId="0" fontId="10" fillId="0" borderId="83" xfId="0" applyFont="1" applyBorder="1"/>
    <xf numFmtId="0" fontId="6" fillId="0" borderId="0" xfId="38" applyFont="1" applyFill="1" applyBorder="1" applyAlignment="1">
      <alignment horizontal="left" vertical="center" wrapText="1"/>
    </xf>
    <xf numFmtId="0" fontId="10" fillId="0" borderId="0" xfId="0" applyFont="1" applyBorder="1" applyAlignment="1">
      <alignment horizontal="left" wrapText="1"/>
    </xf>
    <xf numFmtId="0" fontId="15" fillId="0" borderId="0" xfId="4" applyFont="1" applyBorder="1" applyAlignment="1" applyProtection="1">
      <alignment horizontal="left" vertical="top" wrapText="1"/>
    </xf>
    <xf numFmtId="0" fontId="6" fillId="0" borderId="0" xfId="38" applyFont="1" applyBorder="1" applyAlignment="1">
      <alignment horizontal="left"/>
    </xf>
    <xf numFmtId="0" fontId="15" fillId="0" borderId="0" xfId="4" applyFont="1" applyFill="1" applyBorder="1" applyAlignment="1" applyProtection="1">
      <alignment horizontal="left" vertical="top" wrapText="1"/>
    </xf>
    <xf numFmtId="0" fontId="6" fillId="0" borderId="0" xfId="38" applyFont="1" applyBorder="1" applyAlignment="1">
      <alignment horizontal="left" wrapText="1"/>
    </xf>
    <xf numFmtId="0" fontId="6" fillId="0" borderId="0" xfId="38" applyAlignment="1">
      <alignment wrapText="1"/>
    </xf>
    <xf numFmtId="0" fontId="15" fillId="0" borderId="0" xfId="4" applyFont="1" applyBorder="1" applyAlignment="1" applyProtection="1">
      <alignment horizontal="left" wrapText="1"/>
    </xf>
    <xf numFmtId="0" fontId="15" fillId="0" borderId="0" xfId="4" applyNumberFormat="1" applyFont="1" applyBorder="1" applyAlignment="1" applyProtection="1">
      <alignment horizontal="left" wrapText="1"/>
    </xf>
    <xf numFmtId="0" fontId="6" fillId="0" borderId="0" xfId="38" applyFont="1" applyFill="1" applyBorder="1" applyAlignment="1">
      <alignment vertical="top" wrapText="1"/>
    </xf>
    <xf numFmtId="0" fontId="6" fillId="0" borderId="0" xfId="38" applyFont="1" applyBorder="1" applyAlignment="1">
      <alignment wrapText="1"/>
    </xf>
    <xf numFmtId="0" fontId="11" fillId="0" borderId="0" xfId="4" applyBorder="1" applyAlignment="1" applyProtection="1">
      <alignment horizontal="left" vertical="top" wrapText="1"/>
    </xf>
    <xf numFmtId="0" fontId="11" fillId="0" borderId="0" xfId="4" applyFill="1" applyBorder="1" applyAlignment="1" applyProtection="1">
      <alignment horizontal="left" vertical="top" wrapText="1"/>
    </xf>
    <xf numFmtId="0" fontId="11" fillId="0" borderId="0" xfId="4" applyBorder="1" applyAlignment="1" applyProtection="1">
      <alignment horizontal="left" wrapText="1"/>
    </xf>
    <xf numFmtId="164" fontId="7" fillId="0" borderId="0" xfId="1" applyNumberFormat="1" applyFont="1"/>
    <xf numFmtId="43" fontId="7" fillId="0" borderId="0" xfId="1" applyFont="1"/>
    <xf numFmtId="43" fontId="82" fillId="0" borderId="0" xfId="1" applyFont="1" applyFill="1" applyBorder="1" applyAlignment="1">
      <alignment horizontal="center" wrapText="1"/>
    </xf>
    <xf numFmtId="0" fontId="83" fillId="0" borderId="0" xfId="0" applyFont="1"/>
    <xf numFmtId="0" fontId="6" fillId="0" borderId="0" xfId="38" applyBorder="1"/>
    <xf numFmtId="0" fontId="74" fillId="0" borderId="0" xfId="38" applyFont="1" applyBorder="1" applyAlignment="1"/>
    <xf numFmtId="0" fontId="6" fillId="0" borderId="0" xfId="38" applyFont="1" applyBorder="1"/>
    <xf numFmtId="0" fontId="78" fillId="0" borderId="0" xfId="38" applyFont="1" applyBorder="1"/>
    <xf numFmtId="0" fontId="84" fillId="0" borderId="0" xfId="38" applyFont="1" applyBorder="1"/>
    <xf numFmtId="0" fontId="85" fillId="0" borderId="0" xfId="38" applyFont="1" applyBorder="1" applyAlignment="1">
      <alignment vertical="center"/>
    </xf>
    <xf numFmtId="0" fontId="10" fillId="0" borderId="0" xfId="38" applyFont="1" applyBorder="1" applyAlignment="1">
      <alignment vertical="center"/>
    </xf>
    <xf numFmtId="0" fontId="6" fillId="0" borderId="0" xfId="38" applyBorder="1" applyAlignment="1">
      <alignment vertical="top"/>
    </xf>
    <xf numFmtId="0" fontId="6" fillId="0" borderId="0" xfId="38" applyNumberFormat="1" applyFont="1" applyFill="1" applyBorder="1" applyAlignment="1">
      <alignment horizontal="justify" vertical="top" wrapText="1"/>
    </xf>
    <xf numFmtId="0" fontId="6" fillId="0" borderId="0" xfId="38" applyBorder="1" applyAlignment="1">
      <alignment horizontal="left" vertical="center"/>
    </xf>
    <xf numFmtId="0" fontId="10" fillId="0" borderId="0" xfId="38" applyNumberFormat="1" applyFont="1" applyFill="1" applyBorder="1" applyAlignment="1">
      <alignment horizontal="left" vertical="center" wrapText="1"/>
    </xf>
    <xf numFmtId="0" fontId="6" fillId="0" borderId="0" xfId="38" applyBorder="1" applyAlignment="1">
      <alignment vertical="center"/>
    </xf>
    <xf numFmtId="0" fontId="84" fillId="0" borderId="0" xfId="38" applyFont="1" applyBorder="1" applyAlignment="1">
      <alignment horizontal="justify" vertical="top" wrapText="1"/>
    </xf>
    <xf numFmtId="0" fontId="6" fillId="0" borderId="0" xfId="38" applyFont="1" applyBorder="1" applyAlignment="1">
      <alignment horizontal="justify" vertical="top" wrapText="1"/>
    </xf>
    <xf numFmtId="0" fontId="0" fillId="0" borderId="0" xfId="0"/>
    <xf numFmtId="0" fontId="6" fillId="0" borderId="0" xfId="38" applyBorder="1" applyAlignment="1">
      <alignment horizontal="left" vertical="top"/>
    </xf>
    <xf numFmtId="49" fontId="77" fillId="0" borderId="0" xfId="38" applyNumberFormat="1" applyFont="1" applyAlignment="1">
      <alignment horizontal="left"/>
    </xf>
    <xf numFmtId="0" fontId="6" fillId="0" borderId="0" xfId="40"/>
    <xf numFmtId="0" fontId="6" fillId="0" borderId="0" xfId="41"/>
    <xf numFmtId="0" fontId="86" fillId="0" borderId="0" xfId="38" applyFont="1" applyBorder="1" applyAlignment="1">
      <alignment horizontal="left"/>
    </xf>
    <xf numFmtId="0" fontId="78" fillId="0" borderId="0" xfId="40" applyFont="1"/>
    <xf numFmtId="0" fontId="22" fillId="0" borderId="0" xfId="41" applyFont="1"/>
    <xf numFmtId="0" fontId="87" fillId="0" borderId="86" xfId="41" applyFont="1" applyBorder="1" applyAlignment="1">
      <alignment horizontal="center" vertical="center" wrapText="1"/>
    </xf>
    <xf numFmtId="0" fontId="6" fillId="0" borderId="86" xfId="41" applyFont="1" applyBorder="1" applyAlignment="1">
      <alignment horizontal="center" vertical="center" wrapText="1"/>
    </xf>
    <xf numFmtId="0" fontId="6" fillId="0" borderId="0" xfId="41" applyFont="1"/>
    <xf numFmtId="0" fontId="6" fillId="0" borderId="10" xfId="41" applyFill="1" applyBorder="1" applyAlignment="1">
      <alignment vertical="center"/>
    </xf>
    <xf numFmtId="0" fontId="6" fillId="0" borderId="0" xfId="41" applyBorder="1" applyAlignment="1">
      <alignment vertical="center" wrapText="1"/>
    </xf>
    <xf numFmtId="0" fontId="6" fillId="0" borderId="14" xfId="41" applyFill="1" applyBorder="1" applyAlignment="1">
      <alignment vertical="center"/>
    </xf>
    <xf numFmtId="0" fontId="6" fillId="0" borderId="13" xfId="41" applyBorder="1" applyAlignment="1">
      <alignment vertical="center" wrapText="1"/>
    </xf>
    <xf numFmtId="0" fontId="10" fillId="0" borderId="44" xfId="41" applyFont="1" applyFill="1" applyBorder="1" applyAlignment="1">
      <alignment vertical="center" wrapText="1"/>
    </xf>
    <xf numFmtId="0" fontId="6" fillId="0" borderId="10" xfId="41" applyBorder="1" applyAlignment="1">
      <alignment vertical="center"/>
    </xf>
    <xf numFmtId="0" fontId="6" fillId="0" borderId="10" xfId="41" applyFont="1" applyBorder="1" applyAlignment="1">
      <alignment vertical="center"/>
    </xf>
    <xf numFmtId="0" fontId="10" fillId="0" borderId="0" xfId="41" applyFont="1" applyAlignment="1">
      <alignment horizontal="right"/>
    </xf>
    <xf numFmtId="166" fontId="48" fillId="0" borderId="0" xfId="21" applyNumberFormat="1" applyFont="1" applyFill="1" applyBorder="1" applyAlignment="1">
      <alignment horizontal="center"/>
    </xf>
    <xf numFmtId="6" fontId="10" fillId="0" borderId="0" xfId="41" applyNumberFormat="1" applyFont="1" applyFill="1" applyBorder="1" applyAlignment="1">
      <alignment horizontal="center" vertical="center"/>
    </xf>
    <xf numFmtId="0" fontId="6" fillId="0" borderId="22" xfId="41" applyFont="1" applyBorder="1"/>
    <xf numFmtId="0" fontId="10" fillId="0" borderId="22" xfId="41" applyFont="1" applyBorder="1"/>
    <xf numFmtId="173" fontId="10" fillId="0" borderId="22" xfId="10" applyNumberFormat="1" applyFont="1" applyFill="1" applyBorder="1"/>
    <xf numFmtId="173" fontId="10" fillId="0" borderId="0" xfId="10" applyNumberFormat="1" applyFont="1" applyFill="1"/>
    <xf numFmtId="0" fontId="6" fillId="0" borderId="0" xfId="41" applyFill="1"/>
    <xf numFmtId="0" fontId="23" fillId="0" borderId="0" xfId="41" applyFont="1"/>
    <xf numFmtId="0" fontId="11" fillId="0" borderId="0" xfId="4" applyNumberFormat="1" applyBorder="1" applyAlignment="1">
      <alignment horizontal="left" wrapText="1"/>
    </xf>
    <xf numFmtId="0" fontId="0" fillId="0" borderId="85" xfId="0" applyFont="1" applyBorder="1"/>
    <xf numFmtId="0" fontId="0" fillId="0" borderId="85" xfId="0" applyBorder="1"/>
    <xf numFmtId="166" fontId="2" fillId="0" borderId="0" xfId="0" applyNumberFormat="1" applyFont="1"/>
    <xf numFmtId="8" fontId="2" fillId="0" borderId="0" xfId="0" applyNumberFormat="1" applyFont="1"/>
    <xf numFmtId="0" fontId="0" fillId="0" borderId="0" xfId="0"/>
    <xf numFmtId="0" fontId="6" fillId="0" borderId="0" xfId="38" applyBorder="1" applyAlignment="1">
      <alignment horizontal="left" vertical="top"/>
    </xf>
    <xf numFmtId="181" fontId="90" fillId="0" borderId="0" xfId="26" applyNumberFormat="1" applyFont="1" applyBorder="1"/>
    <xf numFmtId="0" fontId="90" fillId="0" borderId="0" xfId="0" applyFont="1"/>
    <xf numFmtId="166" fontId="3" fillId="0" borderId="0" xfId="17" applyNumberFormat="1" applyFont="1" applyFill="1" applyAlignment="1">
      <alignment horizontal="center"/>
    </xf>
    <xf numFmtId="43" fontId="90" fillId="0" borderId="0" xfId="0" applyNumberFormat="1" applyFont="1"/>
    <xf numFmtId="0" fontId="6" fillId="0" borderId="0" xfId="38" applyBorder="1" applyAlignment="1"/>
    <xf numFmtId="49" fontId="77" fillId="0" borderId="0" xfId="38" applyNumberFormat="1" applyFont="1" applyAlignment="1">
      <alignment horizontal="right"/>
    </xf>
    <xf numFmtId="0" fontId="91" fillId="0" borderId="0" xfId="0" applyFont="1"/>
    <xf numFmtId="0" fontId="90" fillId="0" borderId="0" xfId="0" applyFont="1" applyFill="1"/>
    <xf numFmtId="14" fontId="6" fillId="0" borderId="22" xfId="38" applyNumberFormat="1" applyFont="1" applyFill="1" applyBorder="1" applyAlignment="1">
      <alignment horizontal="left" vertical="center" wrapText="1"/>
    </xf>
    <xf numFmtId="6" fontId="6" fillId="0" borderId="22" xfId="38" applyNumberFormat="1" applyFont="1" applyFill="1" applyBorder="1" applyAlignment="1">
      <alignment horizontal="left" vertical="center" wrapText="1"/>
    </xf>
    <xf numFmtId="0" fontId="6" fillId="0" borderId="7" xfId="38" applyFont="1" applyFill="1" applyBorder="1" applyAlignment="1">
      <alignment horizontal="justify" vertical="center" wrapText="1"/>
    </xf>
    <xf numFmtId="0" fontId="6" fillId="0" borderId="10" xfId="38" applyFont="1" applyFill="1" applyBorder="1" applyAlignment="1">
      <alignment horizontal="justify" vertical="center" wrapText="1"/>
    </xf>
    <xf numFmtId="0" fontId="6" fillId="0" borderId="14" xfId="38" applyFont="1" applyFill="1" applyBorder="1" applyAlignment="1">
      <alignment horizontal="justify" vertical="center" wrapText="1"/>
    </xf>
    <xf numFmtId="0" fontId="6" fillId="0" borderId="22" xfId="38" applyFont="1" applyFill="1" applyBorder="1" applyAlignment="1">
      <alignment vertical="center" wrapText="1"/>
    </xf>
    <xf numFmtId="9" fontId="6" fillId="0" borderId="7" xfId="38" applyNumberFormat="1" applyFont="1" applyFill="1" applyBorder="1" applyAlignment="1">
      <alignment horizontal="left" vertical="center" wrapText="1"/>
    </xf>
    <xf numFmtId="9" fontId="6" fillId="0" borderId="89" xfId="38" applyNumberFormat="1" applyFont="1" applyBorder="1" applyAlignment="1">
      <alignment horizontal="left" vertical="center" wrapText="1"/>
    </xf>
    <xf numFmtId="0" fontId="6" fillId="0" borderId="14" xfId="38" applyFont="1" applyFill="1" applyBorder="1" applyAlignment="1">
      <alignment vertical="center" wrapText="1"/>
    </xf>
    <xf numFmtId="0" fontId="6" fillId="0" borderId="0" xfId="39" applyNumberFormat="1" applyFont="1" applyBorder="1" applyAlignment="1"/>
    <xf numFmtId="0" fontId="6" fillId="0" borderId="92" xfId="35" applyBorder="1" applyAlignment="1">
      <alignment vertical="center" wrapText="1"/>
    </xf>
    <xf numFmtId="0" fontId="6" fillId="0" borderId="0" xfId="38" applyNumberFormat="1" applyFont="1" applyBorder="1" applyAlignment="1">
      <alignment wrapText="1"/>
    </xf>
    <xf numFmtId="0" fontId="92" fillId="0" borderId="0" xfId="38" applyFont="1" applyBorder="1"/>
    <xf numFmtId="0" fontId="6" fillId="0" borderId="92" xfId="35" applyBorder="1" applyAlignment="1">
      <alignment vertical="center"/>
    </xf>
    <xf numFmtId="0" fontId="8" fillId="0" borderId="0" xfId="38" applyFont="1"/>
    <xf numFmtId="0" fontId="6" fillId="0" borderId="0" xfId="35" applyBorder="1" applyAlignment="1">
      <alignment vertical="center" wrapText="1"/>
    </xf>
    <xf numFmtId="0" fontId="6" fillId="0" borderId="0" xfId="38" applyFont="1" applyFill="1" applyBorder="1" applyAlignment="1">
      <alignment wrapText="1"/>
    </xf>
    <xf numFmtId="0" fontId="86" fillId="0" borderId="0" xfId="38" applyFont="1" applyBorder="1"/>
    <xf numFmtId="0" fontId="93" fillId="0" borderId="0" xfId="0" applyFont="1" applyAlignment="1">
      <alignment vertical="top" wrapText="1"/>
    </xf>
    <xf numFmtId="0" fontId="94" fillId="0" borderId="0" xfId="0" applyFont="1" applyFill="1" applyAlignment="1">
      <alignment vertical="center" wrapText="1"/>
    </xf>
    <xf numFmtId="0" fontId="80" fillId="0" borderId="0" xfId="0" quotePrefix="1" applyFont="1" applyFill="1" applyAlignment="1">
      <alignment vertical="top" wrapText="1"/>
    </xf>
    <xf numFmtId="0" fontId="10" fillId="0" borderId="0" xfId="38" applyFont="1" applyFill="1" applyBorder="1" applyAlignment="1">
      <alignment vertical="top"/>
    </xf>
    <xf numFmtId="0" fontId="74" fillId="0" borderId="0" xfId="38" applyFont="1" applyBorder="1" applyAlignment="1">
      <alignment vertical="top"/>
    </xf>
    <xf numFmtId="0" fontId="51" fillId="0" borderId="0" xfId="0" applyFont="1" applyFill="1"/>
    <xf numFmtId="0" fontId="0" fillId="30" borderId="0" xfId="0" applyFill="1"/>
    <xf numFmtId="8" fontId="0" fillId="30" borderId="0" xfId="0" applyNumberFormat="1" applyFill="1"/>
    <xf numFmtId="0" fontId="0" fillId="31" borderId="0" xfId="0" applyFill="1"/>
    <xf numFmtId="0" fontId="0" fillId="31" borderId="0" xfId="0" applyFill="1" applyBorder="1"/>
    <xf numFmtId="8" fontId="0" fillId="31" borderId="0" xfId="0" applyNumberFormat="1" applyFill="1"/>
    <xf numFmtId="0" fontId="0" fillId="31" borderId="0" xfId="0" applyFill="1" applyAlignment="1">
      <alignment horizontal="left" indent="1"/>
    </xf>
    <xf numFmtId="9" fontId="0" fillId="31" borderId="0" xfId="0" applyNumberFormat="1" applyFill="1"/>
    <xf numFmtId="0" fontId="2" fillId="22" borderId="0" xfId="0" applyFont="1" applyFill="1" applyAlignment="1">
      <alignment horizontal="left" indent="1"/>
    </xf>
    <xf numFmtId="0" fontId="0" fillId="22" borderId="0" xfId="0" applyFill="1"/>
    <xf numFmtId="0" fontId="0" fillId="22" borderId="22" xfId="0" applyFont="1" applyFill="1" applyBorder="1"/>
    <xf numFmtId="166" fontId="0" fillId="22" borderId="22" xfId="0" applyNumberFormat="1" applyFill="1" applyBorder="1"/>
    <xf numFmtId="164" fontId="0" fillId="30" borderId="0" xfId="1" applyNumberFormat="1" applyFont="1" applyFill="1"/>
    <xf numFmtId="1" fontId="0" fillId="30" borderId="0" xfId="0" applyNumberFormat="1" applyFill="1"/>
    <xf numFmtId="181" fontId="1" fillId="0" borderId="93" xfId="26" applyNumberFormat="1" applyFont="1" applyBorder="1"/>
    <xf numFmtId="0" fontId="90" fillId="0" borderId="0" xfId="0" applyFont="1" applyFill="1"/>
    <xf numFmtId="37" fontId="0" fillId="0" borderId="0" xfId="0" applyNumberFormat="1" applyFill="1"/>
    <xf numFmtId="43" fontId="0" fillId="0" borderId="0" xfId="0" applyNumberFormat="1" applyFill="1"/>
    <xf numFmtId="0" fontId="96" fillId="0" borderId="0" xfId="0" applyFont="1" applyBorder="1"/>
    <xf numFmtId="0" fontId="0" fillId="9" borderId="42" xfId="0" applyFill="1" applyBorder="1"/>
    <xf numFmtId="0" fontId="0" fillId="9" borderId="13" xfId="0" applyFill="1" applyBorder="1" applyAlignment="1">
      <alignment horizontal="left"/>
    </xf>
    <xf numFmtId="0" fontId="0" fillId="9" borderId="46" xfId="0" applyFill="1" applyBorder="1"/>
    <xf numFmtId="179" fontId="0" fillId="0" borderId="93" xfId="1" applyNumberFormat="1" applyFont="1" applyBorder="1"/>
    <xf numFmtId="171" fontId="0" fillId="0" borderId="93" xfId="1" applyNumberFormat="1" applyFont="1" applyBorder="1"/>
    <xf numFmtId="9" fontId="0" fillId="0" borderId="93" xfId="2" applyFont="1" applyBorder="1"/>
    <xf numFmtId="9" fontId="0" fillId="0" borderId="29" xfId="0" applyNumberFormat="1" applyBorder="1"/>
    <xf numFmtId="165" fontId="0" fillId="0" borderId="93" xfId="1" applyNumberFormat="1" applyFont="1" applyBorder="1"/>
    <xf numFmtId="165" fontId="0" fillId="0" borderId="93" xfId="0" applyNumberFormat="1" applyBorder="1"/>
    <xf numFmtId="2" fontId="0" fillId="0" borderId="93" xfId="0" applyNumberFormat="1" applyBorder="1"/>
    <xf numFmtId="165" fontId="0" fillId="0" borderId="93" xfId="0" applyNumberFormat="1" applyFill="1" applyBorder="1"/>
    <xf numFmtId="0" fontId="2" fillId="0" borderId="93" xfId="0" applyFont="1" applyFill="1" applyBorder="1" applyAlignment="1">
      <alignment horizontal="right"/>
    </xf>
    <xf numFmtId="0" fontId="2" fillId="0" borderId="93" xfId="0" applyFont="1" applyBorder="1"/>
    <xf numFmtId="165" fontId="0" fillId="0" borderId="93" xfId="0" applyNumberFormat="1" applyFont="1" applyFill="1" applyBorder="1"/>
    <xf numFmtId="0" fontId="0" fillId="0" borderId="93" xfId="0" applyBorder="1"/>
    <xf numFmtId="9" fontId="1" fillId="0" borderId="93" xfId="2" applyFont="1" applyBorder="1"/>
    <xf numFmtId="9" fontId="0" fillId="0" borderId="93" xfId="2" applyNumberFormat="1" applyFont="1" applyBorder="1"/>
    <xf numFmtId="164" fontId="0" fillId="0" borderId="93" xfId="2" applyNumberFormat="1" applyFont="1" applyBorder="1"/>
    <xf numFmtId="0" fontId="28" fillId="0" borderId="85" xfId="0" applyFont="1" applyBorder="1"/>
    <xf numFmtId="0" fontId="0" fillId="0" borderId="0" xfId="0"/>
    <xf numFmtId="0" fontId="0" fillId="0" borderId="0" xfId="0" applyFill="1"/>
    <xf numFmtId="0" fontId="6" fillId="0" borderId="50" xfId="41" applyBorder="1" applyAlignment="1">
      <alignment horizontal="center"/>
    </xf>
    <xf numFmtId="6" fontId="0" fillId="0" borderId="93" xfId="0" applyNumberFormat="1" applyBorder="1"/>
    <xf numFmtId="180" fontId="0" fillId="0" borderId="93" xfId="0" applyNumberFormat="1" applyFill="1" applyBorder="1"/>
    <xf numFmtId="8" fontId="0" fillId="0" borderId="93" xfId="0" applyNumberFormat="1" applyBorder="1"/>
    <xf numFmtId="9" fontId="0" fillId="0" borderId="93" xfId="2" applyNumberFormat="1" applyFont="1" applyFill="1" applyBorder="1"/>
    <xf numFmtId="166" fontId="0" fillId="0" borderId="93" xfId="2" applyNumberFormat="1" applyFont="1" applyFill="1" applyBorder="1"/>
    <xf numFmtId="166" fontId="0" fillId="0" borderId="29" xfId="2" applyNumberFormat="1" applyFont="1" applyFill="1" applyBorder="1"/>
    <xf numFmtId="0" fontId="2" fillId="12" borderId="48" xfId="0" applyFont="1" applyFill="1" applyBorder="1"/>
    <xf numFmtId="0" fontId="2" fillId="0" borderId="93" xfId="0" applyFont="1" applyFill="1" applyBorder="1"/>
    <xf numFmtId="172" fontId="0" fillId="0" borderId="93" xfId="0" applyNumberFormat="1" applyFont="1" applyFill="1" applyBorder="1"/>
    <xf numFmtId="0" fontId="77" fillId="0" borderId="0" xfId="38" applyFont="1" applyAlignment="1">
      <alignment horizontal="left"/>
    </xf>
    <xf numFmtId="0" fontId="6" fillId="0" borderId="87" xfId="41" applyFont="1" applyBorder="1" applyAlignment="1">
      <alignment horizontal="center" vertical="center" wrapText="1"/>
    </xf>
    <xf numFmtId="9" fontId="87" fillId="32" borderId="21" xfId="41" applyNumberFormat="1" applyFont="1" applyFill="1" applyBorder="1" applyAlignment="1">
      <alignment horizontal="center" vertical="center"/>
    </xf>
    <xf numFmtId="9" fontId="6" fillId="0" borderId="10" xfId="41" applyNumberFormat="1" applyBorder="1" applyAlignment="1">
      <alignment horizontal="center" vertical="center"/>
    </xf>
    <xf numFmtId="9" fontId="0" fillId="0" borderId="47" xfId="21" applyFont="1" applyBorder="1" applyAlignment="1">
      <alignment horizontal="center" vertical="center"/>
    </xf>
    <xf numFmtId="9" fontId="87" fillId="32" borderId="42" xfId="41" applyNumberFormat="1" applyFont="1" applyFill="1" applyBorder="1" applyAlignment="1">
      <alignment horizontal="center" vertical="center"/>
    </xf>
    <xf numFmtId="9" fontId="6" fillId="0" borderId="14" xfId="41" applyNumberFormat="1" applyBorder="1" applyAlignment="1">
      <alignment horizontal="center" vertical="center"/>
    </xf>
    <xf numFmtId="9" fontId="0" fillId="0" borderId="46" xfId="21" applyFont="1" applyBorder="1" applyAlignment="1">
      <alignment horizontal="center" vertical="center"/>
    </xf>
    <xf numFmtId="0" fontId="6" fillId="0" borderId="0" xfId="42" applyFont="1" applyBorder="1" applyAlignment="1">
      <alignment vertical="center" wrapText="1"/>
    </xf>
    <xf numFmtId="37" fontId="87" fillId="32" borderId="21" xfId="6" quotePrefix="1" applyNumberFormat="1" applyFont="1" applyFill="1" applyBorder="1" applyAlignment="1">
      <alignment horizontal="center" vertical="center"/>
    </xf>
    <xf numFmtId="3" fontId="6" fillId="33" borderId="10" xfId="21" applyNumberFormat="1" applyFont="1" applyFill="1" applyBorder="1" applyAlignment="1">
      <alignment horizontal="center" vertical="center"/>
    </xf>
    <xf numFmtId="0" fontId="0" fillId="0" borderId="47" xfId="42" applyFont="1" applyBorder="1" applyAlignment="1">
      <alignment horizontal="center" vertical="center"/>
    </xf>
    <xf numFmtId="9" fontId="87" fillId="32" borderId="21" xfId="21" applyFont="1" applyFill="1" applyBorder="1" applyAlignment="1">
      <alignment horizontal="center" vertical="center"/>
    </xf>
    <xf numFmtId="9" fontId="6" fillId="33" borderId="10" xfId="21" applyFont="1" applyFill="1" applyBorder="1" applyAlignment="1">
      <alignment horizontal="center" vertical="center"/>
    </xf>
    <xf numFmtId="9" fontId="0" fillId="0" borderId="47" xfId="42" applyNumberFormat="1" applyFont="1" applyBorder="1" applyAlignment="1">
      <alignment horizontal="center" vertical="center"/>
    </xf>
    <xf numFmtId="0" fontId="6" fillId="0" borderId="50" xfId="41" applyBorder="1"/>
    <xf numFmtId="0" fontId="6" fillId="0" borderId="50" xfId="41" applyBorder="1" applyAlignment="1">
      <alignment horizontal="left" vertical="top"/>
    </xf>
    <xf numFmtId="2" fontId="6" fillId="0" borderId="50" xfId="41" applyNumberFormat="1" applyBorder="1" applyAlignment="1">
      <alignment horizontal="center" vertical="top"/>
    </xf>
    <xf numFmtId="0" fontId="6" fillId="0" borderId="50" xfId="41" applyBorder="1" applyAlignment="1">
      <alignment horizontal="left"/>
    </xf>
    <xf numFmtId="0" fontId="10" fillId="0" borderId="0" xfId="41" applyFont="1" applyFill="1" applyBorder="1" applyAlignment="1">
      <alignment horizontal="left" vertical="center" wrapText="1"/>
    </xf>
    <xf numFmtId="166" fontId="89" fillId="29" borderId="22" xfId="21" applyNumberFormat="1" applyFont="1" applyFill="1" applyBorder="1" applyAlignment="1">
      <alignment horizontal="center" vertical="center"/>
    </xf>
    <xf numFmtId="0" fontId="10" fillId="0" borderId="0" xfId="20" applyFont="1" applyFill="1" applyAlignment="1">
      <alignment horizontal="right"/>
    </xf>
    <xf numFmtId="0" fontId="6" fillId="0" borderId="0" xfId="41" applyBorder="1"/>
    <xf numFmtId="0" fontId="22" fillId="0" borderId="0" xfId="41" applyFont="1" applyBorder="1"/>
    <xf numFmtId="0" fontId="50" fillId="0" borderId="0" xfId="41" applyFont="1" applyBorder="1" applyAlignment="1">
      <alignment horizontal="center" vertical="center" wrapText="1"/>
    </xf>
    <xf numFmtId="0" fontId="49" fillId="0" borderId="0" xfId="41" applyFont="1" applyFill="1" applyBorder="1" applyAlignment="1">
      <alignment horizontal="center" vertical="center" wrapText="1"/>
    </xf>
    <xf numFmtId="0" fontId="10" fillId="0" borderId="0" xfId="41" applyFont="1" applyBorder="1" applyAlignment="1">
      <alignment vertical="center"/>
    </xf>
    <xf numFmtId="0" fontId="44" fillId="0" borderId="0" xfId="44" applyFont="1" applyBorder="1" applyAlignment="1" applyProtection="1">
      <alignment vertical="center"/>
    </xf>
    <xf numFmtId="166" fontId="6" fillId="0" borderId="22" xfId="41" applyNumberFormat="1" applyFont="1" applyBorder="1" applyAlignment="1">
      <alignment horizontal="center"/>
    </xf>
    <xf numFmtId="0" fontId="0" fillId="0" borderId="10" xfId="0" applyBorder="1" applyAlignment="1">
      <alignment horizontal="center" vertical="center"/>
    </xf>
    <xf numFmtId="0" fontId="77" fillId="0" borderId="0" xfId="38" applyFont="1" applyFill="1" applyAlignment="1">
      <alignment horizontal="left"/>
    </xf>
    <xf numFmtId="49" fontId="77" fillId="0" borderId="0" xfId="38" applyNumberFormat="1" applyFont="1" applyAlignment="1">
      <alignment horizontal="right"/>
    </xf>
    <xf numFmtId="0" fontId="7" fillId="0" borderId="0" xfId="0" applyFont="1" applyFill="1"/>
    <xf numFmtId="49" fontId="77" fillId="0" borderId="0" xfId="38" applyNumberFormat="1" applyFont="1" applyAlignment="1">
      <alignment horizontal="left"/>
    </xf>
    <xf numFmtId="0" fontId="20" fillId="0" borderId="0" xfId="17" applyFont="1" applyFill="1" applyAlignment="1">
      <alignment horizontal="left"/>
    </xf>
    <xf numFmtId="0" fontId="3" fillId="0" borderId="0" xfId="17" applyFont="1" applyFill="1" applyAlignment="1">
      <alignment horizontal="left"/>
    </xf>
    <xf numFmtId="0" fontId="25" fillId="0" borderId="46" xfId="0" applyFont="1" applyBorder="1"/>
    <xf numFmtId="0" fontId="0" fillId="0" borderId="14" xfId="0" applyBorder="1"/>
    <xf numFmtId="0" fontId="0" fillId="0" borderId="43" xfId="0" applyBorder="1"/>
    <xf numFmtId="0" fontId="3" fillId="0" borderId="21" xfId="17" applyFont="1" applyBorder="1" applyAlignment="1">
      <alignment horizontal="center" vertical="center"/>
    </xf>
    <xf numFmtId="0" fontId="52" fillId="0" borderId="0" xfId="0" applyFont="1"/>
    <xf numFmtId="182" fontId="65" fillId="0" borderId="70" xfId="18" applyNumberFormat="1" applyFont="1" applyFill="1" applyBorder="1" applyAlignment="1">
      <alignment horizontal="right" wrapText="1"/>
    </xf>
    <xf numFmtId="0" fontId="23" fillId="0" borderId="0" xfId="18" applyFont="1" applyFill="1" applyBorder="1" applyAlignment="1"/>
    <xf numFmtId="0" fontId="65" fillId="0" borderId="0" xfId="18" applyFont="1" applyFill="1" applyBorder="1" applyAlignment="1"/>
    <xf numFmtId="0" fontId="64" fillId="0" borderId="0" xfId="18" applyFont="1" applyFill="1" applyBorder="1" applyAlignment="1">
      <alignment horizontal="left"/>
    </xf>
    <xf numFmtId="0" fontId="64" fillId="0" borderId="0" xfId="18" applyFont="1" applyFill="1" applyBorder="1"/>
    <xf numFmtId="0" fontId="64" fillId="0" borderId="66" xfId="18" applyFont="1" applyFill="1" applyBorder="1"/>
    <xf numFmtId="0" fontId="1" fillId="0" borderId="66" xfId="18" applyFill="1" applyBorder="1"/>
    <xf numFmtId="0" fontId="0" fillId="0" borderId="0" xfId="0" applyBorder="1" applyAlignment="1">
      <alignment horizontal="center"/>
    </xf>
    <xf numFmtId="0" fontId="10" fillId="0" borderId="22" xfId="41" applyFont="1" applyFill="1" applyBorder="1" applyAlignment="1">
      <alignment horizontal="center"/>
    </xf>
    <xf numFmtId="2" fontId="65" fillId="0" borderId="73" xfId="10" applyNumberFormat="1" applyFont="1" applyFill="1" applyBorder="1" applyAlignment="1">
      <alignment horizontal="center"/>
    </xf>
    <xf numFmtId="0" fontId="99" fillId="0" borderId="0" xfId="0" applyFont="1" applyAlignment="1">
      <alignment wrapText="1"/>
    </xf>
    <xf numFmtId="0" fontId="99" fillId="0" borderId="0" xfId="0" applyFont="1"/>
    <xf numFmtId="0" fontId="99" fillId="0" borderId="0" xfId="0" applyFont="1" applyAlignment="1">
      <alignment vertical="top" wrapText="1"/>
    </xf>
    <xf numFmtId="0" fontId="0" fillId="0" borderId="0" xfId="0" applyBorder="1" applyAlignment="1">
      <alignment vertical="top" wrapText="1"/>
    </xf>
    <xf numFmtId="0" fontId="0" fillId="0" borderId="46" xfId="0" applyBorder="1" applyAlignment="1">
      <alignment vertical="center"/>
    </xf>
    <xf numFmtId="0" fontId="100" fillId="0" borderId="21" xfId="0" applyFont="1" applyBorder="1"/>
    <xf numFmtId="0" fontId="98" fillId="0" borderId="0" xfId="0" applyFont="1" applyBorder="1"/>
    <xf numFmtId="0" fontId="98" fillId="0" borderId="21" xfId="0" applyFont="1" applyBorder="1"/>
    <xf numFmtId="0" fontId="98" fillId="0" borderId="21" xfId="0" applyFont="1" applyFill="1" applyBorder="1"/>
    <xf numFmtId="0" fontId="98" fillId="0" borderId="42" xfId="0" applyFont="1" applyBorder="1"/>
    <xf numFmtId="0" fontId="98" fillId="0" borderId="13" xfId="0" applyFont="1" applyBorder="1"/>
    <xf numFmtId="0" fontId="98" fillId="0" borderId="44" xfId="0" applyFont="1" applyBorder="1"/>
    <xf numFmtId="0" fontId="0" fillId="0" borderId="54" xfId="0" applyBorder="1"/>
    <xf numFmtId="0" fontId="100" fillId="0" borderId="21" xfId="0" applyFont="1" applyBorder="1" applyAlignment="1">
      <alignment horizontal="left" indent="1"/>
    </xf>
    <xf numFmtId="0" fontId="0" fillId="0" borderId="0" xfId="1" applyNumberFormat="1" applyFont="1" applyBorder="1" applyAlignment="1">
      <alignment horizontal="left" vertical="top"/>
    </xf>
    <xf numFmtId="0" fontId="2" fillId="0" borderId="13" xfId="0" applyFont="1" applyBorder="1"/>
    <xf numFmtId="0" fontId="28" fillId="0" borderId="46" xfId="0" applyFont="1" applyBorder="1"/>
    <xf numFmtId="0" fontId="2" fillId="0" borderId="47" xfId="0" applyFont="1" applyBorder="1"/>
    <xf numFmtId="0" fontId="0" fillId="0" borderId="47" xfId="0" applyFont="1" applyFill="1" applyBorder="1" applyAlignment="1">
      <alignment wrapText="1"/>
    </xf>
    <xf numFmtId="0" fontId="0" fillId="0" borderId="47" xfId="0" applyFill="1" applyBorder="1" applyAlignment="1">
      <alignment horizontal="left" indent="1"/>
    </xf>
    <xf numFmtId="0" fontId="0" fillId="0" borderId="47" xfId="0" applyBorder="1" applyAlignment="1">
      <alignment horizontal="left"/>
    </xf>
    <xf numFmtId="0" fontId="0" fillId="0" borderId="47" xfId="0" applyBorder="1" applyAlignment="1">
      <alignment horizontal="left" indent="1"/>
    </xf>
    <xf numFmtId="0" fontId="0" fillId="0" borderId="47" xfId="0" applyBorder="1" applyAlignment="1">
      <alignment horizontal="left" indent="2"/>
    </xf>
    <xf numFmtId="0" fontId="25" fillId="0" borderId="47" xfId="0" applyFont="1" applyBorder="1" applyAlignment="1">
      <alignment horizontal="left"/>
    </xf>
    <xf numFmtId="0" fontId="2" fillId="0" borderId="47" xfId="0" applyFont="1" applyBorder="1" applyAlignment="1">
      <alignment horizontal="left"/>
    </xf>
    <xf numFmtId="0" fontId="0" fillId="0" borderId="47" xfId="0" applyFill="1" applyBorder="1"/>
    <xf numFmtId="0" fontId="0" fillId="0" borderId="47" xfId="0" applyFont="1" applyBorder="1" applyAlignment="1">
      <alignment horizontal="left" indent="1"/>
    </xf>
    <xf numFmtId="0" fontId="0" fillId="0" borderId="47" xfId="0" applyFont="1" applyBorder="1" applyAlignment="1">
      <alignment horizontal="left"/>
    </xf>
    <xf numFmtId="0" fontId="25" fillId="0" borderId="47" xfId="0" applyFont="1" applyBorder="1" applyAlignment="1">
      <alignment horizontal="left" vertical="center" wrapText="1" indent="1"/>
    </xf>
    <xf numFmtId="0" fontId="0" fillId="0" borderId="47" xfId="0" applyBorder="1" applyAlignment="1">
      <alignment horizontal="left" vertical="center" wrapText="1" indent="2"/>
    </xf>
    <xf numFmtId="0" fontId="0" fillId="0" borderId="47" xfId="0" applyFont="1" applyBorder="1" applyAlignment="1">
      <alignment horizontal="left" wrapText="1" indent="2"/>
    </xf>
    <xf numFmtId="0" fontId="25" fillId="0" borderId="47" xfId="0" applyFont="1" applyBorder="1" applyAlignment="1">
      <alignment horizontal="left" wrapText="1" indent="1"/>
    </xf>
    <xf numFmtId="0" fontId="0" fillId="0" borderId="47" xfId="0" applyFont="1" applyBorder="1" applyAlignment="1">
      <alignment horizontal="left" wrapText="1" indent="1"/>
    </xf>
    <xf numFmtId="0" fontId="2" fillId="0" borderId="47" xfId="0" applyFont="1" applyBorder="1" applyAlignment="1">
      <alignment horizontal="left" wrapText="1"/>
    </xf>
    <xf numFmtId="0" fontId="25" fillId="0" borderId="47" xfId="0" applyFont="1" applyBorder="1" applyAlignment="1">
      <alignment horizontal="left" indent="1"/>
    </xf>
    <xf numFmtId="0" fontId="25" fillId="0" borderId="47" xfId="0" applyFont="1" applyBorder="1" applyAlignment="1">
      <alignment horizontal="left" indent="2"/>
    </xf>
    <xf numFmtId="0" fontId="0" fillId="0" borderId="47" xfId="0" applyBorder="1" applyAlignment="1">
      <alignment horizontal="left" indent="3"/>
    </xf>
    <xf numFmtId="0" fontId="0" fillId="0" borderId="10" xfId="0" applyBorder="1" applyAlignment="1">
      <alignment horizontal="left"/>
    </xf>
    <xf numFmtId="0" fontId="0" fillId="0" borderId="10" xfId="0" applyFill="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Border="1"/>
    <xf numFmtId="9" fontId="0" fillId="0" borderId="10" xfId="0" applyNumberFormat="1" applyFont="1" applyFill="1" applyBorder="1" applyAlignment="1">
      <alignment horizontal="center"/>
    </xf>
    <xf numFmtId="3" fontId="0" fillId="0" borderId="10" xfId="0" applyNumberFormat="1" applyFont="1" applyBorder="1" applyAlignment="1">
      <alignment horizontal="center"/>
    </xf>
    <xf numFmtId="3" fontId="0" fillId="0" borderId="10" xfId="2" applyNumberFormat="1" applyFont="1" applyBorder="1" applyAlignment="1">
      <alignment horizontal="center"/>
    </xf>
    <xf numFmtId="166" fontId="0" fillId="0" borderId="10" xfId="2" applyNumberFormat="1" applyFont="1" applyBorder="1" applyAlignment="1">
      <alignment horizontal="center"/>
    </xf>
    <xf numFmtId="2" fontId="0" fillId="0" borderId="10" xfId="2" applyNumberFormat="1" applyFont="1" applyBorder="1" applyAlignment="1">
      <alignment horizontal="center"/>
    </xf>
    <xf numFmtId="9" fontId="0" fillId="0" borderId="10" xfId="0" applyNumberFormat="1" applyFill="1" applyBorder="1" applyAlignment="1">
      <alignment horizontal="center"/>
    </xf>
    <xf numFmtId="1" fontId="0" fillId="0" borderId="10" xfId="0" applyNumberFormat="1" applyFill="1" applyBorder="1" applyAlignment="1">
      <alignment horizontal="center"/>
    </xf>
    <xf numFmtId="3" fontId="0" fillId="0" borderId="10" xfId="0" applyNumberFormat="1" applyFill="1" applyBorder="1" applyAlignment="1">
      <alignment horizontal="center"/>
    </xf>
    <xf numFmtId="9" fontId="0" fillId="0" borderId="10" xfId="2" applyNumberFormat="1" applyFont="1" applyFill="1" applyBorder="1" applyAlignment="1">
      <alignment horizontal="center"/>
    </xf>
    <xf numFmtId="9" fontId="0" fillId="0" borderId="10" xfId="2" applyFont="1" applyFill="1" applyBorder="1" applyAlignment="1">
      <alignment horizontal="center"/>
    </xf>
    <xf numFmtId="2" fontId="0" fillId="0" borderId="10" xfId="2" applyNumberFormat="1" applyFont="1" applyFill="1" applyBorder="1" applyAlignment="1">
      <alignment horizontal="center"/>
    </xf>
    <xf numFmtId="9" fontId="0" fillId="0" borderId="10" xfId="0" applyNumberFormat="1" applyBorder="1" applyAlignment="1">
      <alignment horizontal="center"/>
    </xf>
    <xf numFmtId="9" fontId="0" fillId="0" borderId="10" xfId="2" applyFont="1" applyBorder="1" applyAlignment="1">
      <alignment horizontal="center"/>
    </xf>
    <xf numFmtId="9" fontId="0" fillId="0" borderId="10" xfId="2" applyFont="1" applyBorder="1" applyAlignment="1">
      <alignment horizontal="center" vertical="center"/>
    </xf>
    <xf numFmtId="9" fontId="0" fillId="0" borderId="10" xfId="0" applyNumberFormat="1" applyBorder="1" applyAlignment="1">
      <alignment horizontal="center" vertical="center"/>
    </xf>
    <xf numFmtId="166" fontId="0" fillId="0" borderId="10" xfId="0" applyNumberFormat="1" applyBorder="1" applyAlignment="1">
      <alignment horizontal="center" vertical="center"/>
    </xf>
    <xf numFmtId="10" fontId="0" fillId="0" borderId="10" xfId="0" applyNumberFormat="1" applyBorder="1" applyAlignment="1">
      <alignment horizontal="center" vertical="center"/>
    </xf>
    <xf numFmtId="11" fontId="0" fillId="0" borderId="10" xfId="0" applyNumberFormat="1" applyFill="1" applyBorder="1"/>
    <xf numFmtId="11" fontId="0" fillId="0" borderId="10" xfId="0" applyNumberFormat="1" applyFill="1" applyBorder="1" applyAlignment="1">
      <alignment horizontal="center"/>
    </xf>
    <xf numFmtId="11" fontId="0" fillId="14" borderId="10" xfId="0" applyNumberFormat="1" applyFill="1" applyBorder="1" applyAlignment="1">
      <alignment horizontal="center"/>
    </xf>
    <xf numFmtId="166" fontId="0" fillId="0" borderId="10" xfId="2" applyNumberFormat="1" applyFont="1" applyFill="1" applyBorder="1" applyAlignment="1">
      <alignment horizontal="center"/>
    </xf>
    <xf numFmtId="0" fontId="28" fillId="0" borderId="0" xfId="0" applyFont="1" applyAlignment="1">
      <alignment horizontal="left" wrapText="1"/>
    </xf>
    <xf numFmtId="0" fontId="2" fillId="0" borderId="0" xfId="0" applyFont="1" applyAlignment="1">
      <alignment horizontal="left" vertical="center"/>
    </xf>
    <xf numFmtId="0" fontId="2" fillId="0" borderId="44" xfId="0" applyFont="1" applyBorder="1" applyAlignment="1">
      <alignment horizontal="left" wrapText="1"/>
    </xf>
    <xf numFmtId="0" fontId="3" fillId="0" borderId="22" xfId="0" applyFont="1" applyBorder="1" applyAlignment="1">
      <alignment horizontal="center"/>
    </xf>
    <xf numFmtId="14" fontId="6" fillId="0" borderId="22" xfId="38" applyNumberFormat="1" applyFont="1" applyFill="1" applyBorder="1" applyAlignment="1">
      <alignment horizontal="center" vertical="center" wrapText="1"/>
    </xf>
    <xf numFmtId="0" fontId="90" fillId="0" borderId="22" xfId="0" applyFont="1" applyBorder="1"/>
    <xf numFmtId="8" fontId="90" fillId="0" borderId="22" xfId="0" applyNumberFormat="1" applyFont="1" applyBorder="1"/>
    <xf numFmtId="8" fontId="0" fillId="0" borderId="22" xfId="0" applyNumberFormat="1" applyBorder="1"/>
    <xf numFmtId="0" fontId="0" fillId="2" borderId="22" xfId="0" applyFill="1" applyBorder="1"/>
    <xf numFmtId="0" fontId="0" fillId="0" borderId="10" xfId="0" applyFill="1" applyBorder="1"/>
    <xf numFmtId="0" fontId="0" fillId="0" borderId="22" xfId="0" applyFill="1" applyBorder="1"/>
    <xf numFmtId="8" fontId="0" fillId="0" borderId="22" xfId="0" applyNumberFormat="1" applyFill="1" applyBorder="1"/>
    <xf numFmtId="0" fontId="0" fillId="0" borderId="0" xfId="0" applyAlignment="1">
      <alignment wrapText="1"/>
    </xf>
    <xf numFmtId="181" fontId="0" fillId="0" borderId="55" xfId="0" applyNumberFormat="1" applyBorder="1"/>
    <xf numFmtId="166" fontId="0" fillId="0" borderId="55" xfId="0" applyNumberFormat="1" applyFill="1" applyBorder="1" applyProtection="1">
      <protection locked="0"/>
    </xf>
    <xf numFmtId="166" fontId="90" fillId="0" borderId="22" xfId="0" applyNumberFormat="1" applyFont="1" applyBorder="1"/>
    <xf numFmtId="0" fontId="0" fillId="0" borderId="0" xfId="0" applyAlignment="1">
      <alignment wrapText="1"/>
    </xf>
    <xf numFmtId="176" fontId="0" fillId="0" borderId="0" xfId="0" applyNumberFormat="1" applyBorder="1"/>
    <xf numFmtId="0" fontId="6" fillId="0" borderId="45" xfId="38" applyFont="1" applyFill="1" applyBorder="1" applyAlignment="1">
      <alignment vertical="center" wrapText="1"/>
    </xf>
    <xf numFmtId="0" fontId="6" fillId="0" borderId="0" xfId="39" applyFont="1" applyBorder="1" applyAlignment="1">
      <alignment horizontal="left" wrapText="1"/>
    </xf>
    <xf numFmtId="14" fontId="6" fillId="0" borderId="45" xfId="38" applyNumberFormat="1" applyFont="1" applyFill="1" applyBorder="1" applyAlignment="1">
      <alignment horizontal="left" vertical="center" wrapText="1"/>
    </xf>
    <xf numFmtId="0" fontId="6" fillId="0" borderId="0" xfId="38" applyNumberFormat="1" applyFont="1" applyBorder="1" applyAlignment="1">
      <alignment horizontal="left" wrapText="1"/>
    </xf>
    <xf numFmtId="0" fontId="6" fillId="0" borderId="0" xfId="39" applyFont="1" applyBorder="1" applyAlignment="1">
      <alignment horizontal="left" vertical="top" wrapText="1"/>
    </xf>
    <xf numFmtId="0" fontId="6" fillId="0" borderId="0" xfId="39" applyNumberFormat="1" applyFont="1" applyBorder="1" applyAlignment="1">
      <alignment horizontal="left" wrapText="1"/>
    </xf>
    <xf numFmtId="0" fontId="11" fillId="0" borderId="0" xfId="4" applyFill="1" applyBorder="1" applyAlignment="1">
      <alignment vertical="top" wrapText="1"/>
    </xf>
    <xf numFmtId="0" fontId="10" fillId="0" borderId="82"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82" xfId="38" applyFont="1" applyBorder="1" applyAlignment="1">
      <alignment vertical="center" wrapText="1"/>
    </xf>
    <xf numFmtId="0" fontId="10" fillId="0" borderId="90" xfId="38" applyFont="1" applyBorder="1" applyAlignment="1">
      <alignment vertical="center" wrapText="1"/>
    </xf>
    <xf numFmtId="0" fontId="10" fillId="0" borderId="91" xfId="38" applyFont="1" applyBorder="1" applyAlignment="1">
      <alignment vertical="center" wrapText="1"/>
    </xf>
    <xf numFmtId="0" fontId="67" fillId="0" borderId="0" xfId="18" applyFont="1" applyFill="1" applyBorder="1" applyAlignment="1">
      <alignment horizontal="left" shrinkToFit="1"/>
    </xf>
    <xf numFmtId="0" fontId="6" fillId="0" borderId="21" xfId="38" applyFont="1" applyFill="1" applyBorder="1" applyAlignment="1"/>
    <xf numFmtId="0" fontId="6" fillId="0" borderId="42" xfId="38" applyFont="1" applyFill="1" applyBorder="1" applyAlignment="1"/>
    <xf numFmtId="0" fontId="6" fillId="0" borderId="41" xfId="38" applyFont="1" applyFill="1" applyBorder="1" applyAlignment="1">
      <alignment vertical="top" wrapText="1"/>
    </xf>
    <xf numFmtId="0" fontId="6" fillId="0" borderId="21" xfId="38" applyFont="1" applyFill="1" applyBorder="1" applyAlignment="1">
      <alignment vertical="top" wrapText="1"/>
    </xf>
    <xf numFmtId="0" fontId="6" fillId="0" borderId="42" xfId="38" applyFont="1" applyFill="1" applyBorder="1" applyAlignment="1">
      <alignment vertical="top" wrapText="1"/>
    </xf>
    <xf numFmtId="0" fontId="6" fillId="0" borderId="21" xfId="38" applyFont="1" applyFill="1" applyBorder="1" applyAlignment="1">
      <alignment vertical="center"/>
    </xf>
    <xf numFmtId="0" fontId="6" fillId="0" borderId="94" xfId="38" applyFont="1" applyFill="1" applyBorder="1" applyAlignment="1">
      <alignment vertical="center" wrapText="1"/>
    </xf>
    <xf numFmtId="0" fontId="6" fillId="0" borderId="0" xfId="39" applyFont="1" applyBorder="1" applyAlignment="1">
      <alignment wrapText="1"/>
    </xf>
    <xf numFmtId="0" fontId="79" fillId="0" borderId="88" xfId="0" applyFont="1" applyBorder="1" applyAlignment="1"/>
    <xf numFmtId="6" fontId="6" fillId="0" borderId="45" xfId="38" applyNumberFormat="1" applyFont="1" applyFill="1" applyBorder="1" applyAlignment="1">
      <alignment vertical="center" wrapText="1"/>
    </xf>
    <xf numFmtId="0" fontId="74" fillId="0" borderId="0" xfId="38" applyFont="1" applyAlignment="1">
      <alignment vertical="center"/>
    </xf>
    <xf numFmtId="0" fontId="78" fillId="0" borderId="0" xfId="38" applyFont="1" applyBorder="1" applyAlignment="1"/>
    <xf numFmtId="0" fontId="6" fillId="0" borderId="0" xfId="39" applyNumberFormat="1" applyFont="1" applyBorder="1" applyAlignment="1">
      <alignment wrapText="1"/>
    </xf>
    <xf numFmtId="0" fontId="6" fillId="0" borderId="7" xfId="38" applyFont="1" applyFill="1" applyBorder="1" applyAlignment="1">
      <alignment vertical="top" wrapText="1"/>
    </xf>
    <xf numFmtId="0" fontId="6" fillId="0" borderId="10" xfId="38" applyFont="1" applyFill="1" applyBorder="1" applyAlignment="1">
      <alignment vertical="top" wrapText="1"/>
    </xf>
    <xf numFmtId="0" fontId="6" fillId="0" borderId="14" xfId="38" applyFont="1" applyFill="1" applyBorder="1" applyAlignment="1">
      <alignment vertical="top" wrapText="1"/>
    </xf>
    <xf numFmtId="0" fontId="6" fillId="0" borderId="10" xfId="38" applyFont="1" applyFill="1" applyBorder="1" applyAlignment="1">
      <alignment vertical="center"/>
    </xf>
    <xf numFmtId="0" fontId="6" fillId="0" borderId="10" xfId="38" applyFont="1" applyFill="1" applyBorder="1" applyAlignment="1"/>
    <xf numFmtId="0" fontId="6" fillId="0" borderId="14" xfId="38" applyFont="1" applyFill="1" applyBorder="1" applyAlignment="1"/>
    <xf numFmtId="0" fontId="6" fillId="0" borderId="14" xfId="38" applyFont="1" applyFill="1" applyBorder="1" applyAlignment="1">
      <alignment horizontal="left" vertical="center" wrapText="1"/>
    </xf>
    <xf numFmtId="0" fontId="79" fillId="0" borderId="10" xfId="0" applyFont="1" applyBorder="1"/>
    <xf numFmtId="0" fontId="6" fillId="0" borderId="95" xfId="38" applyBorder="1"/>
    <xf numFmtId="0" fontId="84" fillId="0" borderId="0" xfId="38" applyFont="1" applyBorder="1" applyAlignment="1">
      <alignment vertical="center"/>
    </xf>
    <xf numFmtId="49" fontId="77" fillId="0" borderId="0" xfId="38" applyNumberFormat="1" applyFont="1" applyAlignment="1">
      <alignment horizontal="right"/>
    </xf>
    <xf numFmtId="0" fontId="6" fillId="0" borderId="0" xfId="38" applyBorder="1" applyAlignment="1">
      <alignment horizontal="left" vertical="top"/>
    </xf>
    <xf numFmtId="0" fontId="88" fillId="0" borderId="21" xfId="41" applyFont="1" applyBorder="1" applyAlignment="1">
      <alignment horizontal="center" vertical="center" wrapText="1"/>
    </xf>
    <xf numFmtId="0" fontId="88" fillId="0" borderId="0" xfId="41" applyFont="1" applyBorder="1" applyAlignment="1">
      <alignment horizontal="center" vertical="center" wrapText="1"/>
    </xf>
    <xf numFmtId="0" fontId="10" fillId="0" borderId="0" xfId="41" applyFont="1" applyFill="1" applyBorder="1" applyAlignment="1">
      <alignment horizontal="left" vertical="center" wrapText="1"/>
    </xf>
    <xf numFmtId="0" fontId="23" fillId="0" borderId="0" xfId="41" applyFont="1" applyAlignment="1">
      <alignment horizontal="left" vertical="top" wrapText="1"/>
    </xf>
    <xf numFmtId="0" fontId="6" fillId="0" borderId="0" xfId="41" applyFont="1" applyAlignment="1">
      <alignment horizontal="left" wrapText="1"/>
    </xf>
    <xf numFmtId="0" fontId="6" fillId="0" borderId="0" xfId="41" applyAlignment="1">
      <alignment horizontal="left" wrapText="1"/>
    </xf>
    <xf numFmtId="0" fontId="10" fillId="0" borderId="7" xfId="41" applyFont="1" applyFill="1" applyBorder="1" applyAlignment="1">
      <alignment horizontal="left" vertical="center"/>
    </xf>
    <xf numFmtId="0" fontId="10" fillId="0" borderId="84" xfId="41" applyFont="1" applyFill="1" applyBorder="1" applyAlignment="1">
      <alignment horizontal="left" vertical="center"/>
    </xf>
    <xf numFmtId="0" fontId="22" fillId="0" borderId="54" xfId="41" applyFont="1" applyBorder="1" applyAlignment="1">
      <alignment vertical="center"/>
    </xf>
    <xf numFmtId="0" fontId="22" fillId="0" borderId="55" xfId="41" applyFont="1" applyBorder="1" applyAlignment="1">
      <alignment vertical="center"/>
    </xf>
    <xf numFmtId="0" fontId="22" fillId="0" borderId="45" xfId="41" applyFont="1" applyBorder="1" applyAlignment="1">
      <alignment horizontal="center"/>
    </xf>
    <xf numFmtId="0" fontId="22" fillId="0" borderId="44" xfId="41" applyFont="1" applyBorder="1" applyAlignment="1">
      <alignment horizontal="center"/>
    </xf>
    <xf numFmtId="49" fontId="77" fillId="0" borderId="0" xfId="38" applyNumberFormat="1" applyFont="1" applyAlignment="1">
      <alignment horizontal="right"/>
    </xf>
    <xf numFmtId="164" fontId="0" fillId="0" borderId="0" xfId="1" applyNumberFormat="1" applyFont="1" applyBorder="1" applyAlignment="1">
      <alignment horizontal="right" vertical="center" wrapText="1"/>
    </xf>
    <xf numFmtId="0" fontId="0" fillId="11" borderId="49" xfId="0" applyFill="1" applyBorder="1" applyAlignment="1">
      <alignment horizontal="center"/>
    </xf>
    <xf numFmtId="9" fontId="0" fillId="0" borderId="53" xfId="2" applyFont="1" applyBorder="1" applyAlignment="1">
      <alignment horizontal="center" vertical="center"/>
    </xf>
    <xf numFmtId="9" fontId="0" fillId="0" borderId="52" xfId="2" applyFont="1" applyBorder="1" applyAlignment="1">
      <alignment horizontal="center" vertical="center"/>
    </xf>
    <xf numFmtId="0" fontId="99" fillId="0" borderId="0" xfId="0" applyFont="1" applyBorder="1" applyAlignment="1">
      <alignment horizontal="left"/>
    </xf>
    <xf numFmtId="0" fontId="99" fillId="0" borderId="0" xfId="0" applyFont="1" applyAlignment="1">
      <alignment horizontal="left"/>
    </xf>
    <xf numFmtId="0" fontId="99" fillId="0" borderId="0" xfId="0" applyFont="1" applyBorder="1" applyAlignment="1">
      <alignment horizontal="left" vertical="center"/>
    </xf>
    <xf numFmtId="0" fontId="8" fillId="0" borderId="21" xfId="0" applyFont="1" applyBorder="1" applyAlignment="1">
      <alignment horizontal="center" wrapText="1"/>
    </xf>
    <xf numFmtId="0" fontId="8" fillId="0" borderId="42" xfId="0" applyFont="1" applyBorder="1" applyAlignment="1">
      <alignment horizontal="center" wrapText="1"/>
    </xf>
    <xf numFmtId="0" fontId="8" fillId="0" borderId="10" xfId="0" applyFont="1" applyBorder="1" applyAlignment="1">
      <alignment horizontal="center" wrapText="1"/>
    </xf>
    <xf numFmtId="0" fontId="8" fillId="0" borderId="14" xfId="0" applyFont="1" applyBorder="1" applyAlignment="1">
      <alignment horizontal="center" wrapText="1"/>
    </xf>
    <xf numFmtId="0" fontId="0" fillId="0" borderId="0" xfId="0" applyAlignment="1">
      <alignment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3" fontId="0" fillId="0" borderId="1" xfId="1" applyNumberFormat="1" applyFont="1" applyBorder="1" applyAlignment="1">
      <alignment horizontal="center"/>
    </xf>
    <xf numFmtId="3" fontId="0" fillId="0" borderId="0" xfId="1"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quotePrefix="1" applyFont="1" applyBorder="1" applyAlignment="1">
      <alignment horizontal="center"/>
    </xf>
    <xf numFmtId="0" fontId="2" fillId="0" borderId="5" xfId="0" quotePrefix="1" applyFont="1" applyBorder="1" applyAlignment="1">
      <alignment horizont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6" xfId="0" applyBorder="1" applyAlignment="1">
      <alignment horizontal="center" wrapText="1"/>
    </xf>
    <xf numFmtId="0" fontId="7" fillId="0" borderId="0" xfId="0" applyFont="1" applyFill="1"/>
    <xf numFmtId="0" fontId="2" fillId="0" borderId="6" xfId="0" quotePrefix="1" applyFont="1" applyBorder="1" applyAlignment="1">
      <alignment horizontal="center"/>
    </xf>
    <xf numFmtId="0" fontId="10" fillId="0" borderId="0" xfId="0" applyFont="1" applyFill="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3" fillId="0" borderId="0" xfId="0" applyFont="1" applyAlignment="1">
      <alignment wrapText="1"/>
    </xf>
    <xf numFmtId="49" fontId="77" fillId="0" borderId="0" xfId="38" applyNumberFormat="1" applyFont="1" applyAlignment="1">
      <alignment horizontal="left"/>
    </xf>
    <xf numFmtId="164" fontId="90" fillId="0" borderId="0" xfId="1" applyNumberFormat="1" applyFont="1" applyFill="1"/>
    <xf numFmtId="0" fontId="0" fillId="11" borderId="0" xfId="0" applyFill="1" applyBorder="1" applyAlignment="1">
      <alignment horizontal="center"/>
    </xf>
    <xf numFmtId="0" fontId="2" fillId="0" borderId="42"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5" fillId="0" borderId="50" xfId="0" applyFont="1" applyBorder="1" applyAlignment="1">
      <alignment horizontal="center" wrapText="1"/>
    </xf>
    <xf numFmtId="0" fontId="25" fillId="0" borderId="13" xfId="0" applyFont="1" applyBorder="1" applyAlignment="1">
      <alignment horizontal="center" wrapText="1"/>
    </xf>
    <xf numFmtId="0" fontId="29" fillId="0" borderId="13" xfId="0" applyFont="1" applyBorder="1" applyAlignment="1">
      <alignment horizontal="center" vertical="center" wrapText="1"/>
    </xf>
    <xf numFmtId="0" fontId="99" fillId="0" borderId="0" xfId="0" applyFont="1" applyAlignment="1">
      <alignment horizontal="left" vertical="top" wrapText="1"/>
    </xf>
    <xf numFmtId="0" fontId="90" fillId="0" borderId="0" xfId="0" applyFont="1" applyFill="1"/>
    <xf numFmtId="0" fontId="29" fillId="0" borderId="13" xfId="0" applyFont="1" applyBorder="1" applyAlignment="1">
      <alignment horizontal="center" wrapText="1"/>
    </xf>
    <xf numFmtId="0" fontId="98" fillId="0" borderId="21" xfId="0" applyFont="1" applyBorder="1" applyAlignment="1">
      <alignment horizontal="left"/>
    </xf>
    <xf numFmtId="0" fontId="98" fillId="0" borderId="0" xfId="0" applyFont="1" applyBorder="1" applyAlignment="1">
      <alignment horizontal="left"/>
    </xf>
    <xf numFmtId="0" fontId="33" fillId="0" borderId="45" xfId="0" applyFont="1" applyBorder="1" applyAlignment="1">
      <alignment horizontal="left" vertical="top" wrapText="1"/>
    </xf>
    <xf numFmtId="0" fontId="33" fillId="0" borderId="44" xfId="0" applyFont="1" applyBorder="1" applyAlignment="1">
      <alignment horizontal="left" vertical="top" wrapText="1"/>
    </xf>
    <xf numFmtId="0" fontId="33" fillId="0" borderId="43" xfId="0" applyFont="1" applyBorder="1" applyAlignment="1">
      <alignment horizontal="left" vertical="top" wrapText="1"/>
    </xf>
    <xf numFmtId="0" fontId="98" fillId="0" borderId="45" xfId="0" applyFont="1" applyBorder="1" applyAlignment="1">
      <alignment horizontal="left" vertical="center" wrapText="1"/>
    </xf>
    <xf numFmtId="0" fontId="98" fillId="0" borderId="44" xfId="0" applyFont="1" applyBorder="1" applyAlignment="1">
      <alignment horizontal="left" vertical="center" wrapText="1"/>
    </xf>
    <xf numFmtId="0" fontId="98" fillId="0" borderId="21" xfId="0" applyFont="1" applyBorder="1" applyAlignment="1">
      <alignment horizontal="left" vertical="top" wrapText="1"/>
    </xf>
    <xf numFmtId="0" fontId="98" fillId="0" borderId="0" xfId="0" applyFont="1" applyBorder="1" applyAlignment="1">
      <alignment horizontal="left" vertical="top" wrapText="1"/>
    </xf>
    <xf numFmtId="0" fontId="98" fillId="0" borderId="41" xfId="0" applyFont="1" applyBorder="1" applyAlignment="1">
      <alignment horizontal="left"/>
    </xf>
    <xf numFmtId="0" fontId="98" fillId="0" borderId="50" xfId="0" applyFont="1" applyBorder="1" applyAlignment="1">
      <alignment horizontal="left"/>
    </xf>
    <xf numFmtId="9" fontId="0" fillId="0" borderId="10" xfId="0" applyNumberFormat="1" applyFont="1" applyFill="1" applyBorder="1" applyAlignment="1">
      <alignment horizontal="center" vertical="center"/>
    </xf>
    <xf numFmtId="0" fontId="0" fillId="0" borderId="0" xfId="0" applyBorder="1" applyAlignment="1">
      <alignment horizontal="center"/>
    </xf>
    <xf numFmtId="0" fontId="28" fillId="0" borderId="0" xfId="0" applyFont="1" applyFill="1" applyBorder="1"/>
    <xf numFmtId="0" fontId="0" fillId="0" borderId="0" xfId="0" applyAlignment="1">
      <alignment horizontal="left" wrapText="1"/>
    </xf>
    <xf numFmtId="0" fontId="20" fillId="13" borderId="0" xfId="17" applyFont="1" applyFill="1" applyAlignment="1">
      <alignment horizontal="center"/>
    </xf>
    <xf numFmtId="0" fontId="40" fillId="0" borderId="0" xfId="17" applyFont="1" applyBorder="1" applyAlignment="1">
      <alignment horizontal="left" vertical="center"/>
    </xf>
    <xf numFmtId="0" fontId="20" fillId="2" borderId="13" xfId="17" applyFont="1" applyFill="1" applyBorder="1" applyAlignment="1">
      <alignment horizontal="center"/>
    </xf>
    <xf numFmtId="0" fontId="20" fillId="27" borderId="0" xfId="17" applyFont="1" applyFill="1" applyAlignment="1">
      <alignment horizontal="center"/>
    </xf>
    <xf numFmtId="0" fontId="20" fillId="21" borderId="13" xfId="17" applyFont="1" applyFill="1" applyBorder="1" applyAlignment="1">
      <alignment horizontal="center"/>
    </xf>
    <xf numFmtId="0" fontId="20" fillId="6" borderId="0" xfId="17" applyFont="1" applyFill="1" applyAlignment="1">
      <alignment horizontal="center"/>
    </xf>
    <xf numFmtId="2" fontId="20" fillId="25" borderId="13" xfId="17" applyNumberFormat="1" applyFont="1" applyFill="1" applyBorder="1" applyAlignment="1">
      <alignment horizontal="center"/>
    </xf>
    <xf numFmtId="0" fontId="20" fillId="24" borderId="13" xfId="17" applyFont="1" applyFill="1" applyBorder="1" applyAlignment="1">
      <alignment horizontal="center"/>
    </xf>
    <xf numFmtId="0" fontId="20" fillId="7" borderId="13" xfId="17" applyFont="1" applyFill="1" applyBorder="1" applyAlignment="1">
      <alignment horizontal="center"/>
    </xf>
    <xf numFmtId="0" fontId="20" fillId="22" borderId="0" xfId="17" applyFont="1" applyFill="1" applyAlignment="1">
      <alignment horizontal="center"/>
    </xf>
    <xf numFmtId="0" fontId="20" fillId="26" borderId="0" xfId="17" applyFont="1" applyFill="1" applyAlignment="1">
      <alignment horizontal="center" wrapText="1"/>
    </xf>
    <xf numFmtId="2" fontId="20" fillId="26" borderId="0" xfId="17" applyNumberFormat="1" applyFont="1" applyFill="1" applyAlignment="1">
      <alignment horizontal="center"/>
    </xf>
    <xf numFmtId="0" fontId="0" fillId="0" borderId="13" xfId="0" applyBorder="1" applyAlignment="1">
      <alignment horizontal="center"/>
    </xf>
    <xf numFmtId="0" fontId="67" fillId="0" borderId="73" xfId="18" applyFont="1" applyFill="1" applyBorder="1" applyAlignment="1">
      <alignment horizontal="center" wrapText="1"/>
    </xf>
    <xf numFmtId="0" fontId="74" fillId="0" borderId="0" xfId="18" applyFont="1" applyFill="1" applyBorder="1" applyAlignment="1">
      <alignment horizontal="right"/>
    </xf>
    <xf numFmtId="0" fontId="22" fillId="0" borderId="0" xfId="18" applyFont="1" applyFill="1" applyBorder="1" applyAlignment="1">
      <alignment horizontal="center"/>
    </xf>
    <xf numFmtId="0" fontId="74" fillId="0" borderId="0" xfId="18" applyFont="1" applyFill="1" applyBorder="1" applyAlignment="1">
      <alignment horizontal="center" vertical="center"/>
    </xf>
    <xf numFmtId="0" fontId="71" fillId="0" borderId="0" xfId="18" applyFont="1" applyBorder="1" applyAlignment="1">
      <alignment horizontal="center" vertical="center"/>
    </xf>
    <xf numFmtId="0" fontId="102" fillId="0" borderId="0" xfId="0" applyFont="1" applyAlignment="1">
      <alignment vertical="top" wrapText="1"/>
    </xf>
    <xf numFmtId="0" fontId="6" fillId="0" borderId="0" xfId="39" applyFont="1" applyBorder="1" applyAlignment="1">
      <alignment horizontal="left" vertical="top" wrapText="1"/>
    </xf>
    <xf numFmtId="0" fontId="6" fillId="0" borderId="0" xfId="39" applyNumberFormat="1" applyFont="1" applyFill="1" applyBorder="1" applyAlignment="1">
      <alignment horizontal="left" vertical="top" wrapText="1"/>
    </xf>
  </cellXfs>
  <cellStyles count="45">
    <cellStyle name="Assumption" xfId="5" xr:uid="{00000000-0005-0000-0000-000000000000}"/>
    <cellStyle name="Comma" xfId="1" builtinId="3"/>
    <cellStyle name="Comma 2" xfId="6" xr:uid="{00000000-0005-0000-0000-000002000000}"/>
    <cellStyle name="Comma 2 2" xfId="30" xr:uid="{00000000-0005-0000-0000-000003000000}"/>
    <cellStyle name="Comma 2 3" xfId="31" xr:uid="{00000000-0005-0000-0000-000004000000}"/>
    <cellStyle name="Comma 3" xfId="7" xr:uid="{00000000-0005-0000-0000-000005000000}"/>
    <cellStyle name="Comma 3 2" xfId="32" xr:uid="{00000000-0005-0000-0000-000006000000}"/>
    <cellStyle name="Comma 4" xfId="8" xr:uid="{00000000-0005-0000-0000-000007000000}"/>
    <cellStyle name="Comma 5" xfId="33" xr:uid="{00000000-0005-0000-0000-000008000000}"/>
    <cellStyle name="Comma0" xfId="9" xr:uid="{00000000-0005-0000-0000-000009000000}"/>
    <cellStyle name="Currency" xfId="26" builtinId="4"/>
    <cellStyle name="Currency 2" xfId="10" xr:uid="{00000000-0005-0000-0000-00000B000000}"/>
    <cellStyle name="Currency0" xfId="11" xr:uid="{00000000-0005-0000-0000-00000C000000}"/>
    <cellStyle name="Date" xfId="12" xr:uid="{00000000-0005-0000-0000-00000D000000}"/>
    <cellStyle name="Fixed" xfId="13" xr:uid="{00000000-0005-0000-0000-00000E000000}"/>
    <cellStyle name="Heading" xfId="14" xr:uid="{00000000-0005-0000-0000-00000F000000}"/>
    <cellStyle name="Hyperlink" xfId="4" builtinId="8"/>
    <cellStyle name="Hyperlink 2" xfId="15" xr:uid="{00000000-0005-0000-0000-000011000000}"/>
    <cellStyle name="Hyperlink 3" xfId="34" xr:uid="{00000000-0005-0000-0000-000012000000}"/>
    <cellStyle name="Hyperlink_Mongolia Health ERR.IM Cleaned - v15" xfId="44" xr:uid="{00000000-0005-0000-0000-000013000000}"/>
    <cellStyle name="Microsoft Excel found an error in the formula you entered. Do you want to accept the correction proposed below?_x000a__x000a_|_x000a__x000a_• To accept the correction, click Yes._x000a_• To close this message and correct the formula yourself, click No." xfId="16" xr:uid="{00000000-0005-0000-0000-000014000000}"/>
    <cellStyle name="Normal" xfId="0" builtinId="0"/>
    <cellStyle name="Normal 2" xfId="17" xr:uid="{00000000-0005-0000-0000-000016000000}"/>
    <cellStyle name="Normal 2 2" xfId="18" xr:uid="{00000000-0005-0000-0000-000017000000}"/>
    <cellStyle name="Normal 2 3" xfId="19" xr:uid="{00000000-0005-0000-0000-000018000000}"/>
    <cellStyle name="Normal 2 4" xfId="35" xr:uid="{00000000-0005-0000-0000-000019000000}"/>
    <cellStyle name="Normal 3" xfId="20" xr:uid="{00000000-0005-0000-0000-00001A000000}"/>
    <cellStyle name="Normal 4" xfId="3" xr:uid="{00000000-0005-0000-0000-00001B000000}"/>
    <cellStyle name="Normal 5" xfId="27" xr:uid="{00000000-0005-0000-0000-00001C000000}"/>
    <cellStyle name="Normal 6" xfId="29" xr:uid="{00000000-0005-0000-0000-00001D000000}"/>
    <cellStyle name="Normal_ConsolidatedAg_IM_Clean" xfId="38" xr:uid="{00000000-0005-0000-0000-00001E000000}"/>
    <cellStyle name="Normal_ConsolidatedAg_IM_Clean - v3" xfId="40" xr:uid="{00000000-0005-0000-0000-00001F000000}"/>
    <cellStyle name="Normal_FeederRoadAnalysis_IM_Clean - v4" xfId="39" xr:uid="{00000000-0005-0000-0000-000020000000}"/>
    <cellStyle name="Normal_Mongolia Health ERR.IM Cleaned - v15" xfId="41" xr:uid="{00000000-0005-0000-0000-000021000000}"/>
    <cellStyle name="Normal_Mongolia Rail ERR.IM Cleaned" xfId="42" xr:uid="{00000000-0005-0000-0000-000022000000}"/>
    <cellStyle name="Normal_Sheet1" xfId="36" xr:uid="{00000000-0005-0000-0000-000023000000}"/>
    <cellStyle name="Normal_Sheet2" xfId="37" xr:uid="{00000000-0005-0000-0000-000024000000}"/>
    <cellStyle name="Percent" xfId="2" builtinId="5"/>
    <cellStyle name="Percent 2" xfId="21" xr:uid="{00000000-0005-0000-0000-000026000000}"/>
    <cellStyle name="Percent 3" xfId="22" xr:uid="{00000000-0005-0000-0000-000027000000}"/>
    <cellStyle name="Percent 4" xfId="28" xr:uid="{00000000-0005-0000-0000-000028000000}"/>
    <cellStyle name="Percent 4 2" xfId="43" xr:uid="{00000000-0005-0000-0000-000029000000}"/>
    <cellStyle name="Stub" xfId="23" xr:uid="{00000000-0005-0000-0000-00002A000000}"/>
    <cellStyle name="Top" xfId="24" xr:uid="{00000000-0005-0000-0000-00002B000000}"/>
    <cellStyle name="Totals" xfId="25" xr:uid="{00000000-0005-0000-0000-00002C000000}"/>
  </cellStyles>
  <dxfs count="6">
    <dxf>
      <font>
        <condense val="0"/>
        <extend val="0"/>
        <color indexed="10"/>
      </font>
    </dxf>
    <dxf>
      <font>
        <condense val="0"/>
        <extend val="0"/>
        <color indexed="9"/>
      </font>
      <fill>
        <patternFill patternType="none">
          <bgColor indexed="65"/>
        </patternFill>
      </fill>
    </dxf>
    <dxf>
      <fill>
        <patternFill>
          <bgColor rgb="FF00B050"/>
        </patternFill>
      </fill>
    </dxf>
    <dxf>
      <fill>
        <patternFill>
          <bgColor rgb="FFFF0000"/>
        </patternFill>
      </fill>
    </dxf>
    <dxf>
      <font>
        <condense val="0"/>
        <extend val="0"/>
        <color indexed="10"/>
      </font>
    </dxf>
    <dxf>
      <font>
        <condense val="0"/>
        <extend val="0"/>
        <color indexed="9"/>
      </font>
      <fill>
        <patternFill patternType="none">
          <bgColor indexed="6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externalLink" Target="externalLinks/externalLink4.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externalLink" Target="externalLinks/externalLink1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externalLink" Target="externalLinks/externalLink7.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externalLink" Target="externalLinks/externalLink9.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Undiscounted Net Annual Benefits of Zambia Water Activities</a:t>
            </a:r>
            <a:endParaRPr lang="en-US"/>
          </a:p>
        </c:rich>
      </c:tx>
      <c:layout>
        <c:manualLayout>
          <c:xMode val="edge"/>
          <c:yMode val="edge"/>
          <c:x val="0.10423049391553328"/>
          <c:y val="6.0186312531829045E-2"/>
        </c:manualLayout>
      </c:layout>
      <c:overlay val="0"/>
    </c:title>
    <c:autoTitleDeleted val="0"/>
    <c:plotArea>
      <c:layout>
        <c:manualLayout>
          <c:layoutTarget val="inner"/>
          <c:xMode val="edge"/>
          <c:yMode val="edge"/>
          <c:x val="7.829986181734766E-2"/>
          <c:y val="0.20895522388059701"/>
          <c:w val="0.89261842471776331"/>
          <c:h val="0.62089552238805967"/>
        </c:manualLayout>
      </c:layout>
      <c:areaChart>
        <c:grouping val="standard"/>
        <c:varyColors val="0"/>
        <c:ser>
          <c:idx val="0"/>
          <c:order val="0"/>
          <c:tx>
            <c:strRef>
              <c:f>'Cost-Benefit Summary'!$C$7:$V$7</c:f>
              <c:strCach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strCache>
            </c:strRef>
          </c:tx>
          <c:cat>
            <c:numLit>
              <c:formatCode>General</c:formatCode>
              <c:ptCount val="21"/>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numLit>
          </c:cat>
          <c:val>
            <c:numRef>
              <c:f>'Cost-Benefit Summary'!$C$10:$V$10</c:f>
              <c:numCache>
                <c:formatCode>General</c:formatCode>
                <c:ptCount val="20"/>
                <c:pt idx="0">
                  <c:v>-19.973621044529942</c:v>
                </c:pt>
                <c:pt idx="1">
                  <c:v>-65.018921716330851</c:v>
                </c:pt>
                <c:pt idx="2">
                  <c:v>-97.409446234660805</c:v>
                </c:pt>
                <c:pt idx="3">
                  <c:v>-87.426310374866659</c:v>
                </c:pt>
                <c:pt idx="4">
                  <c:v>90.538773366286833</c:v>
                </c:pt>
                <c:pt idx="5">
                  <c:v>26.727716002726851</c:v>
                </c:pt>
                <c:pt idx="6">
                  <c:v>14.791981778687495</c:v>
                </c:pt>
                <c:pt idx="7">
                  <c:v>16.350313917066906</c:v>
                </c:pt>
                <c:pt idx="8">
                  <c:v>20.045858273302187</c:v>
                </c:pt>
                <c:pt idx="9">
                  <c:v>23.632695447387903</c:v>
                </c:pt>
                <c:pt idx="10">
                  <c:v>24.58859899173212</c:v>
                </c:pt>
                <c:pt idx="11">
                  <c:v>28.084578240942307</c:v>
                </c:pt>
                <c:pt idx="12">
                  <c:v>25.915733831508646</c:v>
                </c:pt>
                <c:pt idx="13">
                  <c:v>191.38061289064061</c:v>
                </c:pt>
                <c:pt idx="14">
                  <c:v>26.405290369061603</c:v>
                </c:pt>
                <c:pt idx="15">
                  <c:v>29.726455639124524</c:v>
                </c:pt>
                <c:pt idx="16">
                  <c:v>28.976585675187586</c:v>
                </c:pt>
                <c:pt idx="17">
                  <c:v>28.51399253326764</c:v>
                </c:pt>
                <c:pt idx="18">
                  <c:v>28.479986882590616</c:v>
                </c:pt>
                <c:pt idx="19">
                  <c:v>29.532539828267119</c:v>
                </c:pt>
              </c:numCache>
            </c:numRef>
          </c:val>
          <c:extLst>
            <c:ext xmlns:c16="http://schemas.microsoft.com/office/drawing/2014/chart" uri="{C3380CC4-5D6E-409C-BE32-E72D297353CC}">
              <c16:uniqueId val="{00000000-4E56-4593-B5FF-1086A786503D}"/>
            </c:ext>
          </c:extLst>
        </c:ser>
        <c:dLbls>
          <c:showLegendKey val="0"/>
          <c:showVal val="0"/>
          <c:showCatName val="0"/>
          <c:showSerName val="0"/>
          <c:showPercent val="0"/>
          <c:showBubbleSize val="0"/>
        </c:dLbls>
        <c:axId val="227936704"/>
        <c:axId val="227936312"/>
      </c:areaChart>
      <c:catAx>
        <c:axId val="22793670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sz="1200"/>
                  <a:t>Year</a:t>
                </a:r>
              </a:p>
            </c:rich>
          </c:tx>
          <c:layout>
            <c:manualLayout>
              <c:xMode val="edge"/>
              <c:yMode val="edge"/>
              <c:x val="0.50223765211166782"/>
              <c:y val="0.90926575802390186"/>
            </c:manualLayout>
          </c:layout>
          <c:overlay val="0"/>
        </c:title>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7936312"/>
        <c:crosses val="autoZero"/>
        <c:auto val="1"/>
        <c:lblAlgn val="ctr"/>
        <c:lblOffset val="100"/>
        <c:tickLblSkip val="2"/>
        <c:tickMarkSkip val="1"/>
        <c:noMultiLvlLbl val="0"/>
      </c:catAx>
      <c:valAx>
        <c:axId val="227936312"/>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US$ (millions)</a:t>
                </a:r>
              </a:p>
            </c:rich>
          </c:tx>
          <c:layout>
            <c:manualLayout>
              <c:xMode val="edge"/>
              <c:yMode val="edge"/>
              <c:x val="7.7818015862280354E-3"/>
              <c:y val="0.38341932216718067"/>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7936704"/>
        <c:crosses val="autoZero"/>
        <c:crossBetween val="midCat"/>
      </c:valAx>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horizontalDpi="200"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Benefits!$B$40:$B$44</c:f>
              <c:strCache>
                <c:ptCount val="5"/>
                <c:pt idx="0">
                  <c:v>Health</c:v>
                </c:pt>
                <c:pt idx="1">
                  <c:v>Time Savings</c:v>
                </c:pt>
                <c:pt idx="2">
                  <c:v>Non-revenue Water</c:v>
                </c:pt>
                <c:pt idx="3">
                  <c:v>Avoided Property Damage</c:v>
                </c:pt>
                <c:pt idx="4">
                  <c:v>Avoided Loss in Value Added</c:v>
                </c:pt>
              </c:strCache>
            </c:strRef>
          </c:cat>
          <c:val>
            <c:numRef>
              <c:f>Benefits!$C$40:$C$44</c:f>
              <c:numCache>
                <c:formatCode>0%</c:formatCode>
                <c:ptCount val="5"/>
                <c:pt idx="0">
                  <c:v>0</c:v>
                </c:pt>
                <c:pt idx="1">
                  <c:v>0.35617132849490762</c:v>
                </c:pt>
                <c:pt idx="2">
                  <c:v>0</c:v>
                </c:pt>
                <c:pt idx="3" formatCode="0.0%">
                  <c:v>5.5773573440305911E-3</c:v>
                </c:pt>
                <c:pt idx="4" formatCode="0.0%">
                  <c:v>1.6954493040032024E-2</c:v>
                </c:pt>
              </c:numCache>
            </c:numRef>
          </c:val>
          <c:extLst>
            <c:ext xmlns:c16="http://schemas.microsoft.com/office/drawing/2014/chart" uri="{C3380CC4-5D6E-409C-BE32-E72D297353CC}">
              <c16:uniqueId val="{00000000-ADF3-401E-968F-02A8521F6959}"/>
            </c:ext>
          </c:extLst>
        </c:ser>
        <c:dLbls>
          <c:showLegendKey val="0"/>
          <c:showVal val="0"/>
          <c:showCatName val="0"/>
          <c:showSerName val="0"/>
          <c:showPercent val="0"/>
          <c:showBubbleSize val="0"/>
          <c:showLeaderLines val="0"/>
        </c:dLbls>
        <c:firstSliceAng val="0"/>
      </c:pieChart>
    </c:plotArea>
    <c:legend>
      <c:legendPos val="r"/>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'Barchart Data'!$A$28</c:f>
              <c:strCache>
                <c:ptCount val="1"/>
                <c:pt idx="0">
                  <c:v>CE for income &lt;$1.25/day</c:v>
                </c:pt>
              </c:strCache>
            </c:strRef>
          </c:tx>
          <c:spPr>
            <a:solidFill>
              <a:schemeClr val="accent1"/>
            </a:solidFill>
            <a:ln>
              <a:noFill/>
            </a:ln>
            <a:effectLst/>
          </c:spPr>
          <c:invertIfNegative val="0"/>
          <c:cat>
            <c:strRef>
              <c:f>'Barchart Data'!$B$27:$C$27</c:f>
              <c:strCache>
                <c:ptCount val="2"/>
                <c:pt idx="0">
                  <c:v>LWSSC</c:v>
                </c:pt>
                <c:pt idx="1">
                  <c:v>National Income Distribution</c:v>
                </c:pt>
              </c:strCache>
            </c:strRef>
          </c:cat>
          <c:val>
            <c:numRef>
              <c:f>'Barchart Data'!$B$28:$C$28</c:f>
              <c:numCache>
                <c:formatCode>_(* #,##0.00_);_(* \(#,##0.00\);_(* "-"??_);_(@_)</c:formatCode>
                <c:ptCount val="2"/>
                <c:pt idx="0" formatCode="#,##0.00_);[Red]\(#,##0.00\)">
                  <c:v>0.43247402136159929</c:v>
                </c:pt>
                <c:pt idx="1">
                  <c:v>4.1135175380242167E-2</c:v>
                </c:pt>
              </c:numCache>
            </c:numRef>
          </c:val>
          <c:extLst>
            <c:ext xmlns:c16="http://schemas.microsoft.com/office/drawing/2014/chart" uri="{C3380CC4-5D6E-409C-BE32-E72D297353CC}">
              <c16:uniqueId val="{00000000-FA96-4AE9-A950-9A4EC8C39106}"/>
            </c:ext>
          </c:extLst>
        </c:ser>
        <c:ser>
          <c:idx val="1"/>
          <c:order val="1"/>
          <c:tx>
            <c:strRef>
              <c:f>'Barchart Data'!$A$29</c:f>
              <c:strCache>
                <c:ptCount val="1"/>
                <c:pt idx="0">
                  <c:v>CE for income &gt;=$1.25/day and &lt;$2/day</c:v>
                </c:pt>
              </c:strCache>
            </c:strRef>
          </c:tx>
          <c:spPr>
            <a:solidFill>
              <a:schemeClr val="accent2"/>
            </a:solidFill>
            <a:ln>
              <a:noFill/>
            </a:ln>
            <a:effectLst/>
          </c:spPr>
          <c:invertIfNegative val="0"/>
          <c:cat>
            <c:strRef>
              <c:f>'Barchart Data'!$B$27:$C$27</c:f>
              <c:strCache>
                <c:ptCount val="2"/>
                <c:pt idx="0">
                  <c:v>LWSSC</c:v>
                </c:pt>
                <c:pt idx="1">
                  <c:v>National Income Distribution</c:v>
                </c:pt>
              </c:strCache>
            </c:strRef>
          </c:cat>
          <c:val>
            <c:numRef>
              <c:f>'Barchart Data'!$B$29:$C$29</c:f>
              <c:numCache>
                <c:formatCode>_(* #,##0.00_);_(* \(#,##0.00\);_(* "-"??_);_(@_)</c:formatCode>
                <c:ptCount val="2"/>
                <c:pt idx="0" formatCode="#,##0.00_);[Red]\(#,##0.00\)">
                  <c:v>0.12031835924800784</c:v>
                </c:pt>
                <c:pt idx="1">
                  <c:v>0.11042876637732524</c:v>
                </c:pt>
              </c:numCache>
            </c:numRef>
          </c:val>
          <c:extLst>
            <c:ext xmlns:c16="http://schemas.microsoft.com/office/drawing/2014/chart" uri="{C3380CC4-5D6E-409C-BE32-E72D297353CC}">
              <c16:uniqueId val="{00000001-FA96-4AE9-A950-9A4EC8C39106}"/>
            </c:ext>
          </c:extLst>
        </c:ser>
        <c:ser>
          <c:idx val="2"/>
          <c:order val="2"/>
          <c:tx>
            <c:strRef>
              <c:f>'Barchart Data'!$A$30</c:f>
              <c:strCache>
                <c:ptCount val="1"/>
                <c:pt idx="0">
                  <c:v>CE for income &gt;=$2/day and &lt;$4/day</c:v>
                </c:pt>
              </c:strCache>
            </c:strRef>
          </c:tx>
          <c:spPr>
            <a:solidFill>
              <a:schemeClr val="accent3"/>
            </a:solidFill>
            <a:ln>
              <a:noFill/>
            </a:ln>
            <a:effectLst/>
          </c:spPr>
          <c:invertIfNegative val="0"/>
          <c:cat>
            <c:strRef>
              <c:f>'Barchart Data'!$B$27:$C$27</c:f>
              <c:strCache>
                <c:ptCount val="2"/>
                <c:pt idx="0">
                  <c:v>LWSSC</c:v>
                </c:pt>
                <c:pt idx="1">
                  <c:v>National Income Distribution</c:v>
                </c:pt>
              </c:strCache>
            </c:strRef>
          </c:cat>
          <c:val>
            <c:numRef>
              <c:f>'Barchart Data'!$B$30:$C$30</c:f>
              <c:numCache>
                <c:formatCode>_(* #,##0.00_);_(* \(#,##0.00\);_(* "-"??_);_(@_)</c:formatCode>
                <c:ptCount val="2"/>
                <c:pt idx="0" formatCode="#,##0.00_);[Red]\(#,##0.00\)">
                  <c:v>0.13954854317382412</c:v>
                </c:pt>
                <c:pt idx="1">
                  <c:v>0.1919816516964187</c:v>
                </c:pt>
              </c:numCache>
            </c:numRef>
          </c:val>
          <c:extLst>
            <c:ext xmlns:c16="http://schemas.microsoft.com/office/drawing/2014/chart" uri="{C3380CC4-5D6E-409C-BE32-E72D297353CC}">
              <c16:uniqueId val="{00000002-FA96-4AE9-A950-9A4EC8C39106}"/>
            </c:ext>
          </c:extLst>
        </c:ser>
        <c:ser>
          <c:idx val="3"/>
          <c:order val="3"/>
          <c:tx>
            <c:strRef>
              <c:f>'Barchart Data'!$A$31</c:f>
              <c:strCache>
                <c:ptCount val="1"/>
                <c:pt idx="0">
                  <c:v>CE for income &gt;$4/day</c:v>
                </c:pt>
              </c:strCache>
            </c:strRef>
          </c:tx>
          <c:spPr>
            <a:solidFill>
              <a:schemeClr val="accent4"/>
            </a:solidFill>
            <a:ln>
              <a:noFill/>
            </a:ln>
            <a:effectLst/>
          </c:spPr>
          <c:invertIfNegative val="0"/>
          <c:cat>
            <c:strRef>
              <c:f>'Barchart Data'!$B$27:$C$27</c:f>
              <c:strCache>
                <c:ptCount val="2"/>
                <c:pt idx="0">
                  <c:v>LWSSC</c:v>
                </c:pt>
                <c:pt idx="1">
                  <c:v>National Income Distribution</c:v>
                </c:pt>
              </c:strCache>
            </c:strRef>
          </c:cat>
          <c:val>
            <c:numRef>
              <c:f>'Barchart Data'!$B$31:$C$31</c:f>
              <c:numCache>
                <c:formatCode>_(* #,##0.00_);_(* \(#,##0.00\);_(* "-"??_);_(@_)</c:formatCode>
                <c:ptCount val="2"/>
                <c:pt idx="0" formatCode="#,##0.00_);[Red]\(#,##0.00\)">
                  <c:v>0.13785614875954794</c:v>
                </c:pt>
                <c:pt idx="1">
                  <c:v>0.65645440654601395</c:v>
                </c:pt>
              </c:numCache>
            </c:numRef>
          </c:val>
          <c:extLst>
            <c:ext xmlns:c16="http://schemas.microsoft.com/office/drawing/2014/chart" uri="{C3380CC4-5D6E-409C-BE32-E72D297353CC}">
              <c16:uniqueId val="{00000003-FA96-4AE9-A950-9A4EC8C39106}"/>
            </c:ext>
          </c:extLst>
        </c:ser>
        <c:dLbls>
          <c:showLegendKey val="0"/>
          <c:showVal val="0"/>
          <c:showCatName val="0"/>
          <c:showSerName val="0"/>
          <c:showPercent val="0"/>
          <c:showBubbleSize val="0"/>
        </c:dLbls>
        <c:gapWidth val="150"/>
        <c:overlap val="100"/>
        <c:axId val="227937096"/>
        <c:axId val="227937880"/>
      </c:barChart>
      <c:catAx>
        <c:axId val="227937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27937880"/>
        <c:crosses val="autoZero"/>
        <c:auto val="1"/>
        <c:lblAlgn val="ctr"/>
        <c:lblOffset val="100"/>
        <c:noMultiLvlLbl val="0"/>
      </c:catAx>
      <c:valAx>
        <c:axId val="22793788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27937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123825</xdr:rowOff>
    </xdr:from>
    <xdr:to>
      <xdr:col>2</xdr:col>
      <xdr:colOff>304800</xdr:colOff>
      <xdr:row>6</xdr:row>
      <xdr:rowOff>8342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285750"/>
          <a:ext cx="2657475" cy="912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23</xdr:col>
      <xdr:colOff>242094</xdr:colOff>
      <xdr:row>2</xdr:row>
      <xdr:rowOff>0</xdr:rowOff>
    </xdr:from>
    <xdr:to>
      <xdr:col>25</xdr:col>
      <xdr:colOff>591079</xdr:colOff>
      <xdr:row>2</xdr:row>
      <xdr:rowOff>152400</xdr:rowOff>
    </xdr:to>
    <xdr:pic>
      <xdr:nvPicPr>
        <xdr:cNvPr id="2" name="Picture 1" descr="MCC horizont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73219" y="238125"/>
          <a:ext cx="21587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609600</xdr:colOff>
      <xdr:row>108</xdr:row>
      <xdr:rowOff>85725</xdr:rowOff>
    </xdr:from>
    <xdr:to>
      <xdr:col>4</xdr:col>
      <xdr:colOff>228600</xdr:colOff>
      <xdr:row>111</xdr:row>
      <xdr:rowOff>66675</xdr:rowOff>
    </xdr:to>
    <xdr:cxnSp macro="">
      <xdr:nvCxnSpPr>
        <xdr:cNvPr id="2" name="Straight Arrow Connector 1" descr="e77afb3f-b1f3-4f1d-9e03-d301b917e03d">
          <a:extLst>
            <a:ext uri="{FF2B5EF4-FFF2-40B4-BE49-F238E27FC236}">
              <a16:creationId xmlns:a16="http://schemas.microsoft.com/office/drawing/2014/main" id="{00000000-0008-0000-0B00-000002000000}"/>
            </a:ext>
          </a:extLst>
        </xdr:cNvPr>
        <xdr:cNvCxnSpPr/>
      </xdr:nvCxnSpPr>
      <xdr:spPr>
        <a:xfrm>
          <a:off x="1828800" y="20278725"/>
          <a:ext cx="838200" cy="5524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108</xdr:row>
      <xdr:rowOff>133350</xdr:rowOff>
    </xdr:from>
    <xdr:to>
      <xdr:col>4</xdr:col>
      <xdr:colOff>342900</xdr:colOff>
      <xdr:row>114</xdr:row>
      <xdr:rowOff>114300</xdr:rowOff>
    </xdr:to>
    <xdr:cxnSp macro="">
      <xdr:nvCxnSpPr>
        <xdr:cNvPr id="3" name="Straight Arrow Connector 2" descr="3176c158-dc86-4da3-a2e5-0e4a89a0583b">
          <a:extLst>
            <a:ext uri="{FF2B5EF4-FFF2-40B4-BE49-F238E27FC236}">
              <a16:creationId xmlns:a16="http://schemas.microsoft.com/office/drawing/2014/main" id="{00000000-0008-0000-0B00-000003000000}"/>
            </a:ext>
          </a:extLst>
        </xdr:cNvPr>
        <xdr:cNvCxnSpPr/>
      </xdr:nvCxnSpPr>
      <xdr:spPr>
        <a:xfrm>
          <a:off x="1828800" y="20326350"/>
          <a:ext cx="952500" cy="1123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111</xdr:row>
      <xdr:rowOff>133350</xdr:rowOff>
    </xdr:from>
    <xdr:to>
      <xdr:col>4</xdr:col>
      <xdr:colOff>219075</xdr:colOff>
      <xdr:row>114</xdr:row>
      <xdr:rowOff>85725</xdr:rowOff>
    </xdr:to>
    <xdr:cxnSp macro="">
      <xdr:nvCxnSpPr>
        <xdr:cNvPr id="4" name="Straight Arrow Connector 3" descr="0b47a0a2-0e20-44e2-95bc-879138c825ee">
          <a:extLst>
            <a:ext uri="{FF2B5EF4-FFF2-40B4-BE49-F238E27FC236}">
              <a16:creationId xmlns:a16="http://schemas.microsoft.com/office/drawing/2014/main" id="{00000000-0008-0000-0B00-000004000000}"/>
            </a:ext>
          </a:extLst>
        </xdr:cNvPr>
        <xdr:cNvCxnSpPr/>
      </xdr:nvCxnSpPr>
      <xdr:spPr>
        <a:xfrm>
          <a:off x="1828800" y="20897850"/>
          <a:ext cx="828675" cy="523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114</xdr:row>
      <xdr:rowOff>104775</xdr:rowOff>
    </xdr:from>
    <xdr:to>
      <xdr:col>4</xdr:col>
      <xdr:colOff>228600</xdr:colOff>
      <xdr:row>114</xdr:row>
      <xdr:rowOff>104775</xdr:rowOff>
    </xdr:to>
    <xdr:cxnSp macro="">
      <xdr:nvCxnSpPr>
        <xdr:cNvPr id="5" name="Straight Arrow Connector 4" descr="646885dc-181a-4e08-9eed-d8ba0318425d">
          <a:extLst>
            <a:ext uri="{FF2B5EF4-FFF2-40B4-BE49-F238E27FC236}">
              <a16:creationId xmlns:a16="http://schemas.microsoft.com/office/drawing/2014/main" id="{00000000-0008-0000-0B00-000005000000}"/>
            </a:ext>
          </a:extLst>
        </xdr:cNvPr>
        <xdr:cNvCxnSpPr/>
      </xdr:nvCxnSpPr>
      <xdr:spPr>
        <a:xfrm>
          <a:off x="1828800" y="214407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111</xdr:row>
      <xdr:rowOff>104775</xdr:rowOff>
    </xdr:from>
    <xdr:to>
      <xdr:col>4</xdr:col>
      <xdr:colOff>228600</xdr:colOff>
      <xdr:row>111</xdr:row>
      <xdr:rowOff>104775</xdr:rowOff>
    </xdr:to>
    <xdr:cxnSp macro="">
      <xdr:nvCxnSpPr>
        <xdr:cNvPr id="6" name="Straight Arrow Connector 5" descr="cff8acb0-4257-4bfe-b4c3-6908871d9b24">
          <a:extLst>
            <a:ext uri="{FF2B5EF4-FFF2-40B4-BE49-F238E27FC236}">
              <a16:creationId xmlns:a16="http://schemas.microsoft.com/office/drawing/2014/main" id="{00000000-0008-0000-0B00-000006000000}"/>
            </a:ext>
          </a:extLst>
        </xdr:cNvPr>
        <xdr:cNvCxnSpPr/>
      </xdr:nvCxnSpPr>
      <xdr:spPr>
        <a:xfrm>
          <a:off x="1828800" y="208692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28575</xdr:colOff>
      <xdr:row>109</xdr:row>
      <xdr:rowOff>161925</xdr:rowOff>
    </xdr:from>
    <xdr:ext cx="252249" cy="264560"/>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466975" y="20545425"/>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a:t>
          </a:r>
        </a:p>
      </xdr:txBody>
    </xdr:sp>
    <xdr:clientData/>
  </xdr:oneCellAnchor>
  <xdr:oneCellAnchor>
    <xdr:from>
      <xdr:col>3</xdr:col>
      <xdr:colOff>733425</xdr:colOff>
      <xdr:row>111</xdr:row>
      <xdr:rowOff>47625</xdr:rowOff>
    </xdr:from>
    <xdr:ext cx="258789" cy="264560"/>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2438400" y="208121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clientData/>
  </xdr:oneCellAnchor>
  <xdr:oneCellAnchor>
    <xdr:from>
      <xdr:col>3</xdr:col>
      <xdr:colOff>657225</xdr:colOff>
      <xdr:row>110</xdr:row>
      <xdr:rowOff>142875</xdr:rowOff>
    </xdr:from>
    <xdr:ext cx="184731" cy="264560"/>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2438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123825</xdr:colOff>
      <xdr:row>112</xdr:row>
      <xdr:rowOff>152400</xdr:rowOff>
    </xdr:from>
    <xdr:ext cx="252249" cy="264560"/>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2562225" y="211074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t>
          </a:r>
        </a:p>
      </xdr:txBody>
    </xdr:sp>
    <xdr:clientData/>
  </xdr:oneCellAnchor>
  <xdr:oneCellAnchor>
    <xdr:from>
      <xdr:col>3</xdr:col>
      <xdr:colOff>371475</xdr:colOff>
      <xdr:row>113</xdr:row>
      <xdr:rowOff>9525</xdr:rowOff>
    </xdr:from>
    <xdr:ext cx="258789" cy="264560"/>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2200275" y="211550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
          </a:r>
        </a:p>
      </xdr:txBody>
    </xdr:sp>
    <xdr:clientData/>
  </xdr:oneCellAnchor>
  <xdr:oneCellAnchor>
    <xdr:from>
      <xdr:col>3</xdr:col>
      <xdr:colOff>676275</xdr:colOff>
      <xdr:row>114</xdr:row>
      <xdr:rowOff>38100</xdr:rowOff>
    </xdr:from>
    <xdr:ext cx="254878" cy="264560"/>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2438400" y="21374100"/>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a:t>
          </a:r>
        </a:p>
      </xdr:txBody>
    </xdr:sp>
    <xdr:clientData/>
  </xdr:oneCellAnchor>
  <xdr:twoCellAnchor>
    <xdr:from>
      <xdr:col>2</xdr:col>
      <xdr:colOff>609600</xdr:colOff>
      <xdr:row>128</xdr:row>
      <xdr:rowOff>85725</xdr:rowOff>
    </xdr:from>
    <xdr:to>
      <xdr:col>4</xdr:col>
      <xdr:colOff>228600</xdr:colOff>
      <xdr:row>131</xdr:row>
      <xdr:rowOff>66675</xdr:rowOff>
    </xdr:to>
    <xdr:cxnSp macro="">
      <xdr:nvCxnSpPr>
        <xdr:cNvPr id="13" name="Straight Arrow Connector 12" descr="e77afb3f-b1f3-4f1d-9e03-d301b917e03d">
          <a:extLst>
            <a:ext uri="{FF2B5EF4-FFF2-40B4-BE49-F238E27FC236}">
              <a16:creationId xmlns:a16="http://schemas.microsoft.com/office/drawing/2014/main" id="{00000000-0008-0000-0B00-00000D000000}"/>
            </a:ext>
          </a:extLst>
        </xdr:cNvPr>
        <xdr:cNvCxnSpPr/>
      </xdr:nvCxnSpPr>
      <xdr:spPr>
        <a:xfrm>
          <a:off x="1828800" y="24088725"/>
          <a:ext cx="838200" cy="5524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128</xdr:row>
      <xdr:rowOff>133350</xdr:rowOff>
    </xdr:from>
    <xdr:to>
      <xdr:col>4</xdr:col>
      <xdr:colOff>342900</xdr:colOff>
      <xdr:row>134</xdr:row>
      <xdr:rowOff>114300</xdr:rowOff>
    </xdr:to>
    <xdr:cxnSp macro="">
      <xdr:nvCxnSpPr>
        <xdr:cNvPr id="14" name="Straight Arrow Connector 13" descr="3176c158-dc86-4da3-a2e5-0e4a89a0583b">
          <a:extLst>
            <a:ext uri="{FF2B5EF4-FFF2-40B4-BE49-F238E27FC236}">
              <a16:creationId xmlns:a16="http://schemas.microsoft.com/office/drawing/2014/main" id="{00000000-0008-0000-0B00-00000E000000}"/>
            </a:ext>
          </a:extLst>
        </xdr:cNvPr>
        <xdr:cNvCxnSpPr/>
      </xdr:nvCxnSpPr>
      <xdr:spPr>
        <a:xfrm>
          <a:off x="1828800" y="24136350"/>
          <a:ext cx="952500" cy="1123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131</xdr:row>
      <xdr:rowOff>133350</xdr:rowOff>
    </xdr:from>
    <xdr:to>
      <xdr:col>4</xdr:col>
      <xdr:colOff>219075</xdr:colOff>
      <xdr:row>134</xdr:row>
      <xdr:rowOff>85725</xdr:rowOff>
    </xdr:to>
    <xdr:cxnSp macro="">
      <xdr:nvCxnSpPr>
        <xdr:cNvPr id="15" name="Straight Arrow Connector 14" descr="0b47a0a2-0e20-44e2-95bc-879138c825ee">
          <a:extLst>
            <a:ext uri="{FF2B5EF4-FFF2-40B4-BE49-F238E27FC236}">
              <a16:creationId xmlns:a16="http://schemas.microsoft.com/office/drawing/2014/main" id="{00000000-0008-0000-0B00-00000F000000}"/>
            </a:ext>
          </a:extLst>
        </xdr:cNvPr>
        <xdr:cNvCxnSpPr/>
      </xdr:nvCxnSpPr>
      <xdr:spPr>
        <a:xfrm>
          <a:off x="1828800" y="24707850"/>
          <a:ext cx="828675" cy="523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134</xdr:row>
      <xdr:rowOff>104775</xdr:rowOff>
    </xdr:from>
    <xdr:to>
      <xdr:col>4</xdr:col>
      <xdr:colOff>228600</xdr:colOff>
      <xdr:row>134</xdr:row>
      <xdr:rowOff>104775</xdr:rowOff>
    </xdr:to>
    <xdr:cxnSp macro="">
      <xdr:nvCxnSpPr>
        <xdr:cNvPr id="16" name="Straight Arrow Connector 15" descr="646885dc-181a-4e08-9eed-d8ba0318425d">
          <a:extLst>
            <a:ext uri="{FF2B5EF4-FFF2-40B4-BE49-F238E27FC236}">
              <a16:creationId xmlns:a16="http://schemas.microsoft.com/office/drawing/2014/main" id="{00000000-0008-0000-0B00-000010000000}"/>
            </a:ext>
          </a:extLst>
        </xdr:cNvPr>
        <xdr:cNvCxnSpPr/>
      </xdr:nvCxnSpPr>
      <xdr:spPr>
        <a:xfrm>
          <a:off x="1828800" y="252507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131</xdr:row>
      <xdr:rowOff>104775</xdr:rowOff>
    </xdr:from>
    <xdr:to>
      <xdr:col>4</xdr:col>
      <xdr:colOff>228600</xdr:colOff>
      <xdr:row>131</xdr:row>
      <xdr:rowOff>104775</xdr:rowOff>
    </xdr:to>
    <xdr:cxnSp macro="">
      <xdr:nvCxnSpPr>
        <xdr:cNvPr id="17" name="Straight Arrow Connector 16" descr="cff8acb0-4257-4bfe-b4c3-6908871d9b24">
          <a:extLst>
            <a:ext uri="{FF2B5EF4-FFF2-40B4-BE49-F238E27FC236}">
              <a16:creationId xmlns:a16="http://schemas.microsoft.com/office/drawing/2014/main" id="{00000000-0008-0000-0B00-000011000000}"/>
            </a:ext>
          </a:extLst>
        </xdr:cNvPr>
        <xdr:cNvCxnSpPr/>
      </xdr:nvCxnSpPr>
      <xdr:spPr>
        <a:xfrm>
          <a:off x="1828800" y="246792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28575</xdr:colOff>
      <xdr:row>129</xdr:row>
      <xdr:rowOff>161925</xdr:rowOff>
    </xdr:from>
    <xdr:ext cx="252249" cy="264560"/>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2466975" y="24355425"/>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a:t>
          </a:r>
        </a:p>
      </xdr:txBody>
    </xdr:sp>
    <xdr:clientData/>
  </xdr:oneCellAnchor>
  <xdr:oneCellAnchor>
    <xdr:from>
      <xdr:col>3</xdr:col>
      <xdr:colOff>733425</xdr:colOff>
      <xdr:row>131</xdr:row>
      <xdr:rowOff>47625</xdr:rowOff>
    </xdr:from>
    <xdr:ext cx="258789" cy="264560"/>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2438400" y="246221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clientData/>
  </xdr:oneCellAnchor>
  <xdr:oneCellAnchor>
    <xdr:from>
      <xdr:col>3</xdr:col>
      <xdr:colOff>657225</xdr:colOff>
      <xdr:row>130</xdr:row>
      <xdr:rowOff>142875</xdr:rowOff>
    </xdr:from>
    <xdr:ext cx="184731" cy="264560"/>
    <xdr:sp macro="" textlink="">
      <xdr:nvSpPr>
        <xdr:cNvPr id="20" name="TextBox 19">
          <a:extLst>
            <a:ext uri="{FF2B5EF4-FFF2-40B4-BE49-F238E27FC236}">
              <a16:creationId xmlns:a16="http://schemas.microsoft.com/office/drawing/2014/main" id="{00000000-0008-0000-0B00-000014000000}"/>
            </a:ext>
          </a:extLst>
        </xdr:cNvPr>
        <xdr:cNvSpPr txBox="1"/>
      </xdr:nvSpPr>
      <xdr:spPr>
        <a:xfrm>
          <a:off x="2438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123825</xdr:colOff>
      <xdr:row>132</xdr:row>
      <xdr:rowOff>152400</xdr:rowOff>
    </xdr:from>
    <xdr:ext cx="252249" cy="264560"/>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2562225" y="249174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t>
          </a:r>
        </a:p>
      </xdr:txBody>
    </xdr:sp>
    <xdr:clientData/>
  </xdr:oneCellAnchor>
  <xdr:oneCellAnchor>
    <xdr:from>
      <xdr:col>3</xdr:col>
      <xdr:colOff>371475</xdr:colOff>
      <xdr:row>133</xdr:row>
      <xdr:rowOff>9525</xdr:rowOff>
    </xdr:from>
    <xdr:ext cx="258789" cy="264560"/>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2200275" y="249650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
          </a:r>
        </a:p>
      </xdr:txBody>
    </xdr:sp>
    <xdr:clientData/>
  </xdr:oneCellAnchor>
  <xdr:oneCellAnchor>
    <xdr:from>
      <xdr:col>3</xdr:col>
      <xdr:colOff>676275</xdr:colOff>
      <xdr:row>134</xdr:row>
      <xdr:rowOff>38100</xdr:rowOff>
    </xdr:from>
    <xdr:ext cx="254878" cy="264560"/>
    <xdr:sp macro="" textlink="">
      <xdr:nvSpPr>
        <xdr:cNvPr id="23" name="TextBox 22">
          <a:extLst>
            <a:ext uri="{FF2B5EF4-FFF2-40B4-BE49-F238E27FC236}">
              <a16:creationId xmlns:a16="http://schemas.microsoft.com/office/drawing/2014/main" id="{00000000-0008-0000-0B00-000017000000}"/>
            </a:ext>
          </a:extLst>
        </xdr:cNvPr>
        <xdr:cNvSpPr txBox="1"/>
      </xdr:nvSpPr>
      <xdr:spPr>
        <a:xfrm>
          <a:off x="2438400" y="25184100"/>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a:t>
          </a:r>
        </a:p>
      </xdr:txBody>
    </xdr:sp>
    <xdr:clientData/>
  </xdr:oneCellAnchor>
  <xdr:twoCellAnchor>
    <xdr:from>
      <xdr:col>2</xdr:col>
      <xdr:colOff>609600</xdr:colOff>
      <xdr:row>149</xdr:row>
      <xdr:rowOff>85725</xdr:rowOff>
    </xdr:from>
    <xdr:to>
      <xdr:col>4</xdr:col>
      <xdr:colOff>228600</xdr:colOff>
      <xdr:row>152</xdr:row>
      <xdr:rowOff>66675</xdr:rowOff>
    </xdr:to>
    <xdr:cxnSp macro="">
      <xdr:nvCxnSpPr>
        <xdr:cNvPr id="24" name="Straight Arrow Connector 23" descr="e77afb3f-b1f3-4f1d-9e03-d301b917e03d">
          <a:extLst>
            <a:ext uri="{FF2B5EF4-FFF2-40B4-BE49-F238E27FC236}">
              <a16:creationId xmlns:a16="http://schemas.microsoft.com/office/drawing/2014/main" id="{00000000-0008-0000-0B00-000018000000}"/>
            </a:ext>
          </a:extLst>
        </xdr:cNvPr>
        <xdr:cNvCxnSpPr/>
      </xdr:nvCxnSpPr>
      <xdr:spPr>
        <a:xfrm>
          <a:off x="1828800" y="28089225"/>
          <a:ext cx="838200" cy="5524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149</xdr:row>
      <xdr:rowOff>133350</xdr:rowOff>
    </xdr:from>
    <xdr:to>
      <xdr:col>4</xdr:col>
      <xdr:colOff>342900</xdr:colOff>
      <xdr:row>155</xdr:row>
      <xdr:rowOff>114300</xdr:rowOff>
    </xdr:to>
    <xdr:cxnSp macro="">
      <xdr:nvCxnSpPr>
        <xdr:cNvPr id="25" name="Straight Arrow Connector 24" descr="3176c158-dc86-4da3-a2e5-0e4a89a0583b">
          <a:extLst>
            <a:ext uri="{FF2B5EF4-FFF2-40B4-BE49-F238E27FC236}">
              <a16:creationId xmlns:a16="http://schemas.microsoft.com/office/drawing/2014/main" id="{00000000-0008-0000-0B00-000019000000}"/>
            </a:ext>
          </a:extLst>
        </xdr:cNvPr>
        <xdr:cNvCxnSpPr/>
      </xdr:nvCxnSpPr>
      <xdr:spPr>
        <a:xfrm>
          <a:off x="1828800" y="28136850"/>
          <a:ext cx="952500" cy="1123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152</xdr:row>
      <xdr:rowOff>133350</xdr:rowOff>
    </xdr:from>
    <xdr:to>
      <xdr:col>4</xdr:col>
      <xdr:colOff>219075</xdr:colOff>
      <xdr:row>155</xdr:row>
      <xdr:rowOff>85725</xdr:rowOff>
    </xdr:to>
    <xdr:cxnSp macro="">
      <xdr:nvCxnSpPr>
        <xdr:cNvPr id="26" name="Straight Arrow Connector 25" descr="0b47a0a2-0e20-44e2-95bc-879138c825ee">
          <a:extLst>
            <a:ext uri="{FF2B5EF4-FFF2-40B4-BE49-F238E27FC236}">
              <a16:creationId xmlns:a16="http://schemas.microsoft.com/office/drawing/2014/main" id="{00000000-0008-0000-0B00-00001A000000}"/>
            </a:ext>
          </a:extLst>
        </xdr:cNvPr>
        <xdr:cNvCxnSpPr/>
      </xdr:nvCxnSpPr>
      <xdr:spPr>
        <a:xfrm>
          <a:off x="1828800" y="28708350"/>
          <a:ext cx="828675" cy="523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155</xdr:row>
      <xdr:rowOff>104775</xdr:rowOff>
    </xdr:from>
    <xdr:to>
      <xdr:col>4</xdr:col>
      <xdr:colOff>228600</xdr:colOff>
      <xdr:row>155</xdr:row>
      <xdr:rowOff>104775</xdr:rowOff>
    </xdr:to>
    <xdr:cxnSp macro="">
      <xdr:nvCxnSpPr>
        <xdr:cNvPr id="27" name="Straight Arrow Connector 26" descr="646885dc-181a-4e08-9eed-d8ba0318425d">
          <a:extLst>
            <a:ext uri="{FF2B5EF4-FFF2-40B4-BE49-F238E27FC236}">
              <a16:creationId xmlns:a16="http://schemas.microsoft.com/office/drawing/2014/main" id="{00000000-0008-0000-0B00-00001B000000}"/>
            </a:ext>
          </a:extLst>
        </xdr:cNvPr>
        <xdr:cNvCxnSpPr/>
      </xdr:nvCxnSpPr>
      <xdr:spPr>
        <a:xfrm>
          <a:off x="1828800" y="292512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152</xdr:row>
      <xdr:rowOff>104775</xdr:rowOff>
    </xdr:from>
    <xdr:to>
      <xdr:col>4</xdr:col>
      <xdr:colOff>228600</xdr:colOff>
      <xdr:row>152</xdr:row>
      <xdr:rowOff>104775</xdr:rowOff>
    </xdr:to>
    <xdr:cxnSp macro="">
      <xdr:nvCxnSpPr>
        <xdr:cNvPr id="28" name="Straight Arrow Connector 27" descr="cff8acb0-4257-4bfe-b4c3-6908871d9b24">
          <a:extLst>
            <a:ext uri="{FF2B5EF4-FFF2-40B4-BE49-F238E27FC236}">
              <a16:creationId xmlns:a16="http://schemas.microsoft.com/office/drawing/2014/main" id="{00000000-0008-0000-0B00-00001C000000}"/>
            </a:ext>
          </a:extLst>
        </xdr:cNvPr>
        <xdr:cNvCxnSpPr/>
      </xdr:nvCxnSpPr>
      <xdr:spPr>
        <a:xfrm>
          <a:off x="1828800" y="286797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28575</xdr:colOff>
      <xdr:row>150</xdr:row>
      <xdr:rowOff>161925</xdr:rowOff>
    </xdr:from>
    <xdr:ext cx="252249" cy="264560"/>
    <xdr:sp macro="" textlink="">
      <xdr:nvSpPr>
        <xdr:cNvPr id="29" name="TextBox 28">
          <a:extLst>
            <a:ext uri="{FF2B5EF4-FFF2-40B4-BE49-F238E27FC236}">
              <a16:creationId xmlns:a16="http://schemas.microsoft.com/office/drawing/2014/main" id="{00000000-0008-0000-0B00-00001D000000}"/>
            </a:ext>
          </a:extLst>
        </xdr:cNvPr>
        <xdr:cNvSpPr txBox="1"/>
      </xdr:nvSpPr>
      <xdr:spPr>
        <a:xfrm>
          <a:off x="2466975" y="28355925"/>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a:t>
          </a:r>
        </a:p>
      </xdr:txBody>
    </xdr:sp>
    <xdr:clientData/>
  </xdr:oneCellAnchor>
  <xdr:oneCellAnchor>
    <xdr:from>
      <xdr:col>3</xdr:col>
      <xdr:colOff>733425</xdr:colOff>
      <xdr:row>152</xdr:row>
      <xdr:rowOff>47625</xdr:rowOff>
    </xdr:from>
    <xdr:ext cx="258789" cy="264560"/>
    <xdr:sp macro="" textlink="">
      <xdr:nvSpPr>
        <xdr:cNvPr id="30" name="TextBox 29">
          <a:extLst>
            <a:ext uri="{FF2B5EF4-FFF2-40B4-BE49-F238E27FC236}">
              <a16:creationId xmlns:a16="http://schemas.microsoft.com/office/drawing/2014/main" id="{00000000-0008-0000-0B00-00001E000000}"/>
            </a:ext>
          </a:extLst>
        </xdr:cNvPr>
        <xdr:cNvSpPr txBox="1"/>
      </xdr:nvSpPr>
      <xdr:spPr>
        <a:xfrm>
          <a:off x="2438400" y="286226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clientData/>
  </xdr:oneCellAnchor>
  <xdr:oneCellAnchor>
    <xdr:from>
      <xdr:col>3</xdr:col>
      <xdr:colOff>657225</xdr:colOff>
      <xdr:row>151</xdr:row>
      <xdr:rowOff>142875</xdr:rowOff>
    </xdr:from>
    <xdr:ext cx="184731" cy="264560"/>
    <xdr:sp macro="" textlink="">
      <xdr:nvSpPr>
        <xdr:cNvPr id="31" name="TextBox 30">
          <a:extLst>
            <a:ext uri="{FF2B5EF4-FFF2-40B4-BE49-F238E27FC236}">
              <a16:creationId xmlns:a16="http://schemas.microsoft.com/office/drawing/2014/main" id="{00000000-0008-0000-0B00-00001F000000}"/>
            </a:ext>
          </a:extLst>
        </xdr:cNvPr>
        <xdr:cNvSpPr txBox="1"/>
      </xdr:nvSpPr>
      <xdr:spPr>
        <a:xfrm>
          <a:off x="2438400" y="2852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123825</xdr:colOff>
      <xdr:row>153</xdr:row>
      <xdr:rowOff>152400</xdr:rowOff>
    </xdr:from>
    <xdr:ext cx="252249" cy="264560"/>
    <xdr:sp macro="" textlink="">
      <xdr:nvSpPr>
        <xdr:cNvPr id="32" name="TextBox 31">
          <a:extLst>
            <a:ext uri="{FF2B5EF4-FFF2-40B4-BE49-F238E27FC236}">
              <a16:creationId xmlns:a16="http://schemas.microsoft.com/office/drawing/2014/main" id="{00000000-0008-0000-0B00-000020000000}"/>
            </a:ext>
          </a:extLst>
        </xdr:cNvPr>
        <xdr:cNvSpPr txBox="1"/>
      </xdr:nvSpPr>
      <xdr:spPr>
        <a:xfrm>
          <a:off x="2562225" y="289179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t>
          </a:r>
        </a:p>
      </xdr:txBody>
    </xdr:sp>
    <xdr:clientData/>
  </xdr:oneCellAnchor>
  <xdr:oneCellAnchor>
    <xdr:from>
      <xdr:col>3</xdr:col>
      <xdr:colOff>371475</xdr:colOff>
      <xdr:row>154</xdr:row>
      <xdr:rowOff>9525</xdr:rowOff>
    </xdr:from>
    <xdr:ext cx="258789" cy="264560"/>
    <xdr:sp macro="" textlink="">
      <xdr:nvSpPr>
        <xdr:cNvPr id="33" name="TextBox 32">
          <a:extLst>
            <a:ext uri="{FF2B5EF4-FFF2-40B4-BE49-F238E27FC236}">
              <a16:creationId xmlns:a16="http://schemas.microsoft.com/office/drawing/2014/main" id="{00000000-0008-0000-0B00-000021000000}"/>
            </a:ext>
          </a:extLst>
        </xdr:cNvPr>
        <xdr:cNvSpPr txBox="1"/>
      </xdr:nvSpPr>
      <xdr:spPr>
        <a:xfrm>
          <a:off x="2200275" y="289655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
          </a:r>
        </a:p>
      </xdr:txBody>
    </xdr:sp>
    <xdr:clientData/>
  </xdr:oneCellAnchor>
  <xdr:oneCellAnchor>
    <xdr:from>
      <xdr:col>3</xdr:col>
      <xdr:colOff>676275</xdr:colOff>
      <xdr:row>155</xdr:row>
      <xdr:rowOff>38100</xdr:rowOff>
    </xdr:from>
    <xdr:ext cx="254878" cy="264560"/>
    <xdr:sp macro="" textlink="">
      <xdr:nvSpPr>
        <xdr:cNvPr id="34" name="TextBox 33">
          <a:extLst>
            <a:ext uri="{FF2B5EF4-FFF2-40B4-BE49-F238E27FC236}">
              <a16:creationId xmlns:a16="http://schemas.microsoft.com/office/drawing/2014/main" id="{00000000-0008-0000-0B00-000022000000}"/>
            </a:ext>
          </a:extLst>
        </xdr:cNvPr>
        <xdr:cNvSpPr txBox="1"/>
      </xdr:nvSpPr>
      <xdr:spPr>
        <a:xfrm>
          <a:off x="2438400" y="29184600"/>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a:t>
          </a:r>
        </a:p>
      </xdr:txBody>
    </xdr:sp>
    <xdr:clientData/>
  </xdr:oneCellAnchor>
  <xdr:twoCellAnchor>
    <xdr:from>
      <xdr:col>2</xdr:col>
      <xdr:colOff>609600</xdr:colOff>
      <xdr:row>88</xdr:row>
      <xdr:rowOff>85725</xdr:rowOff>
    </xdr:from>
    <xdr:to>
      <xdr:col>4</xdr:col>
      <xdr:colOff>228600</xdr:colOff>
      <xdr:row>91</xdr:row>
      <xdr:rowOff>66675</xdr:rowOff>
    </xdr:to>
    <xdr:cxnSp macro="">
      <xdr:nvCxnSpPr>
        <xdr:cNvPr id="35" name="Straight Arrow Connector 34" descr="e77afb3f-b1f3-4f1d-9e03-d301b917e03d">
          <a:extLst>
            <a:ext uri="{FF2B5EF4-FFF2-40B4-BE49-F238E27FC236}">
              <a16:creationId xmlns:a16="http://schemas.microsoft.com/office/drawing/2014/main" id="{00000000-0008-0000-0B00-000023000000}"/>
            </a:ext>
          </a:extLst>
        </xdr:cNvPr>
        <xdr:cNvCxnSpPr/>
      </xdr:nvCxnSpPr>
      <xdr:spPr>
        <a:xfrm>
          <a:off x="1828800" y="16468725"/>
          <a:ext cx="838200" cy="5524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88</xdr:row>
      <xdr:rowOff>133350</xdr:rowOff>
    </xdr:from>
    <xdr:to>
      <xdr:col>4</xdr:col>
      <xdr:colOff>342900</xdr:colOff>
      <xdr:row>94</xdr:row>
      <xdr:rowOff>114300</xdr:rowOff>
    </xdr:to>
    <xdr:cxnSp macro="">
      <xdr:nvCxnSpPr>
        <xdr:cNvPr id="36" name="Straight Arrow Connector 35" descr="3176c158-dc86-4da3-a2e5-0e4a89a0583b">
          <a:extLst>
            <a:ext uri="{FF2B5EF4-FFF2-40B4-BE49-F238E27FC236}">
              <a16:creationId xmlns:a16="http://schemas.microsoft.com/office/drawing/2014/main" id="{00000000-0008-0000-0B00-000024000000}"/>
            </a:ext>
          </a:extLst>
        </xdr:cNvPr>
        <xdr:cNvCxnSpPr/>
      </xdr:nvCxnSpPr>
      <xdr:spPr>
        <a:xfrm>
          <a:off x="1828800" y="16516350"/>
          <a:ext cx="952500" cy="1123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91</xdr:row>
      <xdr:rowOff>133350</xdr:rowOff>
    </xdr:from>
    <xdr:to>
      <xdr:col>4</xdr:col>
      <xdr:colOff>219075</xdr:colOff>
      <xdr:row>94</xdr:row>
      <xdr:rowOff>85725</xdr:rowOff>
    </xdr:to>
    <xdr:cxnSp macro="">
      <xdr:nvCxnSpPr>
        <xdr:cNvPr id="37" name="Straight Arrow Connector 36" descr="0b47a0a2-0e20-44e2-95bc-879138c825ee">
          <a:extLst>
            <a:ext uri="{FF2B5EF4-FFF2-40B4-BE49-F238E27FC236}">
              <a16:creationId xmlns:a16="http://schemas.microsoft.com/office/drawing/2014/main" id="{00000000-0008-0000-0B00-000025000000}"/>
            </a:ext>
          </a:extLst>
        </xdr:cNvPr>
        <xdr:cNvCxnSpPr/>
      </xdr:nvCxnSpPr>
      <xdr:spPr>
        <a:xfrm>
          <a:off x="1828800" y="17087850"/>
          <a:ext cx="828675" cy="523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94</xdr:row>
      <xdr:rowOff>104775</xdr:rowOff>
    </xdr:from>
    <xdr:to>
      <xdr:col>4</xdr:col>
      <xdr:colOff>228600</xdr:colOff>
      <xdr:row>94</xdr:row>
      <xdr:rowOff>104775</xdr:rowOff>
    </xdr:to>
    <xdr:cxnSp macro="">
      <xdr:nvCxnSpPr>
        <xdr:cNvPr id="38" name="Straight Arrow Connector 37" descr="646885dc-181a-4e08-9eed-d8ba0318425d">
          <a:extLst>
            <a:ext uri="{FF2B5EF4-FFF2-40B4-BE49-F238E27FC236}">
              <a16:creationId xmlns:a16="http://schemas.microsoft.com/office/drawing/2014/main" id="{00000000-0008-0000-0B00-000026000000}"/>
            </a:ext>
          </a:extLst>
        </xdr:cNvPr>
        <xdr:cNvCxnSpPr/>
      </xdr:nvCxnSpPr>
      <xdr:spPr>
        <a:xfrm>
          <a:off x="1828800" y="176307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91</xdr:row>
      <xdr:rowOff>104775</xdr:rowOff>
    </xdr:from>
    <xdr:to>
      <xdr:col>4</xdr:col>
      <xdr:colOff>228600</xdr:colOff>
      <xdr:row>91</xdr:row>
      <xdr:rowOff>104775</xdr:rowOff>
    </xdr:to>
    <xdr:cxnSp macro="">
      <xdr:nvCxnSpPr>
        <xdr:cNvPr id="39" name="Straight Arrow Connector 38" descr="cff8acb0-4257-4bfe-b4c3-6908871d9b24">
          <a:extLst>
            <a:ext uri="{FF2B5EF4-FFF2-40B4-BE49-F238E27FC236}">
              <a16:creationId xmlns:a16="http://schemas.microsoft.com/office/drawing/2014/main" id="{00000000-0008-0000-0B00-000027000000}"/>
            </a:ext>
          </a:extLst>
        </xdr:cNvPr>
        <xdr:cNvCxnSpPr/>
      </xdr:nvCxnSpPr>
      <xdr:spPr>
        <a:xfrm>
          <a:off x="1828800" y="17059275"/>
          <a:ext cx="838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28575</xdr:colOff>
      <xdr:row>89</xdr:row>
      <xdr:rowOff>161925</xdr:rowOff>
    </xdr:from>
    <xdr:ext cx="252249" cy="264560"/>
    <xdr:sp macro="" textlink="">
      <xdr:nvSpPr>
        <xdr:cNvPr id="40" name="TextBox 39">
          <a:extLst>
            <a:ext uri="{FF2B5EF4-FFF2-40B4-BE49-F238E27FC236}">
              <a16:creationId xmlns:a16="http://schemas.microsoft.com/office/drawing/2014/main" id="{00000000-0008-0000-0B00-000028000000}"/>
            </a:ext>
          </a:extLst>
        </xdr:cNvPr>
        <xdr:cNvSpPr txBox="1"/>
      </xdr:nvSpPr>
      <xdr:spPr>
        <a:xfrm>
          <a:off x="2466975" y="16735425"/>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a:t>
          </a:r>
        </a:p>
      </xdr:txBody>
    </xdr:sp>
    <xdr:clientData/>
  </xdr:oneCellAnchor>
  <xdr:oneCellAnchor>
    <xdr:from>
      <xdr:col>3</xdr:col>
      <xdr:colOff>733425</xdr:colOff>
      <xdr:row>91</xdr:row>
      <xdr:rowOff>47625</xdr:rowOff>
    </xdr:from>
    <xdr:ext cx="258789" cy="264560"/>
    <xdr:sp macro="" textlink="">
      <xdr:nvSpPr>
        <xdr:cNvPr id="41" name="TextBox 40">
          <a:extLst>
            <a:ext uri="{FF2B5EF4-FFF2-40B4-BE49-F238E27FC236}">
              <a16:creationId xmlns:a16="http://schemas.microsoft.com/office/drawing/2014/main" id="{00000000-0008-0000-0B00-000029000000}"/>
            </a:ext>
          </a:extLst>
        </xdr:cNvPr>
        <xdr:cNvSpPr txBox="1"/>
      </xdr:nvSpPr>
      <xdr:spPr>
        <a:xfrm>
          <a:off x="2438400" y="170021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clientData/>
  </xdr:oneCellAnchor>
  <xdr:oneCellAnchor>
    <xdr:from>
      <xdr:col>3</xdr:col>
      <xdr:colOff>657225</xdr:colOff>
      <xdr:row>90</xdr:row>
      <xdr:rowOff>142875</xdr:rowOff>
    </xdr:from>
    <xdr:ext cx="184731" cy="264560"/>
    <xdr:sp macro="" textlink="">
      <xdr:nvSpPr>
        <xdr:cNvPr id="42" name="TextBox 41">
          <a:extLst>
            <a:ext uri="{FF2B5EF4-FFF2-40B4-BE49-F238E27FC236}">
              <a16:creationId xmlns:a16="http://schemas.microsoft.com/office/drawing/2014/main" id="{00000000-0008-0000-0B00-00002A000000}"/>
            </a:ext>
          </a:extLst>
        </xdr:cNvPr>
        <xdr:cNvSpPr txBox="1"/>
      </xdr:nvSpPr>
      <xdr:spPr>
        <a:xfrm>
          <a:off x="2438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123825</xdr:colOff>
      <xdr:row>92</xdr:row>
      <xdr:rowOff>152400</xdr:rowOff>
    </xdr:from>
    <xdr:ext cx="252249" cy="264560"/>
    <xdr:sp macro="" textlink="">
      <xdr:nvSpPr>
        <xdr:cNvPr id="43" name="TextBox 42">
          <a:extLst>
            <a:ext uri="{FF2B5EF4-FFF2-40B4-BE49-F238E27FC236}">
              <a16:creationId xmlns:a16="http://schemas.microsoft.com/office/drawing/2014/main" id="{00000000-0008-0000-0B00-00002B000000}"/>
            </a:ext>
          </a:extLst>
        </xdr:cNvPr>
        <xdr:cNvSpPr txBox="1"/>
      </xdr:nvSpPr>
      <xdr:spPr>
        <a:xfrm>
          <a:off x="2562225" y="172974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t>
          </a:r>
        </a:p>
      </xdr:txBody>
    </xdr:sp>
    <xdr:clientData/>
  </xdr:oneCellAnchor>
  <xdr:oneCellAnchor>
    <xdr:from>
      <xdr:col>3</xdr:col>
      <xdr:colOff>371475</xdr:colOff>
      <xdr:row>93</xdr:row>
      <xdr:rowOff>9525</xdr:rowOff>
    </xdr:from>
    <xdr:ext cx="258789" cy="264560"/>
    <xdr:sp macro="" textlink="">
      <xdr:nvSpPr>
        <xdr:cNvPr id="44" name="TextBox 43">
          <a:extLst>
            <a:ext uri="{FF2B5EF4-FFF2-40B4-BE49-F238E27FC236}">
              <a16:creationId xmlns:a16="http://schemas.microsoft.com/office/drawing/2014/main" id="{00000000-0008-0000-0B00-00002C000000}"/>
            </a:ext>
          </a:extLst>
        </xdr:cNvPr>
        <xdr:cNvSpPr txBox="1"/>
      </xdr:nvSpPr>
      <xdr:spPr>
        <a:xfrm>
          <a:off x="2200275" y="1734502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
          </a:r>
        </a:p>
      </xdr:txBody>
    </xdr:sp>
    <xdr:clientData/>
  </xdr:oneCellAnchor>
  <xdr:oneCellAnchor>
    <xdr:from>
      <xdr:col>3</xdr:col>
      <xdr:colOff>676275</xdr:colOff>
      <xdr:row>94</xdr:row>
      <xdr:rowOff>38100</xdr:rowOff>
    </xdr:from>
    <xdr:ext cx="254878" cy="264560"/>
    <xdr:sp macro="" textlink="">
      <xdr:nvSpPr>
        <xdr:cNvPr id="45" name="TextBox 44">
          <a:extLst>
            <a:ext uri="{FF2B5EF4-FFF2-40B4-BE49-F238E27FC236}">
              <a16:creationId xmlns:a16="http://schemas.microsoft.com/office/drawing/2014/main" id="{00000000-0008-0000-0B00-00002D000000}"/>
            </a:ext>
          </a:extLst>
        </xdr:cNvPr>
        <xdr:cNvSpPr txBox="1"/>
      </xdr:nvSpPr>
      <xdr:spPr>
        <a:xfrm>
          <a:off x="2438400" y="17564100"/>
          <a:ext cx="254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a:t>
          </a:r>
        </a:p>
      </xdr:txBody>
    </xdr:sp>
    <xdr:clientData/>
  </xdr:oneCellAnchor>
  <xdr:twoCellAnchor editAs="oneCell">
    <xdr:from>
      <xdr:col>22</xdr:col>
      <xdr:colOff>370420</xdr:colOff>
      <xdr:row>2</xdr:row>
      <xdr:rowOff>0</xdr:rowOff>
    </xdr:from>
    <xdr:to>
      <xdr:col>24</xdr:col>
      <xdr:colOff>846934</xdr:colOff>
      <xdr:row>2</xdr:row>
      <xdr:rowOff>152400</xdr:rowOff>
    </xdr:to>
    <xdr:pic>
      <xdr:nvPicPr>
        <xdr:cNvPr id="46" name="Picture 45" descr="MCC horizontal">
          <a:extLst>
            <a:ext uri="{FF2B5EF4-FFF2-40B4-BE49-F238E27FC236}">
              <a16:creationId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67753" y="243417"/>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571500</xdr:colOff>
      <xdr:row>2</xdr:row>
      <xdr:rowOff>0</xdr:rowOff>
    </xdr:from>
    <xdr:to>
      <xdr:col>23</xdr:col>
      <xdr:colOff>906198</xdr:colOff>
      <xdr:row>2</xdr:row>
      <xdr:rowOff>152400</xdr:rowOff>
    </xdr:to>
    <xdr:pic>
      <xdr:nvPicPr>
        <xdr:cNvPr id="2" name="Picture 1" descr="MCC horizontal">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21900" y="238125"/>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369095</xdr:colOff>
      <xdr:row>2</xdr:row>
      <xdr:rowOff>0</xdr:rowOff>
    </xdr:from>
    <xdr:to>
      <xdr:col>23</xdr:col>
      <xdr:colOff>840317</xdr:colOff>
      <xdr:row>2</xdr:row>
      <xdr:rowOff>152400</xdr:rowOff>
    </xdr:to>
    <xdr:pic>
      <xdr:nvPicPr>
        <xdr:cNvPr id="3" name="Picture 2" descr="MCC horizontal">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90595" y="238125"/>
          <a:ext cx="216191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2</xdr:col>
      <xdr:colOff>0</xdr:colOff>
      <xdr:row>1</xdr:row>
      <xdr:rowOff>28575</xdr:rowOff>
    </xdr:from>
    <xdr:ext cx="2166673" cy="152400"/>
    <xdr:pic>
      <xdr:nvPicPr>
        <xdr:cNvPr id="4" name="Picture 3" descr="MCC horizontal">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0" y="219075"/>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82</xdr:col>
      <xdr:colOff>583408</xdr:colOff>
      <xdr:row>2</xdr:row>
      <xdr:rowOff>0</xdr:rowOff>
    </xdr:from>
    <xdr:to>
      <xdr:col>85</xdr:col>
      <xdr:colOff>685397</xdr:colOff>
      <xdr:row>2</xdr:row>
      <xdr:rowOff>152400</xdr:rowOff>
    </xdr:to>
    <xdr:pic>
      <xdr:nvPicPr>
        <xdr:cNvPr id="5" name="Picture 4" descr="MCC horizontal">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08377" y="261938"/>
          <a:ext cx="2173676"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212912</xdr:colOff>
      <xdr:row>1</xdr:row>
      <xdr:rowOff>22412</xdr:rowOff>
    </xdr:from>
    <xdr:to>
      <xdr:col>10</xdr:col>
      <xdr:colOff>15143</xdr:colOff>
      <xdr:row>1</xdr:row>
      <xdr:rowOff>174812</xdr:rowOff>
    </xdr:to>
    <xdr:pic>
      <xdr:nvPicPr>
        <xdr:cNvPr id="3" name="Picture 2" descr="MCC horizontal">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2088" y="212912"/>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12981214" cy="9416143"/>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0.07865</cdr:x>
      <cdr:y>0.17838</cdr:y>
    </cdr:from>
    <cdr:to>
      <cdr:x>0.28577</cdr:x>
      <cdr:y>0.17838</cdr:y>
    </cdr:to>
    <cdr:cxnSp macro="">
      <cdr:nvCxnSpPr>
        <cdr:cNvPr id="2" name="Straight Connector 1">
          <a:extLst xmlns:a="http://schemas.openxmlformats.org/drawingml/2006/main">
            <a:ext uri="{FF2B5EF4-FFF2-40B4-BE49-F238E27FC236}">
              <a16:creationId xmlns:a16="http://schemas.microsoft.com/office/drawing/2014/main" id="{2F3F6C96-B493-4677-BB19-F0184324BB9C}"/>
            </a:ext>
          </a:extLst>
        </cdr:cNvPr>
        <cdr:cNvCxnSpPr/>
      </cdr:nvCxnSpPr>
      <cdr:spPr>
        <a:xfrm xmlns:a="http://schemas.openxmlformats.org/drawingml/2006/main">
          <a:off x="681943" y="1119056"/>
          <a:ext cx="1795945" cy="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0.31042</cdr:x>
      <cdr:y>0.12146</cdr:y>
    </cdr:from>
    <cdr:to>
      <cdr:x>0.4912</cdr:x>
      <cdr:y>0.17469</cdr:y>
    </cdr:to>
    <cdr:sp macro="" textlink="">
      <cdr:nvSpPr>
        <cdr:cNvPr id="3" name="TextBox 1"/>
        <cdr:cNvSpPr txBox="1"/>
      </cdr:nvSpPr>
      <cdr:spPr>
        <a:xfrm xmlns:a="http://schemas.openxmlformats.org/drawingml/2006/main">
          <a:off x="2691629" y="761977"/>
          <a:ext cx="1567549" cy="333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ERR 10% hurdle rate</a:t>
          </a:r>
        </a:p>
      </cdr:txBody>
    </cdr:sp>
  </cdr:relSizeAnchor>
  <cdr:relSizeAnchor xmlns:cdr="http://schemas.openxmlformats.org/drawingml/2006/chartDrawing">
    <cdr:from>
      <cdr:x>0.28535</cdr:x>
      <cdr:y>0.15432</cdr:y>
    </cdr:from>
    <cdr:to>
      <cdr:x>0.31741</cdr:x>
      <cdr:y>0.17612</cdr:y>
    </cdr:to>
    <cdr:cxnSp macro="">
      <cdr:nvCxnSpPr>
        <cdr:cNvPr id="4" name="Straight Arrow Connector 3">
          <a:extLst xmlns:a="http://schemas.openxmlformats.org/drawingml/2006/main">
            <a:ext uri="{FF2B5EF4-FFF2-40B4-BE49-F238E27FC236}">
              <a16:creationId xmlns:a16="http://schemas.microsoft.com/office/drawing/2014/main" id="{27D4538B-F39C-4579-BAEB-DDB413EAA4A1}"/>
            </a:ext>
          </a:extLst>
        </cdr:cNvPr>
        <cdr:cNvCxnSpPr/>
      </cdr:nvCxnSpPr>
      <cdr:spPr>
        <a:xfrm xmlns:a="http://schemas.openxmlformats.org/drawingml/2006/main" flipH="1">
          <a:off x="2474246" y="968119"/>
          <a:ext cx="277993" cy="13676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oneCellAnchor>
    <xdr:from>
      <xdr:col>5</xdr:col>
      <xdr:colOff>31743</xdr:colOff>
      <xdr:row>1</xdr:row>
      <xdr:rowOff>11828</xdr:rowOff>
    </xdr:from>
    <xdr:ext cx="2168664" cy="152400"/>
    <xdr:pic>
      <xdr:nvPicPr>
        <xdr:cNvPr id="4" name="Picture 3" descr="MCC horizontal">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6910" y="202328"/>
          <a:ext cx="2168664"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6324600</xdr:colOff>
      <xdr:row>1</xdr:row>
      <xdr:rowOff>19050</xdr:rowOff>
    </xdr:from>
    <xdr:ext cx="2171700" cy="146050"/>
    <xdr:pic>
      <xdr:nvPicPr>
        <xdr:cNvPr id="12" name="Picture 11" descr="MCC horizontal">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80975"/>
          <a:ext cx="217170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504825</xdr:colOff>
      <xdr:row>1</xdr:row>
      <xdr:rowOff>28575</xdr:rowOff>
    </xdr:from>
    <xdr:ext cx="2847975" cy="828675"/>
    <xdr:pic>
      <xdr:nvPicPr>
        <xdr:cNvPr id="2" name="Picture 1" descr="content-branding-logo-ho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4825" y="219075"/>
          <a:ext cx="2847975" cy="828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1240366</xdr:colOff>
      <xdr:row>30</xdr:row>
      <xdr:rowOff>4234</xdr:rowOff>
    </xdr:from>
    <xdr:to>
      <xdr:col>6</xdr:col>
      <xdr:colOff>0</xdr:colOff>
      <xdr:row>58</xdr:row>
      <xdr:rowOff>63501</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183885</xdr:colOff>
      <xdr:row>1</xdr:row>
      <xdr:rowOff>34396</xdr:rowOff>
    </xdr:from>
    <xdr:to>
      <xdr:col>7</xdr:col>
      <xdr:colOff>868098</xdr:colOff>
      <xdr:row>1</xdr:row>
      <xdr:rowOff>183621</xdr:rowOff>
    </xdr:to>
    <xdr:pic>
      <xdr:nvPicPr>
        <xdr:cNvPr id="14" name="Picture 13" descr="MCC horizontal">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5354" y="201084"/>
          <a:ext cx="217566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264321</xdr:colOff>
      <xdr:row>1</xdr:row>
      <xdr:rowOff>9525</xdr:rowOff>
    </xdr:from>
    <xdr:ext cx="2157148" cy="152400"/>
    <xdr:pic>
      <xdr:nvPicPr>
        <xdr:cNvPr id="4" name="Picture 3" descr="MCC horizontal">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8727" y="200025"/>
          <a:ext cx="215714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21</xdr:col>
      <xdr:colOff>296344</xdr:colOff>
      <xdr:row>1</xdr:row>
      <xdr:rowOff>52916</xdr:rowOff>
    </xdr:from>
    <xdr:ext cx="2166673" cy="152400"/>
    <xdr:pic>
      <xdr:nvPicPr>
        <xdr:cNvPr id="5" name="Picture 4" descr="MCC horizontal">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308" y="243416"/>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20</xdr:col>
      <xdr:colOff>261949</xdr:colOff>
      <xdr:row>2</xdr:row>
      <xdr:rowOff>11905</xdr:rowOff>
    </xdr:from>
    <xdr:ext cx="2166673" cy="152400"/>
    <xdr:pic>
      <xdr:nvPicPr>
        <xdr:cNvPr id="3" name="Picture 2" descr="MCC horizont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54387" y="273843"/>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3</xdr:col>
      <xdr:colOff>594632</xdr:colOff>
      <xdr:row>38</xdr:row>
      <xdr:rowOff>8164</xdr:rowOff>
    </xdr:from>
    <xdr:to>
      <xdr:col>11</xdr:col>
      <xdr:colOff>367392</xdr:colOff>
      <xdr:row>58</xdr:row>
      <xdr:rowOff>27214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329591</xdr:colOff>
      <xdr:row>2</xdr:row>
      <xdr:rowOff>27214</xdr:rowOff>
    </xdr:from>
    <xdr:to>
      <xdr:col>24</xdr:col>
      <xdr:colOff>1622</xdr:colOff>
      <xdr:row>2</xdr:row>
      <xdr:rowOff>182789</xdr:rowOff>
    </xdr:to>
    <xdr:pic>
      <xdr:nvPicPr>
        <xdr:cNvPr id="3" name="Picture 2" descr="MCC horizont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17091" y="299357"/>
          <a:ext cx="216213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13</xdr:col>
      <xdr:colOff>678642</xdr:colOff>
      <xdr:row>1</xdr:row>
      <xdr:rowOff>23808</xdr:rowOff>
    </xdr:from>
    <xdr:ext cx="2166673" cy="152400"/>
    <xdr:pic>
      <xdr:nvPicPr>
        <xdr:cNvPr id="3" name="Picture 2" descr="MCC horizont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70830" y="214308"/>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2597150</xdr:colOff>
      <xdr:row>69</xdr:row>
      <xdr:rowOff>76200</xdr:rowOff>
    </xdr:to>
    <xdr:pic>
      <xdr:nvPicPr>
        <xdr:cNvPr id="2" name="Picture 1" descr="&#10;p_{11} = \frac{1 + (p_{1\cdot}+p_{\cdot 1})(R-1) - S}{2(R-1)}&#1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0"/>
          <a:ext cx="26003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2</xdr:col>
      <xdr:colOff>501650</xdr:colOff>
      <xdr:row>78</xdr:row>
      <xdr:rowOff>101600</xdr:rowOff>
    </xdr:to>
    <xdr:pic>
      <xdr:nvPicPr>
        <xdr:cNvPr id="3" name="Picture 2" descr="&#10;S = \sqrt{(1+(p_{1\cdot}+p_{\cdot 1})(R-1))^2 + 4R(1-R)p_{1\cdot}p_{\cdot 1}}.&#10;">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72000"/>
          <a:ext cx="39909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253998</xdr:colOff>
      <xdr:row>1</xdr:row>
      <xdr:rowOff>21166</xdr:rowOff>
    </xdr:from>
    <xdr:ext cx="2166673" cy="152400"/>
    <xdr:pic>
      <xdr:nvPicPr>
        <xdr:cNvPr id="5" name="Picture 4" descr="MCC horizontal">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98373" y="211666"/>
          <a:ext cx="216667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who.int/DATA98/TARG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_divisions\Economic%20Analysis\ERR%20Spreadsheets\Web%20Dissemination\Ongoing%20Work\Tanzania\Tanzania%20Water%20&amp;%20Sanitation%20-%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WHR2003\GBD\NBD\Templates%20v2\Singapore\DALYs%20country%203350%20year%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WHR2003\GBD\NBD\Templates%20v2\Italy\DALYs%20country%204180%20year%20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anzania\Economic%20Analysis\Roads\Roads-Transport%20ERR%20Tanga_Horohoro%20ED%20AR%20BND%20final%20report%20cos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Estimating%20adult%20mortality\Relational\New%20Stand-WHO\Country\AUST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TA98\TARGE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Estimating%20adult%20mortality\Relational\BaseYearUN\RegionalLifeTab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cdcnasfs01.mcc.gov\office_shares\_divisions\Economic%20Analysis\Rescoping%20Economic%20Analysis%20(Keith%20Kranker)\Tanzania\2010\Non%20Revenue%20Water\TZ%20NRW%20ERR%20model%20-%202010-05-13%20-%20Keit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_countryfile\Zambia\_%20Team%20Documents\Sector%20Folders%20M+E,%20Econ,%20ESA,%20Fiscal%20Accountability,Gender\M&amp;E&amp;E\_LWSSDP\Economic%20analysis\ERR\_Archive\Tanzania\Roads-Transport%20E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Tanzania\Roads-Transport%20ERR%20Template.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WPP-DATA-NEW/DB4_Population_ByAgeSex_Annual/WPP2000_DB4_F1_AGE_ANNUAL_BOTH_2001-2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Summary"/>
      <sheetName val="Assumptions"/>
      <sheetName val="Morogoro"/>
      <sheetName val="Dar NRW"/>
      <sheetName val="Dar Ruvu"/>
      <sheetName val="Annex III"/>
    </sheetNames>
    <sheetDataSet>
      <sheetData sheetId="0" refreshError="1"/>
      <sheetData sheetId="1" refreshError="1"/>
      <sheetData sheetId="2" refreshError="1"/>
      <sheetData sheetId="3" refreshError="1"/>
      <sheetData sheetId="4">
        <row r="5">
          <cell r="F5">
            <v>2008</v>
          </cell>
        </row>
        <row r="6">
          <cell r="F6">
            <v>20</v>
          </cell>
        </row>
        <row r="7">
          <cell r="F7">
            <v>1300</v>
          </cell>
        </row>
        <row r="8">
          <cell r="F8">
            <v>6.4000000000000001E-2</v>
          </cell>
        </row>
        <row r="9">
          <cell r="F9">
            <v>7.0000000000000007E-2</v>
          </cell>
        </row>
        <row r="14">
          <cell r="E14" t="str">
            <v>A</v>
          </cell>
        </row>
        <row r="15">
          <cell r="E15" t="str">
            <v>B</v>
          </cell>
        </row>
        <row r="16">
          <cell r="E16" t="str">
            <v>C</v>
          </cell>
        </row>
      </sheetData>
      <sheetData sheetId="5"/>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MPH for DALYwb"/>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TH Sum"/>
      <sheetName val="TH1"/>
      <sheetName val="TH2"/>
      <sheetName val="TH4"/>
      <sheetName val="TanIRI"/>
    </sheetNames>
    <sheetDataSet>
      <sheetData sheetId="0"/>
      <sheetData sheetId="1">
        <row r="41">
          <cell r="H41">
            <v>0.04</v>
          </cell>
        </row>
      </sheetData>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ivors"/>
      <sheetName val="AdjustedY"/>
      <sheetName val="intercept+slope graphs"/>
      <sheetName val="intercept+slope projections"/>
      <sheetName val="99"/>
      <sheetName val="2000"/>
      <sheetName val="Results"/>
    </sheetNames>
    <sheetDataSet>
      <sheetData sheetId="0" refreshError="1"/>
      <sheetData sheetId="1" refreshError="1"/>
      <sheetData sheetId="2" refreshError="1"/>
      <sheetData sheetId="3">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0"/>
      <sheetData sheetId="1"/>
      <sheetData sheetId="2"/>
      <sheetData sheetId="3" refreshError="1">
        <row r="3">
          <cell r="U3" t="str">
            <v>N</v>
          </cell>
        </row>
        <row r="6">
          <cell r="A6" t="str">
            <v>AMAMA1</v>
          </cell>
          <cell r="B6" t="str">
            <v>Lits Lits - Norsup Road Sealing</v>
          </cell>
          <cell r="D6" t="str">
            <v>Malekula</v>
          </cell>
          <cell r="E6" t="str">
            <v>Malampa</v>
          </cell>
          <cell r="F6">
            <v>189.60480000000001</v>
          </cell>
          <cell r="G6">
            <v>1.7556</v>
          </cell>
          <cell r="H6">
            <v>2.0555555555555527</v>
          </cell>
          <cell r="I6">
            <v>1.9032921810699561E-2</v>
          </cell>
          <cell r="J6">
            <v>0.22462370197905585</v>
          </cell>
          <cell r="K6">
            <v>159.72431508259623</v>
          </cell>
          <cell r="L6">
            <v>2.0643322529748724</v>
          </cell>
          <cell r="M6">
            <v>0.18788677288242828</v>
          </cell>
          <cell r="N6">
            <v>0.18029281080962259</v>
          </cell>
          <cell r="O6">
            <v>0.27176594642684698</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0.60259259259259257</v>
          </cell>
          <cell r="H7">
            <v>0</v>
          </cell>
          <cell r="I7">
            <v>0</v>
          </cell>
          <cell r="J7">
            <v>0.11364998061127222</v>
          </cell>
          <cell r="K7">
            <v>4.8669713136717592</v>
          </cell>
          <cell r="L7">
            <v>1.0914032036645314</v>
          </cell>
          <cell r="M7">
            <v>8.6199929420376672E-2</v>
          </cell>
          <cell r="N7">
            <v>8.0545631873867957E-2</v>
          </cell>
          <cell r="O7">
            <v>0.14917191258480131</v>
          </cell>
          <cell r="P7">
            <v>4.585583610297489E-2</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3.4259259259259253E-2</v>
          </cell>
          <cell r="J8">
            <v>0.15606943163381698</v>
          </cell>
          <cell r="K8">
            <v>79.083471624762012</v>
          </cell>
          <cell r="L8">
            <v>1.346935096185802</v>
          </cell>
          <cell r="M8">
            <v>0.12016075318448843</v>
          </cell>
          <cell r="N8">
            <v>0.11283654648106228</v>
          </cell>
          <cell r="O8">
            <v>1.6089379885231746E-2</v>
          </cell>
          <cell r="P8">
            <v>6.7136633368479748E-2</v>
          </cell>
          <cell r="Q8">
            <v>1</v>
          </cell>
          <cell r="R8">
            <v>1</v>
          </cell>
          <cell r="S8">
            <v>2007</v>
          </cell>
        </row>
        <row r="9">
          <cell r="A9" t="str">
            <v>ASASA1</v>
          </cell>
          <cell r="B9" t="str">
            <v>Port Olry Road Upgrading</v>
          </cell>
          <cell r="D9" t="str">
            <v>Santo</v>
          </cell>
          <cell r="E9" t="str">
            <v>Sanma</v>
          </cell>
          <cell r="F9">
            <v>1863.9288000000001</v>
          </cell>
          <cell r="G9">
            <v>17.258600000000001</v>
          </cell>
          <cell r="H9">
            <v>40.94444444444445</v>
          </cell>
          <cell r="I9">
            <v>0.3791152263374486</v>
          </cell>
          <cell r="J9">
            <v>0.33786431307382958</v>
          </cell>
          <cell r="K9">
            <v>4425.8390368603514</v>
          </cell>
          <cell r="L9">
            <v>3.6616796658483661</v>
          </cell>
          <cell r="M9">
            <v>0.29106356187309074</v>
          </cell>
          <cell r="N9">
            <v>0.28150155877118105</v>
          </cell>
          <cell r="O9">
            <v>0.39892725896301917</v>
          </cell>
          <cell r="P9">
            <v>0.20370814266007911</v>
          </cell>
          <cell r="Q9">
            <v>1</v>
          </cell>
          <cell r="R9">
            <v>1</v>
          </cell>
          <cell r="S9">
            <v>2007</v>
          </cell>
        </row>
        <row r="10">
          <cell r="A10" t="str">
            <v>ASASA2</v>
          </cell>
          <cell r="B10" t="str">
            <v>South Coast Bridges and Culverts</v>
          </cell>
          <cell r="D10" t="str">
            <v>Santo</v>
          </cell>
          <cell r="E10" t="str">
            <v>Sanma</v>
          </cell>
          <cell r="F10">
            <v>202.82399999999998</v>
          </cell>
          <cell r="G10">
            <v>1.8779999999999999</v>
          </cell>
          <cell r="H10">
            <v>0</v>
          </cell>
          <cell r="I10">
            <v>0</v>
          </cell>
          <cell r="J10">
            <v>0.24276840985467887</v>
          </cell>
          <cell r="K10">
            <v>174.0999826086306</v>
          </cell>
          <cell r="L10">
            <v>2.0491306138956471</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2520.6120000000001</v>
          </cell>
          <cell r="G11">
            <v>23.339000000000002</v>
          </cell>
          <cell r="H11">
            <v>52.5</v>
          </cell>
          <cell r="I11">
            <v>0.4861111111111111</v>
          </cell>
          <cell r="J11">
            <v>0.20550479502577151</v>
          </cell>
          <cell r="K11">
            <v>1885.7291621038769</v>
          </cell>
          <cell r="L11">
            <v>1.8423788997682973</v>
          </cell>
          <cell r="M11">
            <v>0.16988037798308492</v>
          </cell>
          <cell r="N11">
            <v>0.16249056620484598</v>
          </cell>
          <cell r="O11">
            <v>0.25098920223897309</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0.17657184537773801</v>
          </cell>
          <cell r="K12">
            <v>204.41274323363672</v>
          </cell>
          <cell r="L12">
            <v>1.619941829781381</v>
          </cell>
          <cell r="M12">
            <v>0.14456524340112237</v>
          </cell>
          <cell r="N12">
            <v>0.13797068071259416</v>
          </cell>
          <cell r="O12">
            <v>0.21779276825660171</v>
          </cell>
          <cell r="P12">
            <v>9.3930340569284801E-2</v>
          </cell>
          <cell r="Q12">
            <v>1</v>
          </cell>
          <cell r="R12">
            <v>1</v>
          </cell>
          <cell r="S12">
            <v>2007</v>
          </cell>
        </row>
        <row r="13">
          <cell r="A13" t="str">
            <v>BPEAM1</v>
          </cell>
          <cell r="B13" t="str">
            <v>Ambae Creek Crossings Reinstatement</v>
          </cell>
          <cell r="D13" t="str">
            <v>Ambae</v>
          </cell>
          <cell r="E13" t="str">
            <v>Penama</v>
          </cell>
          <cell r="F13">
            <v>132.47200000000001</v>
          </cell>
          <cell r="G13">
            <v>1.2265925925925927</v>
          </cell>
          <cell r="H13">
            <v>0</v>
          </cell>
          <cell r="I13">
            <v>0</v>
          </cell>
          <cell r="J13">
            <v>0.12314963811312898</v>
          </cell>
          <cell r="K13">
            <v>16.066209299402473</v>
          </cell>
          <cell r="L13">
            <v>1.1482311585286173</v>
          </cell>
          <cell r="M13">
            <v>9.3151298776611227E-2</v>
          </cell>
          <cell r="N13">
            <v>8.701571493564024E-2</v>
          </cell>
          <cell r="O13">
            <v>0.16248784418636669</v>
          </cell>
          <cell r="P13">
            <v>5.031998681090321E-2</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0.58512073757047434</v>
          </cell>
          <cell r="L14">
            <v>1.0058362241964951</v>
          </cell>
          <cell r="M14">
            <v>7.4141625794993518E-2</v>
          </cell>
          <cell r="N14">
            <v>6.8619757407542378E-2</v>
          </cell>
          <cell r="O14">
            <v>0.13547536346423877</v>
          </cell>
          <cell r="P14">
            <v>3.5685163178576916E-2</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3.7037037037037035E-2</v>
          </cell>
          <cell r="J15">
            <v>0.16838748695577699</v>
          </cell>
          <cell r="K15">
            <v>45.992161706502642</v>
          </cell>
          <cell r="L15">
            <v>1.3776013836392784</v>
          </cell>
          <cell r="M15">
            <v>0.12734818413458404</v>
          </cell>
          <cell r="N15">
            <v>0.11897501062329664</v>
          </cell>
          <cell r="O15">
            <v>0.22286032753779406</v>
          </cell>
          <cell r="P15">
            <v>6.6553615221133275E-2</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1.2854617768249781</v>
          </cell>
          <cell r="M16">
            <v>0.1151492708742208</v>
          </cell>
          <cell r="N16">
            <v>0.10604506949655668</v>
          </cell>
          <cell r="O16">
            <v>0.22244484054528116</v>
          </cell>
          <cell r="P16">
            <v>5.6611990677413307E-2</v>
          </cell>
          <cell r="Q16">
            <v>1</v>
          </cell>
          <cell r="R16">
            <v>1</v>
          </cell>
          <cell r="S16">
            <v>2007</v>
          </cell>
        </row>
      </sheetData>
      <sheetData sheetId="4" refreshError="1">
        <row r="3">
          <cell r="A3" t="str">
            <v>AMAMA1</v>
          </cell>
          <cell r="B3" t="str">
            <v>Malampa</v>
          </cell>
          <cell r="C3" t="str">
            <v>Malekula</v>
          </cell>
          <cell r="D3" t="str">
            <v>Lits Lits - Norsup Road Sealing</v>
          </cell>
          <cell r="E3">
            <v>3127.71</v>
          </cell>
          <cell r="F3">
            <v>168</v>
          </cell>
          <cell r="R3">
            <v>189.60480000000001</v>
          </cell>
          <cell r="S3">
            <v>2.2999999999999998</v>
          </cell>
          <cell r="T3">
            <v>8.8000000000000007</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25.212499999999999</v>
          </cell>
          <cell r="P6">
            <v>290.48700000000002</v>
          </cell>
          <cell r="R6">
            <v>163.94399999999999</v>
          </cell>
          <cell r="S6">
            <v>1.5</v>
          </cell>
          <cell r="T6">
            <v>0</v>
          </cell>
        </row>
        <row r="8">
          <cell r="A8" t="str">
            <v>ASASA1</v>
          </cell>
          <cell r="B8" t="str">
            <v>Sanma</v>
          </cell>
          <cell r="C8" t="str">
            <v>Santo</v>
          </cell>
          <cell r="D8" t="str">
            <v>Port Olry Road Upgrading</v>
          </cell>
          <cell r="E8">
            <v>7403.7599999999993</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17.600000000000001</v>
          </cell>
          <cell r="T9">
            <v>17.600000000000001</v>
          </cell>
        </row>
        <row r="10">
          <cell r="A10" t="str">
            <v>ASHEF1</v>
          </cell>
          <cell r="B10" t="str">
            <v>Shefa</v>
          </cell>
          <cell r="C10" t="str">
            <v>Efate</v>
          </cell>
          <cell r="D10" t="str">
            <v>Round-Island Road Upgrading</v>
          </cell>
          <cell r="E10">
            <v>13914.819999999998</v>
          </cell>
          <cell r="F10">
            <v>60</v>
          </cell>
          <cell r="R10">
            <v>2520.6120000000001</v>
          </cell>
          <cell r="S10">
            <v>22.5</v>
          </cell>
          <cell r="T10">
            <v>40</v>
          </cell>
          <cell r="U10">
            <v>7</v>
          </cell>
        </row>
        <row r="11">
          <cell r="A11" t="str">
            <v>ATATA1</v>
          </cell>
          <cell r="B11" t="str">
            <v>Tafea</v>
          </cell>
          <cell r="C11" t="str">
            <v>Tanna</v>
          </cell>
          <cell r="D11" t="str">
            <v>Whitesands Road Upgrading</v>
          </cell>
          <cell r="E11">
            <v>5675.9100000000008</v>
          </cell>
          <cell r="F11">
            <v>100</v>
          </cell>
          <cell r="R11">
            <v>403.00200000000001</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132.47200000000001</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2.9249999999999998</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54513.510000000009</v>
          </cell>
          <cell r="I39">
            <v>1500</v>
          </cell>
          <cell r="J39">
            <v>16</v>
          </cell>
          <cell r="K39">
            <v>1</v>
          </cell>
          <cell r="L39">
            <v>1250</v>
          </cell>
          <cell r="M39">
            <v>420</v>
          </cell>
          <cell r="N39">
            <v>3187</v>
          </cell>
          <cell r="O39">
            <v>28.137499999999999</v>
          </cell>
          <cell r="P39">
            <v>439.98700000000002</v>
          </cell>
          <cell r="Q39">
            <v>104</v>
          </cell>
          <cell r="R39">
            <v>7075.9616000000015</v>
          </cell>
          <cell r="S39">
            <v>87.8</v>
          </cell>
          <cell r="T39">
            <v>117.6</v>
          </cell>
        </row>
        <row r="40">
          <cell r="R40" t="str">
            <v>= US$ 65.5 M</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x"/>
      <sheetName val="Adj lx"/>
      <sheetName val="slop-inter"/>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1" refreshError="1"/>
      <sheetData sheetId="2">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RR"/>
      <sheetName val="HH Bgt Svy"/>
      <sheetName val="Population"/>
    </sheetNames>
    <sheetDataSet>
      <sheetData sheetId="0">
        <row r="50">
          <cell r="C50">
            <v>0.13321697289902587</v>
          </cell>
          <cell r="D50">
            <v>0.11503732774646641</v>
          </cell>
        </row>
        <row r="51">
          <cell r="C51">
            <v>0.2</v>
          </cell>
          <cell r="D51">
            <v>0.2</v>
          </cell>
        </row>
        <row r="58">
          <cell r="E58">
            <v>0.375</v>
          </cell>
        </row>
        <row r="64">
          <cell r="E64">
            <v>0.1875</v>
          </cell>
        </row>
        <row r="72">
          <cell r="E72">
            <v>0.57999999999999996</v>
          </cell>
        </row>
        <row r="126">
          <cell r="C126">
            <v>37.393193929970529</v>
          </cell>
          <cell r="D126">
            <v>37.752259025471446</v>
          </cell>
        </row>
        <row r="140">
          <cell r="C140">
            <v>1.4976092896746465</v>
          </cell>
          <cell r="D140">
            <v>1.5858117928368101</v>
          </cell>
        </row>
        <row r="143">
          <cell r="E143">
            <v>1</v>
          </cell>
        </row>
        <row r="144">
          <cell r="E144">
            <v>1</v>
          </cell>
        </row>
        <row r="145">
          <cell r="E145">
            <v>1</v>
          </cell>
        </row>
        <row r="146">
          <cell r="E146">
            <v>1</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0" refreshError="1"/>
      <sheetData sheetId="1" refreshError="1">
        <row r="9">
          <cell r="G9">
            <v>0.68310000000000015</v>
          </cell>
        </row>
        <row r="24">
          <cell r="G24">
            <v>365</v>
          </cell>
        </row>
        <row r="37">
          <cell r="G37">
            <v>0.5</v>
          </cell>
        </row>
        <row r="38">
          <cell r="G38">
            <v>3.1899999999999998E-2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0" refreshError="1"/>
      <sheetData sheetId="1" refreshError="1">
        <row r="9">
          <cell r="G9">
            <v>0.68310000000000015</v>
          </cell>
        </row>
        <row r="24">
          <cell r="G24">
            <v>365</v>
          </cell>
        </row>
        <row r="37">
          <cell r="G37">
            <v>0.5</v>
          </cell>
        </row>
        <row r="38">
          <cell r="G38">
            <v>3.1899999999999998E-2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UM-2000 REVISION"/>
      <sheetName val="NOTES"/>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Kassebaum, David P (OGC/OGC-IO)" id="{2B789A3A-9E32-4C8A-9CD1-A869B986FE03}" userId="S::kassebaumdp@mcc.gov::70273179-591b-4d91-9947-b13c6514087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2" dT="2020-05-12T20:55:54.83" personId="{2B789A3A-9E32-4C8A-9CD1-A869B986FE03}" id="{C9717011-9F49-40FE-8EBE-0219D0A1A462}">
    <text>MCC should not publicly state that any utility that MCC is supporting is dysfunctional.</text>
  </threadedComment>
</ThreadedComments>
</file>

<file path=xl/threadedComments/threadedComment2.xml><?xml version="1.0" encoding="utf-8"?>
<ThreadedComments xmlns="http://schemas.microsoft.com/office/spreadsheetml/2018/threadedcomments" xmlns:x="http://schemas.openxmlformats.org/spreadsheetml/2006/main">
  <threadedComment ref="B3" dT="2020-05-12T21:02:34.75" personId="{2B789A3A-9E32-4C8A-9CD1-A869B986FE03}" id="{F06C953F-8E64-407B-B20B-B2FED2154828}">
    <text>Why is stunting mentioned here? It does not appear in the Compact.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s://www.cia.gov/library/publications/the-world-factbook/geos/za.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xe.com/ucc/convert/?Amount=1&amp;From=USD&amp;To=ZM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81"/>
  <sheetViews>
    <sheetView showGridLines="0" topLeftCell="A13" zoomScale="110" zoomScaleNormal="110" workbookViewId="0">
      <selection activeCell="B27" sqref="B27"/>
    </sheetView>
  </sheetViews>
  <sheetFormatPr defaultColWidth="9.1796875" defaultRowHeight="12.5"/>
  <cols>
    <col min="1" max="1" width="7.7265625" style="995" customWidth="1"/>
    <col min="2" max="2" width="35.26953125" style="995" customWidth="1"/>
    <col min="3" max="3" width="46.1796875" style="995" customWidth="1"/>
    <col min="4" max="4" width="36.7265625" style="995" customWidth="1"/>
    <col min="5" max="5" width="44.453125" style="995" customWidth="1"/>
    <col min="6" max="6" width="7.7265625" style="995" customWidth="1"/>
    <col min="7" max="16384" width="9.1796875" style="995"/>
  </cols>
  <sheetData>
    <row r="1" spans="2:7">
      <c r="D1" s="996"/>
    </row>
    <row r="2" spans="2:7" ht="18.649999999999999" customHeight="1">
      <c r="B2" s="1020"/>
      <c r="C2" s="1306" t="s">
        <v>1602</v>
      </c>
      <c r="D2" s="1306"/>
    </row>
    <row r="3" spans="2:7" ht="12.75" customHeight="1">
      <c r="C3" s="1306"/>
      <c r="D3" s="1306"/>
    </row>
    <row r="4" spans="2:7" ht="12.65" customHeight="1">
      <c r="C4" s="1306"/>
      <c r="D4" s="1306"/>
    </row>
    <row r="5" spans="2:7" ht="12.65" customHeight="1">
      <c r="C5" s="1306"/>
      <c r="D5" s="1306"/>
    </row>
    <row r="6" spans="2:7" ht="12.65" customHeight="1">
      <c r="C6" s="1306"/>
      <c r="D6" s="1306"/>
    </row>
    <row r="7" spans="2:7" ht="25.5" customHeight="1">
      <c r="C7" s="1307"/>
      <c r="D7" s="1307"/>
      <c r="E7" s="1020"/>
    </row>
    <row r="8" spans="2:7" ht="13" thickBot="1">
      <c r="E8" s="1317"/>
    </row>
    <row r="9" spans="2:7" s="997" customFormat="1" ht="18" customHeight="1" thickTop="1">
      <c r="B9" s="998" t="s">
        <v>1548</v>
      </c>
      <c r="C9" s="999" t="s">
        <v>1549</v>
      </c>
      <c r="D9" s="1304" t="s">
        <v>1550</v>
      </c>
      <c r="E9" s="1316" t="s">
        <v>1760</v>
      </c>
    </row>
    <row r="10" spans="2:7" s="997" customFormat="1" ht="18" customHeight="1">
      <c r="B10" s="1000" t="s">
        <v>1551</v>
      </c>
      <c r="C10" s="1076">
        <v>41683</v>
      </c>
      <c r="D10" s="1284">
        <v>43544</v>
      </c>
      <c r="E10" s="1076">
        <v>43962</v>
      </c>
    </row>
    <row r="11" spans="2:7" s="997" customFormat="1" ht="18" customHeight="1">
      <c r="B11" s="1000" t="s">
        <v>1552</v>
      </c>
      <c r="C11" s="1077" t="s">
        <v>1597</v>
      </c>
      <c r="D11" s="1305" t="s">
        <v>1597</v>
      </c>
      <c r="E11" s="1305" t="s">
        <v>1597</v>
      </c>
    </row>
    <row r="12" spans="2:7" ht="83.5" customHeight="1">
      <c r="B12" s="1289" t="s">
        <v>1553</v>
      </c>
      <c r="C12" s="1078" t="s">
        <v>1603</v>
      </c>
      <c r="D12" s="1298" t="s">
        <v>1603</v>
      </c>
      <c r="E12" s="1309" t="s">
        <v>1603</v>
      </c>
      <c r="G12" s="1020"/>
    </row>
    <row r="13" spans="2:7" ht="75" customHeight="1">
      <c r="B13" s="1290"/>
      <c r="C13" s="1079" t="s">
        <v>1598</v>
      </c>
      <c r="D13" s="1299" t="s">
        <v>1598</v>
      </c>
      <c r="E13" s="1310" t="s">
        <v>1598</v>
      </c>
      <c r="G13" s="1020"/>
    </row>
    <row r="14" spans="2:7" ht="67" customHeight="1">
      <c r="B14" s="1291"/>
      <c r="C14" s="1080" t="s">
        <v>1599</v>
      </c>
      <c r="D14" s="1300" t="s">
        <v>1599</v>
      </c>
      <c r="E14" s="1311" t="s">
        <v>1599</v>
      </c>
    </row>
    <row r="15" spans="2:7" ht="25">
      <c r="B15" s="1292" t="s">
        <v>1554</v>
      </c>
      <c r="C15" s="1078" t="s">
        <v>1604</v>
      </c>
      <c r="D15" s="1298" t="s">
        <v>1604</v>
      </c>
      <c r="E15" s="1309" t="s">
        <v>1604</v>
      </c>
      <c r="G15" s="1020"/>
    </row>
    <row r="16" spans="2:7" ht="12.65" customHeight="1">
      <c r="B16" s="1293"/>
      <c r="C16" s="1079" t="s">
        <v>1605</v>
      </c>
      <c r="D16" s="1301" t="s">
        <v>1605</v>
      </c>
      <c r="E16" s="1312" t="s">
        <v>1605</v>
      </c>
    </row>
    <row r="17" spans="2:5" ht="12.65" customHeight="1">
      <c r="B17" s="1293"/>
      <c r="C17" s="1079" t="s">
        <v>1606</v>
      </c>
      <c r="D17" s="1296" t="s">
        <v>1606</v>
      </c>
      <c r="E17" s="1313" t="s">
        <v>1606</v>
      </c>
    </row>
    <row r="18" spans="2:5" ht="25">
      <c r="B18" s="1293"/>
      <c r="C18" s="1079" t="s">
        <v>1607</v>
      </c>
      <c r="D18" s="1299" t="s">
        <v>1607</v>
      </c>
      <c r="E18" s="1310" t="s">
        <v>1607</v>
      </c>
    </row>
    <row r="19" spans="2:5" ht="12.65" customHeight="1">
      <c r="B19" s="1293"/>
      <c r="C19" s="1079" t="s">
        <v>1608</v>
      </c>
      <c r="D19" s="1296" t="s">
        <v>1608</v>
      </c>
      <c r="E19" s="1313" t="s">
        <v>1608</v>
      </c>
    </row>
    <row r="20" spans="2:5" ht="12.65" customHeight="1">
      <c r="B20" s="1294"/>
      <c r="C20" s="1084" t="s">
        <v>1609</v>
      </c>
      <c r="D20" s="1297" t="s">
        <v>1609</v>
      </c>
      <c r="E20" s="1314" t="s">
        <v>1609</v>
      </c>
    </row>
    <row r="21" spans="2:5" ht="38.25" customHeight="1">
      <c r="B21" s="1000" t="s">
        <v>1555</v>
      </c>
      <c r="C21" s="1081" t="s">
        <v>1600</v>
      </c>
      <c r="D21" s="1282" t="s">
        <v>1600</v>
      </c>
      <c r="E21" s="1081" t="s">
        <v>1600</v>
      </c>
    </row>
    <row r="22" spans="2:5" ht="18" customHeight="1" thickBot="1">
      <c r="B22" s="1001" t="s">
        <v>1556</v>
      </c>
      <c r="C22" s="1082" t="s">
        <v>1601</v>
      </c>
      <c r="D22" s="1302" t="s">
        <v>1661</v>
      </c>
      <c r="E22" s="1315" t="s">
        <v>1761</v>
      </c>
    </row>
    <row r="23" spans="2:5" ht="18" customHeight="1" thickTop="1">
      <c r="B23" s="1002"/>
      <c r="C23" s="1083"/>
      <c r="D23" s="1002"/>
    </row>
    <row r="24" spans="2:5" ht="12.5" customHeight="1">
      <c r="B24" s="1003" t="s">
        <v>1557</v>
      </c>
      <c r="C24" s="1286"/>
      <c r="D24" s="1286"/>
    </row>
    <row r="25" spans="2:5">
      <c r="B25" s="1013" t="s">
        <v>1553</v>
      </c>
      <c r="C25" s="1004"/>
      <c r="D25" s="1005"/>
    </row>
    <row r="26" spans="2:5" ht="29" customHeight="1">
      <c r="B26" s="1426" t="s">
        <v>1558</v>
      </c>
      <c r="C26" s="1426"/>
      <c r="D26" s="1426"/>
    </row>
    <row r="27" spans="2:5" s="1008" customFormat="1">
      <c r="B27" s="1014" t="s">
        <v>1559</v>
      </c>
      <c r="C27" s="1006"/>
      <c r="D27" s="1007"/>
    </row>
    <row r="28" spans="2:5" s="1008" customFormat="1" ht="27.5" customHeight="1">
      <c r="B28" s="1426" t="s">
        <v>1560</v>
      </c>
      <c r="C28" s="1426"/>
      <c r="D28" s="1426"/>
    </row>
    <row r="29" spans="2:5" s="1008" customFormat="1">
      <c r="B29" s="1015" t="s">
        <v>1561</v>
      </c>
      <c r="C29" s="1009"/>
      <c r="D29" s="1007"/>
    </row>
    <row r="30" spans="2:5" s="1008" customFormat="1" ht="23.5" customHeight="1">
      <c r="B30" s="1427" t="s">
        <v>1646</v>
      </c>
      <c r="C30" s="1427"/>
      <c r="D30" s="1427"/>
    </row>
    <row r="31" spans="2:5" s="1008" customFormat="1">
      <c r="B31" s="969" t="s">
        <v>1593</v>
      </c>
      <c r="C31" s="1010"/>
      <c r="D31" s="1007"/>
    </row>
    <row r="32" spans="2:5" s="1008" customFormat="1">
      <c r="B32" s="1308" t="s">
        <v>1614</v>
      </c>
      <c r="C32" s="1308"/>
      <c r="D32" s="1308"/>
    </row>
    <row r="33" spans="1:6" s="1008" customFormat="1">
      <c r="B33" s="1287"/>
      <c r="C33" s="1287"/>
      <c r="D33" s="1287"/>
    </row>
    <row r="34" spans="1:6" s="1008" customFormat="1">
      <c r="B34" s="1061" t="s">
        <v>1587</v>
      </c>
      <c r="C34" s="1287"/>
      <c r="D34" s="1287"/>
    </row>
    <row r="35" spans="1:6" s="1008" customFormat="1">
      <c r="B35" s="1087" t="s">
        <v>1623</v>
      </c>
      <c r="C35" s="1287"/>
      <c r="D35" s="1287"/>
    </row>
    <row r="36" spans="1:6" s="1008" customFormat="1">
      <c r="B36" s="1287"/>
      <c r="C36" s="1287"/>
      <c r="D36" s="1287"/>
    </row>
    <row r="37" spans="1:6" s="1008" customFormat="1">
      <c r="B37" s="1061" t="s">
        <v>1622</v>
      </c>
      <c r="C37" s="1287"/>
      <c r="D37" s="1287"/>
    </row>
    <row r="38" spans="1:6" s="1008" customFormat="1">
      <c r="B38" s="1088" t="s">
        <v>1624</v>
      </c>
      <c r="C38" s="1287"/>
      <c r="D38" s="1287"/>
    </row>
    <row r="39" spans="1:6" s="1008" customFormat="1">
      <c r="B39" s="1283"/>
      <c r="C39" s="1283"/>
      <c r="D39" s="1007"/>
    </row>
    <row r="40" spans="1:6" s="1008" customFormat="1">
      <c r="B40" s="969" t="s">
        <v>1563</v>
      </c>
      <c r="C40" s="1285"/>
      <c r="D40" s="1285"/>
    </row>
    <row r="41" spans="1:6" s="1008" customFormat="1" ht="12.65" customHeight="1">
      <c r="B41" s="1303" t="s">
        <v>1615</v>
      </c>
      <c r="C41" s="1303"/>
      <c r="D41" s="1303"/>
    </row>
    <row r="42" spans="1:6" s="1008" customFormat="1">
      <c r="B42" s="1283"/>
      <c r="C42" s="1283"/>
      <c r="D42" s="1283"/>
    </row>
    <row r="43" spans="1:6" s="1008" customFormat="1">
      <c r="B43" s="1061" t="s">
        <v>1611</v>
      </c>
      <c r="C43" s="1285"/>
      <c r="D43" s="1285"/>
    </row>
    <row r="44" spans="1:6" s="1303" customFormat="1" ht="27" customHeight="1">
      <c r="A44" s="1008"/>
      <c r="B44" s="1303" t="s">
        <v>1610</v>
      </c>
      <c r="F44" s="1008"/>
    </row>
    <row r="45" spans="1:6" s="1008" customFormat="1">
      <c r="B45" s="1285"/>
      <c r="C45" s="1285"/>
      <c r="D45" s="1285"/>
    </row>
    <row r="46" spans="1:6" s="1008" customFormat="1">
      <c r="B46" s="1288" t="s">
        <v>13</v>
      </c>
      <c r="C46" s="1012"/>
      <c r="D46" s="1012"/>
    </row>
    <row r="47" spans="1:6" s="1008" customFormat="1" ht="33" customHeight="1">
      <c r="B47" s="1303" t="s">
        <v>1616</v>
      </c>
      <c r="C47" s="1303"/>
      <c r="D47" s="1303"/>
    </row>
    <row r="48" spans="1:6" s="1008" customFormat="1">
      <c r="B48" s="1011"/>
      <c r="C48" s="1012"/>
      <c r="D48" s="1012"/>
    </row>
    <row r="49" spans="2:4" s="1008" customFormat="1">
      <c r="B49" s="1288" t="s">
        <v>1590</v>
      </c>
      <c r="C49" s="1012"/>
      <c r="D49" s="1012"/>
    </row>
    <row r="50" spans="2:4" s="1008" customFormat="1" ht="29.25" customHeight="1">
      <c r="B50" s="1303" t="s">
        <v>1617</v>
      </c>
      <c r="C50" s="1303"/>
      <c r="D50" s="1303"/>
    </row>
    <row r="51" spans="2:4" s="1008" customFormat="1">
      <c r="B51" s="1011"/>
      <c r="C51" s="1012"/>
      <c r="D51" s="1012"/>
    </row>
    <row r="52" spans="2:4" s="1008" customFormat="1">
      <c r="B52" s="1288" t="s">
        <v>808</v>
      </c>
      <c r="C52" s="1012"/>
      <c r="D52" s="1012"/>
    </row>
    <row r="53" spans="2:4" s="1008" customFormat="1" ht="33.75" customHeight="1">
      <c r="B53" s="1303" t="s">
        <v>1625</v>
      </c>
      <c r="C53" s="1303"/>
      <c r="D53" s="1303"/>
    </row>
    <row r="54" spans="2:4" s="1008" customFormat="1">
      <c r="B54" s="1011"/>
      <c r="C54" s="1012"/>
      <c r="D54" s="1012"/>
    </row>
    <row r="55" spans="2:4" s="1008" customFormat="1">
      <c r="B55" s="1288" t="s">
        <v>1612</v>
      </c>
      <c r="C55" s="1288"/>
      <c r="D55" s="1012"/>
    </row>
    <row r="56" spans="2:4" s="1008" customFormat="1">
      <c r="B56" s="1022" t="s">
        <v>1618</v>
      </c>
      <c r="C56" s="1011"/>
      <c r="D56" s="1012"/>
    </row>
    <row r="57" spans="2:4" s="1008" customFormat="1">
      <c r="B57" s="1011"/>
      <c r="C57" s="1011"/>
      <c r="D57" s="1012"/>
    </row>
    <row r="58" spans="2:4" s="1008" customFormat="1">
      <c r="B58" s="1288" t="s">
        <v>1564</v>
      </c>
      <c r="C58" s="1012"/>
      <c r="D58" s="1012"/>
    </row>
    <row r="59" spans="2:4" s="1008" customFormat="1" ht="25.5" customHeight="1">
      <c r="B59" s="1087" t="s">
        <v>1619</v>
      </c>
      <c r="C59" s="1087"/>
      <c r="D59" s="1087"/>
    </row>
    <row r="60" spans="2:4" s="1008" customFormat="1">
      <c r="B60" s="1011"/>
      <c r="C60" s="1012"/>
      <c r="D60" s="1012"/>
    </row>
    <row r="61" spans="2:4" s="1008" customFormat="1">
      <c r="B61" s="1288" t="s">
        <v>1565</v>
      </c>
      <c r="C61" s="1012"/>
      <c r="D61" s="1012"/>
    </row>
    <row r="62" spans="2:4" s="1008" customFormat="1">
      <c r="B62" s="1085" t="s">
        <v>1620</v>
      </c>
      <c r="C62" s="1012"/>
      <c r="D62" s="1012"/>
    </row>
    <row r="63" spans="2:4" s="1008" customFormat="1">
      <c r="B63" s="1011"/>
      <c r="C63" s="1012"/>
      <c r="D63" s="1012"/>
    </row>
    <row r="64" spans="2:4" s="1008" customFormat="1" ht="13" thickBot="1">
      <c r="B64" s="1288" t="s">
        <v>1613</v>
      </c>
      <c r="C64" s="1012"/>
      <c r="D64" s="1012"/>
    </row>
    <row r="65" spans="2:4" s="1008" customFormat="1" ht="13.5" thickTop="1" thickBot="1">
      <c r="B65" s="1086" t="s">
        <v>1621</v>
      </c>
      <c r="C65" s="1012"/>
      <c r="D65" s="1012"/>
    </row>
    <row r="66" spans="2:4" s="1008" customFormat="1" ht="13" thickTop="1">
      <c r="B66" s="1091"/>
      <c r="C66" s="1012"/>
      <c r="D66" s="1012"/>
    </row>
    <row r="67" spans="2:4" ht="13" thickBot="1">
      <c r="B67" s="969" t="s">
        <v>1626</v>
      </c>
    </row>
    <row r="68" spans="2:4" ht="13.5" thickTop="1" thickBot="1">
      <c r="B68" s="1089" t="s">
        <v>1627</v>
      </c>
    </row>
    <row r="69" spans="2:4" ht="13" thickTop="1"/>
    <row r="70" spans="2:4" ht="13" thickBot="1">
      <c r="B70" s="969" t="s">
        <v>1628</v>
      </c>
    </row>
    <row r="71" spans="2:4" ht="13.5" thickTop="1" thickBot="1">
      <c r="B71" s="1086" t="s">
        <v>1629</v>
      </c>
    </row>
    <row r="72" spans="2:4" s="1008" customFormat="1" ht="13" thickTop="1">
      <c r="B72" s="1011"/>
      <c r="C72" s="1012"/>
      <c r="D72" s="1012"/>
    </row>
    <row r="73" spans="2:4">
      <c r="B73" s="1015" t="s">
        <v>1313</v>
      </c>
      <c r="C73" s="1009"/>
      <c r="D73" s="1007"/>
    </row>
    <row r="74" spans="2:4" ht="39" customHeight="1">
      <c r="B74" s="1087" t="s">
        <v>1562</v>
      </c>
      <c r="C74" s="1087"/>
      <c r="D74" s="1087"/>
    </row>
    <row r="78" spans="2:4" ht="13">
      <c r="B78" s="1090"/>
    </row>
    <row r="81" spans="2:2" ht="13">
      <c r="B81" s="1090"/>
    </row>
  </sheetData>
  <mergeCells count="3">
    <mergeCell ref="B30:D30"/>
    <mergeCell ref="B26:D26"/>
    <mergeCell ref="B28:D28"/>
  </mergeCells>
  <hyperlinks>
    <hyperlink ref="B27" location="'ERR &amp; Sensitivity Analysis'!A1" display="ERR &amp; Sensitivity Analysis" xr:uid="{00000000-0004-0000-0000-000000000000}"/>
    <hyperlink ref="B25" location="'Project Description'!A1" display="Project Description" xr:uid="{00000000-0004-0000-0000-000001000000}"/>
    <hyperlink ref="B29" location="'Cost-Benefit Summary'!A1" display="Cost-Benefit Summary" xr:uid="{00000000-0004-0000-0000-000002000000}"/>
    <hyperlink ref="B73" location="'Poverty Scorecard'!A1" display="Poverty Scorecard" xr:uid="{00000000-0004-0000-0000-000003000000}"/>
    <hyperlink ref="B31" location="ERR!A1" display="ERR Overview-Background Sheet " xr:uid="{00000000-0004-0000-0000-000004000000}"/>
    <hyperlink ref="B46" location="Drainage!A1" display="Drainage" xr:uid="{00000000-0004-0000-0000-000005000000}"/>
    <hyperlink ref="B49" location="'Time Savings'!A1" display="Time Savings " xr:uid="{00000000-0004-0000-0000-000006000000}"/>
    <hyperlink ref="B52" location="NRW!A1" display="NRW" xr:uid="{00000000-0004-0000-0000-000007000000}"/>
    <hyperlink ref="B58" location="Sources!A1" display="Sources" xr:uid="{00000000-0004-0000-0000-000008000000}"/>
    <hyperlink ref="B61" location="Assumptions!A1" display="Assumptions " xr:uid="{00000000-0004-0000-0000-000009000000}"/>
    <hyperlink ref="B64" location="'BA Inputs'!A1" display="BA Inputs " xr:uid="{00000000-0004-0000-0000-00000A000000}"/>
    <hyperlink ref="B40" location="Health!A1" display="Health " xr:uid="{00000000-0004-0000-0000-00000B000000}"/>
    <hyperlink ref="B55:C55" location="'Travel Time Analysis'!A1" display="Time Travel Analysis " xr:uid="{00000000-0004-0000-0000-00000C000000}"/>
    <hyperlink ref="B43" location="'Health-Stunting'!A1" display="Health-Stunting " xr:uid="{00000000-0004-0000-0000-00000D000000}"/>
    <hyperlink ref="B34" location="Costs!A1" display="Costs " xr:uid="{00000000-0004-0000-0000-00000E000000}"/>
    <hyperlink ref="B37" location="Benefits!A1" display="Benefits " xr:uid="{00000000-0004-0000-0000-00000F000000}"/>
    <hyperlink ref="B70" location="'Barchart Data'!A1" display="Barchart Data " xr:uid="{00000000-0004-0000-0000-000010000000}"/>
    <hyperlink ref="B67" location="Barchart!A1" display="Barchart " xr:uid="{00000000-0004-0000-0000-000011000000}"/>
  </hyperlink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autoPageBreaks="0"/>
  </sheetPr>
  <dimension ref="A1:CG231"/>
  <sheetViews>
    <sheetView zoomScale="80" zoomScaleNormal="80" workbookViewId="0">
      <selection activeCell="B3" sqref="B3"/>
    </sheetView>
  </sheetViews>
  <sheetFormatPr defaultColWidth="9.1796875" defaultRowHeight="14.5"/>
  <cols>
    <col min="1" max="1" width="2.7265625" style="1" customWidth="1"/>
    <col min="2" max="2" width="52.26953125" style="1" customWidth="1"/>
    <col min="3" max="3" width="19.54296875" style="1" customWidth="1"/>
    <col min="4" max="4" width="12.453125" style="1" customWidth="1"/>
    <col min="5" max="5" width="10.453125" style="1" bestFit="1" customWidth="1"/>
    <col min="6" max="6" width="22.1796875" style="1" bestFit="1" customWidth="1"/>
    <col min="7" max="17" width="9.1796875" style="1"/>
    <col min="18" max="18" width="12.1796875" style="1" bestFit="1" customWidth="1"/>
    <col min="19" max="24" width="9.1796875" style="1"/>
    <col min="25" max="25" width="11.54296875" style="1" bestFit="1" customWidth="1"/>
    <col min="26" max="45" width="10.453125" style="1" bestFit="1" customWidth="1"/>
    <col min="46" max="80" width="11.54296875" style="1" bestFit="1" customWidth="1"/>
    <col min="81" max="16384" width="9.1796875" style="1"/>
  </cols>
  <sheetData>
    <row r="1" spans="2:26" s="1066" customFormat="1">
      <c r="B1" s="1380"/>
      <c r="C1" s="1380"/>
      <c r="O1" s="1333" t="s">
        <v>1764</v>
      </c>
      <c r="P1" s="1333"/>
      <c r="Q1" s="1333"/>
    </row>
    <row r="2" spans="2:26" s="1066" customFormat="1">
      <c r="P2" s="1137"/>
      <c r="Q2" s="1137"/>
    </row>
    <row r="3" spans="2:26" ht="18.5">
      <c r="B3" s="124" t="s">
        <v>466</v>
      </c>
      <c r="C3" s="282" t="s">
        <v>1332</v>
      </c>
    </row>
    <row r="4" spans="2:26" ht="15.5">
      <c r="B4" s="192"/>
      <c r="C4" s="879" t="s">
        <v>1331</v>
      </c>
    </row>
    <row r="5" spans="2:26" ht="15.5">
      <c r="B5" s="192" t="s">
        <v>465</v>
      </c>
    </row>
    <row r="6" spans="2:26">
      <c r="B6" s="1" t="s">
        <v>1342</v>
      </c>
      <c r="E6" s="197"/>
      <c r="F6" s="197"/>
      <c r="G6" s="197"/>
      <c r="H6" s="197"/>
      <c r="I6" s="197"/>
      <c r="J6" s="197"/>
      <c r="K6" s="197"/>
      <c r="L6" s="197"/>
      <c r="M6" s="197"/>
      <c r="N6" s="197"/>
      <c r="O6" s="197"/>
      <c r="P6" s="197"/>
      <c r="Q6" s="197"/>
      <c r="R6" s="197"/>
      <c r="S6" s="197"/>
      <c r="T6" s="197"/>
      <c r="U6" s="197"/>
      <c r="V6" s="197"/>
      <c r="W6" s="197"/>
      <c r="X6" s="197"/>
      <c r="Y6" s="197"/>
      <c r="Z6" s="197"/>
    </row>
    <row r="7" spans="2:26">
      <c r="B7" s="1" t="s">
        <v>464</v>
      </c>
      <c r="I7" s="228"/>
      <c r="J7" s="228"/>
      <c r="K7" s="228"/>
      <c r="L7" s="228"/>
      <c r="M7" s="228"/>
      <c r="N7" s="228"/>
      <c r="O7" s="228"/>
      <c r="P7" s="228"/>
      <c r="Q7" s="228"/>
      <c r="R7" s="228"/>
      <c r="S7" s="228"/>
      <c r="T7" s="228"/>
      <c r="U7" s="228"/>
      <c r="V7" s="228"/>
      <c r="W7" s="228"/>
    </row>
    <row r="8" spans="2:26">
      <c r="B8" s="229" t="s">
        <v>456</v>
      </c>
      <c r="C8" s="240" t="s">
        <v>454</v>
      </c>
      <c r="D8" s="240" t="s">
        <v>453</v>
      </c>
      <c r="E8" s="240" t="s">
        <v>452</v>
      </c>
      <c r="F8" s="240" t="s">
        <v>451</v>
      </c>
      <c r="G8" s="243" t="s">
        <v>1337</v>
      </c>
      <c r="I8" s="228"/>
      <c r="J8" s="228"/>
      <c r="K8" s="228"/>
      <c r="L8" s="228"/>
      <c r="M8" s="228"/>
      <c r="N8" s="228"/>
      <c r="O8" s="228"/>
      <c r="P8" s="228"/>
      <c r="Q8" s="228"/>
      <c r="R8" s="228"/>
      <c r="S8" s="228"/>
      <c r="T8" s="228"/>
      <c r="U8" s="228"/>
      <c r="V8" s="228"/>
      <c r="W8" s="228"/>
    </row>
    <row r="9" spans="2:26">
      <c r="B9" s="229"/>
      <c r="C9" s="229">
        <v>0.15</v>
      </c>
      <c r="D9" s="229">
        <v>-1.6999999999999999E-3</v>
      </c>
      <c r="E9" s="229">
        <f>-0.113</f>
        <v>-0.113</v>
      </c>
      <c r="F9" s="229">
        <v>1.49E-2</v>
      </c>
      <c r="G9" s="243" t="s">
        <v>1335</v>
      </c>
      <c r="I9" s="228"/>
      <c r="J9" s="228"/>
      <c r="K9" s="228"/>
      <c r="L9" s="228"/>
      <c r="M9" s="228"/>
      <c r="N9" s="228"/>
      <c r="O9" s="228"/>
      <c r="P9" s="228"/>
      <c r="Q9" s="228"/>
      <c r="R9" s="228"/>
      <c r="S9" s="228"/>
      <c r="T9" s="228"/>
      <c r="U9" s="228"/>
      <c r="V9" s="228"/>
      <c r="W9" s="228"/>
    </row>
    <row r="10" spans="2:26" s="879" customFormat="1">
      <c r="B10" s="229"/>
      <c r="C10" s="229" t="s">
        <v>1336</v>
      </c>
      <c r="D10" s="229"/>
      <c r="E10" s="229"/>
      <c r="F10" s="229"/>
      <c r="G10" s="243"/>
      <c r="I10" s="228"/>
      <c r="J10" s="228"/>
      <c r="K10" s="228"/>
      <c r="L10" s="228"/>
      <c r="M10" s="228"/>
      <c r="N10" s="228"/>
      <c r="O10" s="228"/>
      <c r="P10" s="228"/>
      <c r="Q10" s="228"/>
      <c r="R10" s="228"/>
      <c r="S10" s="228"/>
      <c r="T10" s="228"/>
      <c r="U10" s="228"/>
      <c r="V10" s="228"/>
      <c r="W10" s="228"/>
    </row>
    <row r="11" spans="2:26">
      <c r="B11" s="229" t="s">
        <v>455</v>
      </c>
      <c r="C11" s="241" t="s">
        <v>454</v>
      </c>
      <c r="D11" s="240" t="s">
        <v>453</v>
      </c>
      <c r="E11" s="240" t="s">
        <v>452</v>
      </c>
      <c r="F11" s="240" t="s">
        <v>451</v>
      </c>
      <c r="I11" s="228"/>
      <c r="J11" s="228"/>
      <c r="K11" s="228"/>
      <c r="L11" s="228"/>
      <c r="M11" s="228"/>
      <c r="N11" s="228"/>
      <c r="O11" s="228"/>
      <c r="P11" s="228"/>
      <c r="Q11" s="228"/>
      <c r="R11" s="228"/>
      <c r="S11" s="228"/>
      <c r="T11" s="228"/>
      <c r="U11" s="228"/>
      <c r="V11" s="228"/>
      <c r="W11" s="228"/>
    </row>
    <row r="12" spans="2:26" ht="29.25" customHeight="1">
      <c r="B12" s="238" t="s">
        <v>446</v>
      </c>
      <c r="C12" s="229">
        <v>1</v>
      </c>
      <c r="D12" s="229">
        <f>(C12^2)</f>
        <v>1</v>
      </c>
      <c r="E12" s="229">
        <f>0.74*2</f>
        <v>1.48</v>
      </c>
      <c r="F12" s="229">
        <f>(E12^2)</f>
        <v>2.1903999999999999</v>
      </c>
      <c r="G12" s="1379" t="s">
        <v>1642</v>
      </c>
      <c r="H12" s="1379"/>
      <c r="I12" s="1379"/>
      <c r="J12" s="1379"/>
      <c r="K12" s="1379"/>
      <c r="L12" s="1379"/>
      <c r="M12" s="1379"/>
      <c r="N12" s="1379"/>
      <c r="O12" s="1381"/>
      <c r="P12" s="1381"/>
      <c r="Q12" s="1381"/>
      <c r="R12" s="1381"/>
      <c r="S12" s="228"/>
      <c r="T12" s="228"/>
      <c r="U12" s="228"/>
      <c r="V12" s="228"/>
      <c r="W12" s="228"/>
    </row>
    <row r="13" spans="2:26">
      <c r="B13" s="201"/>
      <c r="C13" s="6" t="s">
        <v>1334</v>
      </c>
      <c r="D13" s="200"/>
      <c r="E13" s="245"/>
      <c r="F13" s="68"/>
      <c r="I13" s="232"/>
      <c r="J13" s="232"/>
      <c r="K13" s="232"/>
      <c r="L13" s="232"/>
      <c r="M13" s="232"/>
      <c r="N13" s="232"/>
      <c r="O13" s="228"/>
      <c r="P13" s="228"/>
      <c r="Q13" s="228"/>
      <c r="R13" s="228"/>
      <c r="S13" s="228"/>
      <c r="T13" s="228"/>
      <c r="U13" s="228"/>
      <c r="V13" s="228"/>
      <c r="W13" s="228"/>
    </row>
    <row r="14" spans="2:26">
      <c r="B14" s="201" t="s">
        <v>463</v>
      </c>
      <c r="C14" s="6"/>
      <c r="D14" s="200"/>
      <c r="E14" s="245"/>
      <c r="F14" s="68"/>
      <c r="I14" s="120"/>
      <c r="J14" s="232"/>
      <c r="K14" s="232"/>
      <c r="L14" s="232"/>
      <c r="M14" s="120"/>
      <c r="N14" s="232"/>
      <c r="O14" s="228"/>
      <c r="P14" s="228"/>
      <c r="Q14" s="228"/>
      <c r="R14" s="228"/>
      <c r="S14" s="228"/>
      <c r="T14" s="228"/>
      <c r="U14" s="228"/>
      <c r="V14" s="228"/>
      <c r="W14" s="228"/>
    </row>
    <row r="15" spans="2:26">
      <c r="B15" s="246" t="s">
        <v>462</v>
      </c>
      <c r="C15" s="222">
        <v>0.7</v>
      </c>
      <c r="D15" s="1" t="s">
        <v>540</v>
      </c>
      <c r="E15" s="245"/>
      <c r="F15" s="68"/>
      <c r="I15" s="120"/>
      <c r="J15" s="232"/>
      <c r="K15" s="232"/>
      <c r="L15" s="232"/>
      <c r="M15" s="120"/>
      <c r="N15" s="232"/>
      <c r="O15" s="228"/>
      <c r="P15" s="228"/>
      <c r="Q15" s="228"/>
      <c r="R15" s="228"/>
      <c r="S15" s="228"/>
      <c r="T15" s="228"/>
      <c r="U15" s="228"/>
      <c r="V15" s="228"/>
      <c r="W15" s="228"/>
    </row>
    <row r="16" spans="2:26">
      <c r="B16" s="246" t="s">
        <v>461</v>
      </c>
      <c r="C16" s="222">
        <v>0.8</v>
      </c>
      <c r="D16" s="208" t="s">
        <v>540</v>
      </c>
      <c r="E16" s="245"/>
      <c r="F16" s="68"/>
      <c r="I16" s="120"/>
      <c r="J16" s="232"/>
      <c r="K16" s="232"/>
      <c r="L16" s="232"/>
      <c r="M16" s="120"/>
      <c r="N16" s="232"/>
      <c r="O16" s="228"/>
      <c r="P16" s="228"/>
      <c r="Q16" s="228"/>
      <c r="R16" s="228"/>
      <c r="S16" s="228"/>
      <c r="T16" s="228"/>
      <c r="U16" s="228"/>
      <c r="V16" s="228"/>
      <c r="W16" s="228"/>
    </row>
    <row r="17" spans="2:23">
      <c r="B17" s="201"/>
      <c r="C17" s="6"/>
      <c r="D17" s="200"/>
      <c r="E17" s="245"/>
      <c r="F17" s="68"/>
      <c r="I17" s="120"/>
      <c r="J17" s="1" t="s">
        <v>751</v>
      </c>
      <c r="K17" s="232"/>
      <c r="L17" s="232"/>
      <c r="M17" s="120"/>
      <c r="N17" s="232"/>
      <c r="O17" s="228"/>
      <c r="P17" s="228"/>
      <c r="Q17" s="228"/>
      <c r="R17" s="228"/>
      <c r="S17" s="228"/>
      <c r="T17" s="228"/>
      <c r="U17" s="228"/>
      <c r="V17" s="228"/>
      <c r="W17" s="228"/>
    </row>
    <row r="18" spans="2:23">
      <c r="B18" s="201" t="s">
        <v>460</v>
      </c>
      <c r="C18" s="6"/>
      <c r="D18" s="200"/>
      <c r="E18" s="245"/>
      <c r="F18" s="68"/>
      <c r="I18" s="232"/>
      <c r="K18" s="232" t="s">
        <v>459</v>
      </c>
      <c r="L18" s="232"/>
      <c r="M18" s="244" t="s">
        <v>458</v>
      </c>
      <c r="N18" s="232"/>
      <c r="O18" s="232" t="s">
        <v>457</v>
      </c>
      <c r="P18" s="228"/>
      <c r="Q18" s="228"/>
      <c r="R18" s="228"/>
      <c r="S18" s="228"/>
      <c r="T18" s="228"/>
      <c r="U18" s="228"/>
      <c r="V18" s="228"/>
      <c r="W18" s="228"/>
    </row>
    <row r="19" spans="2:23">
      <c r="B19" s="229" t="s">
        <v>456</v>
      </c>
      <c r="C19" s="240" t="s">
        <v>454</v>
      </c>
      <c r="D19" s="240" t="s">
        <v>453</v>
      </c>
      <c r="E19" s="240" t="s">
        <v>452</v>
      </c>
      <c r="F19" s="240" t="s">
        <v>451</v>
      </c>
      <c r="I19" s="232"/>
      <c r="J19" s="243" t="s">
        <v>353</v>
      </c>
      <c r="K19" s="99">
        <v>0.92979744931472896</v>
      </c>
      <c r="L19" s="232"/>
      <c r="M19" s="242"/>
      <c r="N19" s="232"/>
      <c r="O19" s="232">
        <v>7</v>
      </c>
      <c r="P19" s="228"/>
      <c r="Q19" s="228"/>
      <c r="R19" s="228"/>
      <c r="S19" s="228"/>
      <c r="T19" s="228"/>
      <c r="U19" s="228"/>
      <c r="V19" s="228"/>
      <c r="W19" s="228"/>
    </row>
    <row r="20" spans="2:23">
      <c r="B20" s="229"/>
      <c r="C20" s="229">
        <v>7.0000000000000007E-2</v>
      </c>
      <c r="D20" s="229">
        <v>-6.9999999999999999E-4</v>
      </c>
      <c r="E20" s="229">
        <f>-0.069</f>
        <v>-6.9000000000000006E-2</v>
      </c>
      <c r="F20" s="229">
        <v>1.1599999999999999E-2</v>
      </c>
      <c r="G20" s="243" t="s">
        <v>1333</v>
      </c>
      <c r="J20" s="1" t="s">
        <v>352</v>
      </c>
      <c r="K20" s="86">
        <f>40%*M20</f>
        <v>0.1636</v>
      </c>
      <c r="L20" s="232" t="s">
        <v>753</v>
      </c>
      <c r="M20" s="233">
        <v>0.40899999999999997</v>
      </c>
      <c r="N20" s="232"/>
      <c r="O20" s="232">
        <v>5</v>
      </c>
      <c r="Q20" s="228"/>
      <c r="R20" s="228"/>
      <c r="S20" s="228"/>
      <c r="T20" s="228"/>
      <c r="U20" s="228"/>
      <c r="V20" s="228"/>
      <c r="W20" s="228"/>
    </row>
    <row r="21" spans="2:23">
      <c r="B21" s="229" t="s">
        <v>455</v>
      </c>
      <c r="C21" s="241" t="s">
        <v>454</v>
      </c>
      <c r="D21" s="240" t="s">
        <v>453</v>
      </c>
      <c r="E21" s="240" t="s">
        <v>452</v>
      </c>
      <c r="F21" s="240" t="s">
        <v>451</v>
      </c>
      <c r="J21" s="1" t="s">
        <v>438</v>
      </c>
      <c r="K21" s="239">
        <v>0.06</v>
      </c>
      <c r="L21" s="232" t="s">
        <v>752</v>
      </c>
      <c r="M21" s="239">
        <v>0.1</v>
      </c>
      <c r="N21" s="232" t="s">
        <v>752</v>
      </c>
      <c r="O21" s="232">
        <v>4</v>
      </c>
      <c r="Q21" s="228"/>
      <c r="R21" s="228"/>
      <c r="S21" s="228"/>
      <c r="T21" s="228"/>
      <c r="U21" s="228"/>
      <c r="V21" s="228"/>
      <c r="W21" s="228"/>
    </row>
    <row r="22" spans="2:23">
      <c r="B22" s="132" t="s">
        <v>450</v>
      </c>
      <c r="C22" s="108">
        <f>Health!T84</f>
        <v>28.760916366666056</v>
      </c>
      <c r="D22" s="71">
        <f>C22^2</f>
        <v>827.1903102503594</v>
      </c>
      <c r="E22" s="108">
        <f>O29</f>
        <v>8.5876940484010333</v>
      </c>
      <c r="F22" s="71">
        <f>E22^2</f>
        <v>73.748489068942533</v>
      </c>
      <c r="J22" s="1" t="s">
        <v>449</v>
      </c>
      <c r="K22" s="232"/>
      <c r="L22" s="232" t="s">
        <v>448</v>
      </c>
      <c r="M22" s="232"/>
      <c r="N22" s="232"/>
      <c r="O22" s="232" t="s">
        <v>447</v>
      </c>
      <c r="P22" s="1" t="s">
        <v>754</v>
      </c>
      <c r="Q22" s="228"/>
      <c r="R22" s="228"/>
      <c r="S22" s="228"/>
      <c r="T22" s="228"/>
      <c r="U22" s="228"/>
      <c r="V22" s="228"/>
      <c r="W22" s="228"/>
    </row>
    <row r="23" spans="2:23">
      <c r="B23" s="238" t="s">
        <v>446</v>
      </c>
      <c r="C23" s="236">
        <f>C12*C15*C16</f>
        <v>0.55999999999999994</v>
      </c>
      <c r="D23" s="229"/>
      <c r="E23" s="229">
        <f>E12*C15*C16</f>
        <v>0.82880000000000009</v>
      </c>
      <c r="F23" s="229"/>
      <c r="J23" s="1" t="s">
        <v>445</v>
      </c>
      <c r="K23" s="232"/>
      <c r="L23" s="233">
        <f>100%-K19</f>
        <v>7.0202550685271037E-2</v>
      </c>
      <c r="M23" s="232"/>
      <c r="N23" s="232"/>
      <c r="O23" s="231">
        <f>(2/3)*O19</f>
        <v>4.6666666666666661</v>
      </c>
      <c r="Q23" s="228"/>
      <c r="R23" s="228"/>
      <c r="S23" s="228"/>
      <c r="T23" s="228"/>
      <c r="U23" s="228"/>
      <c r="V23" s="228"/>
      <c r="W23" s="228"/>
    </row>
    <row r="24" spans="2:23">
      <c r="B24" s="132" t="s">
        <v>444</v>
      </c>
      <c r="C24" s="237">
        <f>C22+C23</f>
        <v>29.320916366666054</v>
      </c>
      <c r="D24" s="71">
        <f>C24^2</f>
        <v>859.71613658102524</v>
      </c>
      <c r="E24" s="237">
        <f>E22+E23</f>
        <v>9.4164940484010327</v>
      </c>
      <c r="F24" s="71">
        <f>E24^2</f>
        <v>88.67036016357207</v>
      </c>
      <c r="J24" s="1" t="s">
        <v>353</v>
      </c>
      <c r="K24" s="232"/>
      <c r="L24" s="233">
        <f>K19-M20</f>
        <v>0.52079744931472893</v>
      </c>
      <c r="M24" s="232"/>
      <c r="N24" s="232"/>
      <c r="O24" s="231">
        <f>O19</f>
        <v>7</v>
      </c>
      <c r="Q24" s="228"/>
      <c r="R24" s="228"/>
      <c r="S24" s="228"/>
      <c r="T24" s="228"/>
      <c r="U24" s="228"/>
      <c r="V24" s="228"/>
      <c r="W24" s="228"/>
    </row>
    <row r="25" spans="2:23">
      <c r="B25" s="132"/>
      <c r="C25" s="236"/>
      <c r="D25" s="229"/>
      <c r="E25" s="229" t="s">
        <v>751</v>
      </c>
      <c r="F25" s="229"/>
      <c r="J25" s="1" t="s">
        <v>443</v>
      </c>
      <c r="K25" s="232"/>
      <c r="L25" s="233">
        <f>M20-K20</f>
        <v>0.24539999999999998</v>
      </c>
      <c r="M25" s="232"/>
      <c r="N25" s="232"/>
      <c r="O25" s="231">
        <f>AVERAGE(O24,O26)</f>
        <v>9.5</v>
      </c>
      <c r="Q25" s="228"/>
      <c r="R25" s="228"/>
      <c r="S25" s="228"/>
      <c r="T25" s="228"/>
      <c r="U25" s="228"/>
      <c r="V25" s="228"/>
      <c r="W25" s="228"/>
    </row>
    <row r="26" spans="2:23">
      <c r="B26" s="229" t="s">
        <v>442</v>
      </c>
      <c r="C26" s="236"/>
      <c r="D26" s="229"/>
      <c r="E26" s="229"/>
      <c r="F26" s="229"/>
      <c r="J26" s="1" t="s">
        <v>352</v>
      </c>
      <c r="L26" s="99">
        <f>K20-M21</f>
        <v>6.359999999999999E-2</v>
      </c>
      <c r="M26" s="232"/>
      <c r="N26" s="232"/>
      <c r="O26" s="231">
        <f>O19+O20</f>
        <v>12</v>
      </c>
      <c r="Q26" s="228"/>
      <c r="R26" s="228"/>
      <c r="S26" s="228"/>
      <c r="T26" s="228"/>
      <c r="U26" s="228"/>
      <c r="V26" s="228"/>
      <c r="W26" s="228"/>
    </row>
    <row r="27" spans="2:23">
      <c r="B27" s="132" t="s">
        <v>441</v>
      </c>
      <c r="C27" s="236">
        <f>SUMPRODUCT(C20:F20,C22:F22)</f>
        <v>1.6971625123514347</v>
      </c>
      <c r="D27" s="229"/>
      <c r="E27" s="229"/>
      <c r="F27" s="229"/>
      <c r="J27" s="1" t="s">
        <v>440</v>
      </c>
      <c r="K27" s="232"/>
      <c r="L27" s="233">
        <f>M21-K21</f>
        <v>4.0000000000000008E-2</v>
      </c>
      <c r="M27" s="232"/>
      <c r="N27" s="232"/>
      <c r="O27" s="231">
        <f>AVERAGE(O26,O28)</f>
        <v>14</v>
      </c>
      <c r="Q27" s="228"/>
      <c r="R27" s="228"/>
      <c r="S27" s="228"/>
      <c r="T27" s="228"/>
      <c r="U27" s="228"/>
      <c r="V27" s="228"/>
      <c r="W27" s="228"/>
    </row>
    <row r="28" spans="2:23">
      <c r="B28" s="132" t="s">
        <v>439</v>
      </c>
      <c r="C28" s="236">
        <f>SUMPRODUCT(C20:F20,C24:F24)</f>
        <v>1.829500938617671</v>
      </c>
      <c r="D28" s="229"/>
      <c r="E28" s="229"/>
      <c r="F28" s="229"/>
      <c r="J28" s="1" t="s">
        <v>438</v>
      </c>
      <c r="K28" s="232"/>
      <c r="L28" s="233">
        <f>K21</f>
        <v>0.06</v>
      </c>
      <c r="M28" s="232"/>
      <c r="N28" s="232"/>
      <c r="O28" s="235">
        <f>O19+O20+O21</f>
        <v>16</v>
      </c>
      <c r="Q28" s="228"/>
      <c r="R28" s="228"/>
      <c r="S28" s="154" t="s">
        <v>467</v>
      </c>
      <c r="T28" s="247"/>
      <c r="U28" s="247"/>
      <c r="V28" s="228"/>
      <c r="W28" s="228"/>
    </row>
    <row r="29" spans="2:23">
      <c r="C29" s="234"/>
      <c r="D29" s="229"/>
      <c r="E29" s="229"/>
      <c r="F29" s="229"/>
      <c r="J29" s="1" t="s">
        <v>437</v>
      </c>
      <c r="K29" s="232"/>
      <c r="L29" s="233"/>
      <c r="M29" s="232"/>
      <c r="N29" s="232"/>
      <c r="O29" s="231">
        <f>SUMPRODUCT(L23:L28,O23:O28)</f>
        <v>8.5876940484010333</v>
      </c>
      <c r="Q29" s="228"/>
      <c r="R29" s="228"/>
      <c r="S29" s="248" t="s">
        <v>468</v>
      </c>
      <c r="T29" s="249">
        <v>0</v>
      </c>
      <c r="U29" s="154" t="s">
        <v>1240</v>
      </c>
      <c r="V29" s="228"/>
      <c r="W29" s="228"/>
    </row>
    <row r="30" spans="2:23">
      <c r="B30" s="229" t="s">
        <v>436</v>
      </c>
      <c r="C30" s="230">
        <f>EXP(C28)/EXP(C27)-1</f>
        <v>0.1414945656493698</v>
      </c>
      <c r="D30" s="229" t="s">
        <v>435</v>
      </c>
      <c r="E30" s="229"/>
      <c r="F30" s="229"/>
      <c r="J30" s="506" t="s">
        <v>733</v>
      </c>
      <c r="K30" s="507"/>
      <c r="L30" s="506"/>
      <c r="M30" s="506"/>
      <c r="N30" s="506"/>
      <c r="O30" s="506"/>
      <c r="P30" s="154"/>
      <c r="Q30" s="508"/>
      <c r="R30" s="154"/>
      <c r="S30" s="248" t="s">
        <v>469</v>
      </c>
      <c r="T30" s="249">
        <v>0</v>
      </c>
      <c r="U30" s="154"/>
      <c r="V30" s="228"/>
      <c r="W30" s="228"/>
    </row>
    <row r="31" spans="2:23">
      <c r="E31" s="229"/>
      <c r="F31" s="229"/>
      <c r="J31" s="506" t="s">
        <v>734</v>
      </c>
      <c r="K31" s="507"/>
      <c r="L31" s="506"/>
      <c r="M31" s="506"/>
      <c r="N31" s="506"/>
      <c r="O31" s="506"/>
      <c r="P31" s="154"/>
      <c r="Q31" s="154"/>
      <c r="R31" s="154"/>
      <c r="S31" s="248" t="s">
        <v>470</v>
      </c>
      <c r="T31" s="249">
        <f>1%*0</f>
        <v>0</v>
      </c>
      <c r="U31" s="154" t="s">
        <v>731</v>
      </c>
      <c r="V31" s="228"/>
      <c r="W31" s="228"/>
    </row>
    <row r="32" spans="2:23">
      <c r="B32" s="1" t="s">
        <v>434</v>
      </c>
      <c r="C32" s="9">
        <v>1</v>
      </c>
      <c r="D32" s="1" t="s">
        <v>748</v>
      </c>
      <c r="J32" s="509" t="s">
        <v>91</v>
      </c>
      <c r="K32" s="510" t="s">
        <v>735</v>
      </c>
      <c r="L32" s="511" t="s">
        <v>736</v>
      </c>
      <c r="M32" s="512" t="s">
        <v>737</v>
      </c>
      <c r="N32" s="512" t="s">
        <v>745</v>
      </c>
      <c r="O32" s="154" t="s">
        <v>739</v>
      </c>
      <c r="P32" s="512" t="s">
        <v>746</v>
      </c>
      <c r="Q32" s="154"/>
      <c r="R32" s="154" t="s">
        <v>741</v>
      </c>
      <c r="S32" s="111"/>
      <c r="U32" s="9"/>
    </row>
    <row r="33" spans="1:80">
      <c r="B33" s="1" t="s">
        <v>433</v>
      </c>
      <c r="C33" s="9">
        <v>14</v>
      </c>
      <c r="J33" s="451">
        <v>2000</v>
      </c>
      <c r="K33" s="513">
        <v>39.769637454815403</v>
      </c>
      <c r="L33" s="506"/>
      <c r="M33" s="129">
        <v>9.3778330122147192E-3</v>
      </c>
      <c r="N33" s="514">
        <f>N34/(1+M33)</f>
        <v>90.457190646077194</v>
      </c>
      <c r="O33" s="281">
        <v>2499044442112</v>
      </c>
      <c r="P33" s="154"/>
      <c r="Q33" s="154"/>
      <c r="R33" s="154"/>
      <c r="S33" s="111"/>
      <c r="T33" s="9"/>
      <c r="U33" s="9"/>
      <c r="Y33" s="505"/>
    </row>
    <row r="34" spans="1:80">
      <c r="B34" s="1" t="s">
        <v>432</v>
      </c>
      <c r="C34" s="9">
        <v>55</v>
      </c>
      <c r="F34" s="879"/>
      <c r="G34" s="879"/>
      <c r="H34" s="879"/>
      <c r="I34" s="879"/>
      <c r="J34" s="451">
        <v>2001</v>
      </c>
      <c r="K34" s="513">
        <v>48.277867065377997</v>
      </c>
      <c r="L34" s="515">
        <f>(K34-K33)/K33</f>
        <v>0.21393782179254936</v>
      </c>
      <c r="M34" s="129">
        <v>2.3848413954639401E-2</v>
      </c>
      <c r="N34" s="514">
        <f>N35/(1+M34)</f>
        <v>91.305483074710182</v>
      </c>
      <c r="O34" s="281">
        <v>2621311025152</v>
      </c>
      <c r="P34" s="516">
        <f>(O34-O33)/O33</f>
        <v>4.8925333611382155E-2</v>
      </c>
      <c r="Q34" s="154"/>
      <c r="R34" s="154"/>
      <c r="S34" s="111"/>
      <c r="T34" s="105"/>
      <c r="U34" s="105"/>
    </row>
    <row r="35" spans="1:80">
      <c r="B35" s="1" t="s">
        <v>431</v>
      </c>
      <c r="C35" s="9">
        <f>C34-C33</f>
        <v>41</v>
      </c>
      <c r="F35" s="879"/>
      <c r="G35" s="879"/>
      <c r="H35" s="879"/>
      <c r="I35" s="879"/>
      <c r="J35" s="451">
        <v>2002</v>
      </c>
      <c r="K35" s="513">
        <v>59.0116516363586</v>
      </c>
      <c r="L35" s="515">
        <f t="shared" ref="L35:L42" si="0">(K35-K34)/K34</f>
        <v>0.22233344643094707</v>
      </c>
      <c r="M35" s="129">
        <v>3.8817397624366398E-3</v>
      </c>
      <c r="N35" s="514">
        <f>N36/(1+M35)</f>
        <v>93.482974031404183</v>
      </c>
      <c r="O35" s="281">
        <v>2692488975515.7437</v>
      </c>
      <c r="P35" s="516">
        <f t="shared" ref="P35:P42" si="1">(O35-O34)/O34</f>
        <v>2.7153569218142021E-2</v>
      </c>
      <c r="Q35" s="154"/>
      <c r="R35" s="154"/>
      <c r="S35" s="154"/>
      <c r="T35" s="154"/>
      <c r="U35" s="154"/>
    </row>
    <row r="36" spans="1:80">
      <c r="F36" s="879"/>
      <c r="G36" s="880"/>
      <c r="H36" s="879"/>
      <c r="I36" s="879"/>
      <c r="J36" s="451">
        <v>2003</v>
      </c>
      <c r="K36" s="513">
        <v>71.641076520665194</v>
      </c>
      <c r="L36" s="515">
        <f t="shared" si="0"/>
        <v>0.21401578390199266</v>
      </c>
      <c r="M36" s="129">
        <v>3.3446799864373399E-2</v>
      </c>
      <c r="N36" s="514">
        <f>N37/(1+M36)</f>
        <v>93.845850608812725</v>
      </c>
      <c r="O36" s="281">
        <v>2845110652295.5903</v>
      </c>
      <c r="P36" s="516">
        <f t="shared" si="1"/>
        <v>5.6684234612552925E-2</v>
      </c>
      <c r="Q36" s="154"/>
      <c r="R36" s="154"/>
      <c r="S36" s="154"/>
      <c r="T36" s="157"/>
      <c r="U36" s="154"/>
    </row>
    <row r="37" spans="1:80">
      <c r="B37" s="1" t="s">
        <v>430</v>
      </c>
      <c r="F37" s="879"/>
      <c r="G37" s="879"/>
      <c r="H37" s="879"/>
      <c r="I37" s="879"/>
      <c r="J37" s="451">
        <v>2004</v>
      </c>
      <c r="K37" s="513">
        <v>84.513394065121304</v>
      </c>
      <c r="L37" s="515">
        <f t="shared" si="0"/>
        <v>0.17967789108728749</v>
      </c>
      <c r="M37" s="129">
        <v>3.1090534842684099E-2</v>
      </c>
      <c r="N37" s="514">
        <f>N38/(1+M37)</f>
        <v>96.984693992227577</v>
      </c>
      <c r="O37" s="281">
        <v>2999805000000</v>
      </c>
      <c r="P37" s="516">
        <f t="shared" si="1"/>
        <v>5.4371996948376626E-2</v>
      </c>
      <c r="Q37" s="154"/>
      <c r="R37" s="154"/>
      <c r="S37" s="154"/>
      <c r="T37" s="154"/>
      <c r="U37" s="154"/>
    </row>
    <row r="38" spans="1:80">
      <c r="B38" s="111" t="s">
        <v>429</v>
      </c>
      <c r="J38" s="451">
        <v>2005</v>
      </c>
      <c r="K38" s="513">
        <v>100</v>
      </c>
      <c r="L38" s="515">
        <f t="shared" si="0"/>
        <v>0.18324439701173972</v>
      </c>
      <c r="M38" s="129">
        <v>2.8147285038391201E-2</v>
      </c>
      <c r="N38" s="517">
        <v>100</v>
      </c>
      <c r="O38" s="281">
        <v>3155795000000</v>
      </c>
      <c r="P38" s="516">
        <f t="shared" si="1"/>
        <v>5.2000046669700199E-2</v>
      </c>
      <c r="Q38" s="154"/>
      <c r="R38" s="154"/>
      <c r="S38" s="154"/>
      <c r="T38" s="155"/>
      <c r="U38" s="154"/>
    </row>
    <row r="39" spans="1:80">
      <c r="B39" s="111">
        <v>1.8</v>
      </c>
      <c r="C39" s="1" t="s">
        <v>428</v>
      </c>
      <c r="J39" s="451">
        <v>2006</v>
      </c>
      <c r="K39" s="513">
        <v>109.019572472265</v>
      </c>
      <c r="L39" s="515">
        <f t="shared" si="0"/>
        <v>9.0195724722649973E-2</v>
      </c>
      <c r="M39" s="129">
        <v>3.8616107172161102E-2</v>
      </c>
      <c r="N39" s="514">
        <f>N38*(1+M39)</f>
        <v>103.86161071721611</v>
      </c>
      <c r="O39" s="281">
        <v>3356135325422.4502</v>
      </c>
      <c r="P39" s="516">
        <f t="shared" si="1"/>
        <v>6.3483314164085494E-2</v>
      </c>
      <c r="Q39" s="154"/>
      <c r="R39" s="154"/>
      <c r="S39" s="154"/>
      <c r="T39" s="156"/>
      <c r="U39" s="157"/>
    </row>
    <row r="40" spans="1:80">
      <c r="B40" s="111">
        <v>2.5</v>
      </c>
      <c r="C40" s="1" t="s">
        <v>427</v>
      </c>
      <c r="J40" s="451">
        <v>2007</v>
      </c>
      <c r="K40" s="513">
        <v>120.63816944307599</v>
      </c>
      <c r="L40" s="515">
        <f t="shared" si="0"/>
        <v>0.10657349600015001</v>
      </c>
      <c r="M40" s="129">
        <v>3.6541159402364097E-2</v>
      </c>
      <c r="N40" s="514">
        <f t="shared" ref="N40:N45" si="2">N39*(1+M40)</f>
        <v>107.6568343902202</v>
      </c>
      <c r="O40" s="281">
        <v>3563997611969.4399</v>
      </c>
      <c r="P40" s="516">
        <f t="shared" si="1"/>
        <v>6.1935013458024157E-2</v>
      </c>
      <c r="Q40" s="154"/>
      <c r="R40" s="154"/>
      <c r="S40" s="154"/>
      <c r="U40" s="154"/>
    </row>
    <row r="41" spans="1:80">
      <c r="B41" s="227">
        <f>EXP(B40)/EXP(B39)</f>
        <v>2.0137527074704762</v>
      </c>
      <c r="C41" s="1" t="s">
        <v>426</v>
      </c>
      <c r="J41" s="451">
        <v>2008</v>
      </c>
      <c r="K41" s="513">
        <v>135.652087337214</v>
      </c>
      <c r="L41" s="515">
        <f t="shared" si="0"/>
        <v>0.12445412561753461</v>
      </c>
      <c r="M41" s="129">
        <v>3.08799236486446E-2</v>
      </c>
      <c r="N41" s="514">
        <f t="shared" si="2"/>
        <v>110.98126921644497</v>
      </c>
      <c r="O41" s="281">
        <v>3765436029701.6401</v>
      </c>
      <c r="P41" s="516">
        <f t="shared" si="1"/>
        <v>5.6520357100039345E-2</v>
      </c>
      <c r="Q41" s="157"/>
      <c r="R41" s="518"/>
      <c r="S41" s="154"/>
      <c r="T41" s="154"/>
      <c r="U41" s="154"/>
    </row>
    <row r="42" spans="1:80">
      <c r="B42" s="111" t="s">
        <v>425</v>
      </c>
      <c r="C42" s="226">
        <f>1-(1/B41)</f>
        <v>0.50341469620859036</v>
      </c>
      <c r="J42" s="451">
        <v>2009</v>
      </c>
      <c r="K42" s="513">
        <v>153.823258008339</v>
      </c>
      <c r="L42" s="515">
        <f t="shared" si="0"/>
        <v>0.1339542282600765</v>
      </c>
      <c r="M42" s="129">
        <v>3.7194173620328702E-2</v>
      </c>
      <c r="N42" s="514">
        <f t="shared" si="2"/>
        <v>115.10912581228587</v>
      </c>
      <c r="O42" s="281">
        <v>4003015203173.5601</v>
      </c>
      <c r="P42" s="516">
        <f t="shared" si="1"/>
        <v>6.3094731021295522E-2</v>
      </c>
      <c r="Q42" s="519"/>
      <c r="R42" s="518"/>
      <c r="S42" s="154"/>
      <c r="T42" s="154"/>
      <c r="U42" s="154"/>
    </row>
    <row r="43" spans="1:80">
      <c r="B43" s="111" t="s">
        <v>424</v>
      </c>
      <c r="C43" s="142">
        <f>-25/LN(0.005)</f>
        <v>4.7184791454438715</v>
      </c>
      <c r="D43" s="1" t="s">
        <v>423</v>
      </c>
      <c r="J43" s="451">
        <v>2010</v>
      </c>
      <c r="K43" s="513">
        <f>K42*(1+L43)</f>
        <v>169.35940706718122</v>
      </c>
      <c r="L43" s="520">
        <v>0.10100000000000001</v>
      </c>
      <c r="M43" s="521">
        <f>AVERAGE(M33:M42)</f>
        <v>2.73023970318238E-2</v>
      </c>
      <c r="N43" s="514">
        <f t="shared" si="2"/>
        <v>118.25188086719905</v>
      </c>
      <c r="O43" s="506"/>
      <c r="P43" s="522">
        <v>5.5E-2</v>
      </c>
      <c r="Q43" s="508"/>
      <c r="R43" s="508"/>
      <c r="S43" s="154"/>
      <c r="T43" s="1070"/>
      <c r="U43" s="154"/>
    </row>
    <row r="44" spans="1:80">
      <c r="B44" s="111"/>
      <c r="C44" s="142"/>
      <c r="J44" s="523">
        <v>2011</v>
      </c>
      <c r="K44" s="524">
        <f>K43*(1+L44)</f>
        <v>182.06136259721981</v>
      </c>
      <c r="L44" s="525">
        <v>7.4999999999999997E-2</v>
      </c>
      <c r="M44" s="526">
        <f>M43</f>
        <v>2.73023970318238E-2</v>
      </c>
      <c r="N44" s="527">
        <f t="shared" si="2"/>
        <v>121.48044066839525</v>
      </c>
      <c r="O44" s="506"/>
      <c r="P44" s="522">
        <v>0.06</v>
      </c>
      <c r="Q44" s="508"/>
      <c r="R44" s="518"/>
      <c r="S44" s="154"/>
      <c r="T44" s="1070"/>
      <c r="U44" s="154"/>
    </row>
    <row r="45" spans="1:80" ht="15.5">
      <c r="A45" s="192" t="s">
        <v>422</v>
      </c>
      <c r="C45" s="225">
        <v>1</v>
      </c>
      <c r="D45" s="1" t="s">
        <v>421</v>
      </c>
      <c r="F45" s="224">
        <f>C45*D46</f>
        <v>0.64893605886478101</v>
      </c>
      <c r="J45" s="528">
        <v>2012</v>
      </c>
      <c r="K45" s="513">
        <f>K44*(1+L45)</f>
        <v>193.89535116603909</v>
      </c>
      <c r="L45" s="520">
        <v>6.5000000000000002E-2</v>
      </c>
      <c r="M45" s="521">
        <f>M44</f>
        <v>2.73023970318238E-2</v>
      </c>
      <c r="N45" s="514">
        <f t="shared" si="2"/>
        <v>124.79714789112469</v>
      </c>
      <c r="O45" s="506"/>
      <c r="P45" s="522">
        <v>6.2E-2</v>
      </c>
      <c r="Q45" s="508"/>
      <c r="R45" s="508"/>
    </row>
    <row r="46" spans="1:80">
      <c r="D46" s="223">
        <v>0.64893605886478101</v>
      </c>
      <c r="E46" s="9" t="str">
        <f>IF(E48&gt;=$C$34,"RET","")</f>
        <v/>
      </c>
      <c r="F46" s="9" t="str">
        <f>IF(F48&gt;=$C$34,"RET","")</f>
        <v/>
      </c>
      <c r="G46" s="9" t="str">
        <f>IF(G48&gt;=$C$34,"RET","")</f>
        <v/>
      </c>
      <c r="H46" s="9" t="str">
        <f>IF(H48&gt;=$C$34,"RET","")</f>
        <v/>
      </c>
      <c r="I46" s="9" t="str">
        <f>IF(I48&gt;=$C$34,"RET","")</f>
        <v/>
      </c>
      <c r="J46" s="506" t="s">
        <v>538</v>
      </c>
      <c r="K46" s="1" t="s">
        <v>743</v>
      </c>
      <c r="L46" s="508" t="s">
        <v>744</v>
      </c>
      <c r="M46" s="506" t="s">
        <v>302</v>
      </c>
      <c r="N46" s="506"/>
      <c r="O46" s="506"/>
      <c r="P46" s="522">
        <f>Q42</f>
        <v>0</v>
      </c>
      <c r="Q46" s="508"/>
      <c r="R46" s="508"/>
      <c r="S46" s="9" t="str">
        <f t="shared" ref="S46:AX46" si="3">IF(S48&gt;=$C$34,"RET","")</f>
        <v/>
      </c>
      <c r="T46" s="9" t="str">
        <f t="shared" si="3"/>
        <v/>
      </c>
      <c r="U46" s="9" t="str">
        <f t="shared" si="3"/>
        <v/>
      </c>
      <c r="V46" s="9" t="str">
        <f t="shared" si="3"/>
        <v/>
      </c>
      <c r="W46" s="9" t="str">
        <f t="shared" si="3"/>
        <v/>
      </c>
      <c r="X46" s="9" t="str">
        <f t="shared" si="3"/>
        <v/>
      </c>
      <c r="Y46" s="9" t="str">
        <f t="shared" si="3"/>
        <v/>
      </c>
      <c r="Z46" s="9" t="str">
        <f t="shared" si="3"/>
        <v/>
      </c>
      <c r="AA46" s="9" t="str">
        <f t="shared" si="3"/>
        <v/>
      </c>
      <c r="AB46" s="9" t="str">
        <f t="shared" si="3"/>
        <v/>
      </c>
      <c r="AC46" s="9" t="str">
        <f t="shared" si="3"/>
        <v/>
      </c>
      <c r="AD46" s="9" t="str">
        <f t="shared" si="3"/>
        <v/>
      </c>
      <c r="AE46" s="9" t="str">
        <f t="shared" si="3"/>
        <v/>
      </c>
      <c r="AF46" s="9" t="str">
        <f t="shared" si="3"/>
        <v/>
      </c>
      <c r="AG46" s="9" t="str">
        <f t="shared" si="3"/>
        <v/>
      </c>
      <c r="AH46" s="9" t="str">
        <f t="shared" si="3"/>
        <v/>
      </c>
      <c r="AI46" s="9" t="str">
        <f t="shared" si="3"/>
        <v/>
      </c>
      <c r="AJ46" s="9" t="str">
        <f t="shared" si="3"/>
        <v/>
      </c>
      <c r="AK46" s="9" t="str">
        <f t="shared" si="3"/>
        <v/>
      </c>
      <c r="AL46" s="9" t="str">
        <f t="shared" si="3"/>
        <v/>
      </c>
      <c r="AM46" s="9" t="str">
        <f t="shared" si="3"/>
        <v/>
      </c>
      <c r="AN46" s="9" t="str">
        <f t="shared" si="3"/>
        <v/>
      </c>
      <c r="AO46" s="9" t="str">
        <f t="shared" si="3"/>
        <v/>
      </c>
      <c r="AP46" s="9" t="str">
        <f t="shared" si="3"/>
        <v/>
      </c>
      <c r="AQ46" s="9" t="str">
        <f t="shared" si="3"/>
        <v/>
      </c>
      <c r="AR46" s="9" t="str">
        <f t="shared" si="3"/>
        <v/>
      </c>
      <c r="AS46" s="9" t="str">
        <f t="shared" si="3"/>
        <v/>
      </c>
      <c r="AT46" s="9" t="str">
        <f t="shared" si="3"/>
        <v>RET</v>
      </c>
      <c r="AU46" s="9" t="str">
        <f t="shared" si="3"/>
        <v>RET</v>
      </c>
      <c r="AV46" s="9" t="str">
        <f t="shared" si="3"/>
        <v>RET</v>
      </c>
      <c r="AW46" s="9" t="str">
        <f t="shared" si="3"/>
        <v>RET</v>
      </c>
      <c r="AX46" s="9" t="str">
        <f t="shared" si="3"/>
        <v>RET</v>
      </c>
      <c r="AY46" s="9" t="str">
        <f t="shared" ref="AY46:CB46" si="4">IF(AY48&gt;=$C$34,"RET","")</f>
        <v>RET</v>
      </c>
      <c r="AZ46" s="9" t="str">
        <f t="shared" si="4"/>
        <v>RET</v>
      </c>
      <c r="BA46" s="9" t="str">
        <f t="shared" si="4"/>
        <v>RET</v>
      </c>
      <c r="BB46" s="9" t="str">
        <f t="shared" si="4"/>
        <v>RET</v>
      </c>
      <c r="BC46" s="9" t="str">
        <f t="shared" si="4"/>
        <v>RET</v>
      </c>
      <c r="BD46" s="9" t="str">
        <f t="shared" si="4"/>
        <v>RET</v>
      </c>
      <c r="BE46" s="9" t="str">
        <f t="shared" si="4"/>
        <v>RET</v>
      </c>
      <c r="BF46" s="9" t="str">
        <f t="shared" si="4"/>
        <v>RET</v>
      </c>
      <c r="BG46" s="9" t="str">
        <f t="shared" si="4"/>
        <v>RET</v>
      </c>
      <c r="BH46" s="9" t="str">
        <f t="shared" si="4"/>
        <v>RET</v>
      </c>
      <c r="BI46" s="9" t="str">
        <f t="shared" si="4"/>
        <v>RET</v>
      </c>
      <c r="BJ46" s="9" t="str">
        <f t="shared" si="4"/>
        <v>RET</v>
      </c>
      <c r="BK46" s="9" t="str">
        <f t="shared" si="4"/>
        <v>RET</v>
      </c>
      <c r="BL46" s="9" t="str">
        <f t="shared" si="4"/>
        <v>RET</v>
      </c>
      <c r="BM46" s="9" t="str">
        <f t="shared" si="4"/>
        <v>RET</v>
      </c>
      <c r="BN46" s="9" t="str">
        <f t="shared" si="4"/>
        <v>RET</v>
      </c>
      <c r="BO46" s="9" t="str">
        <f t="shared" si="4"/>
        <v>RET</v>
      </c>
      <c r="BP46" s="9" t="str">
        <f t="shared" si="4"/>
        <v>RET</v>
      </c>
      <c r="BQ46" s="9" t="str">
        <f t="shared" si="4"/>
        <v>RET</v>
      </c>
      <c r="BR46" s="9" t="str">
        <f t="shared" si="4"/>
        <v>RET</v>
      </c>
      <c r="BS46" s="9" t="str">
        <f t="shared" si="4"/>
        <v>RET</v>
      </c>
      <c r="BT46" s="9" t="str">
        <f t="shared" si="4"/>
        <v>RET</v>
      </c>
      <c r="BU46" s="9" t="str">
        <f t="shared" si="4"/>
        <v>RET</v>
      </c>
      <c r="BV46" s="9" t="str">
        <f t="shared" si="4"/>
        <v>RET</v>
      </c>
      <c r="BW46" s="9" t="str">
        <f t="shared" si="4"/>
        <v>RET</v>
      </c>
      <c r="BX46" s="9" t="str">
        <f t="shared" si="4"/>
        <v>RET</v>
      </c>
      <c r="BY46" s="9" t="str">
        <f t="shared" si="4"/>
        <v>RET</v>
      </c>
      <c r="BZ46" s="9" t="str">
        <f t="shared" si="4"/>
        <v>RET</v>
      </c>
      <c r="CA46" s="9" t="str">
        <f t="shared" si="4"/>
        <v>RET</v>
      </c>
      <c r="CB46" s="9" t="str">
        <f t="shared" si="4"/>
        <v>RET</v>
      </c>
    </row>
    <row r="47" spans="1:80">
      <c r="B47" s="1" t="s">
        <v>420</v>
      </c>
      <c r="D47" s="222">
        <v>0.4700556914934369</v>
      </c>
      <c r="E47" s="221">
        <v>1</v>
      </c>
      <c r="F47" s="221">
        <f t="shared" ref="F47:AK47" si="5">E47+1</f>
        <v>2</v>
      </c>
      <c r="G47" s="221">
        <f t="shared" si="5"/>
        <v>3</v>
      </c>
      <c r="H47" s="221">
        <f t="shared" si="5"/>
        <v>4</v>
      </c>
      <c r="I47" s="221">
        <f t="shared" si="5"/>
        <v>5</v>
      </c>
      <c r="J47" s="221">
        <f t="shared" si="5"/>
        <v>6</v>
      </c>
      <c r="K47" s="221">
        <f t="shared" si="5"/>
        <v>7</v>
      </c>
      <c r="L47" s="221">
        <f t="shared" si="5"/>
        <v>8</v>
      </c>
      <c r="M47" s="221">
        <f t="shared" si="5"/>
        <v>9</v>
      </c>
      <c r="N47" s="221">
        <f t="shared" si="5"/>
        <v>10</v>
      </c>
      <c r="O47" s="221">
        <f t="shared" si="5"/>
        <v>11</v>
      </c>
      <c r="P47" s="221">
        <f t="shared" si="5"/>
        <v>12</v>
      </c>
      <c r="Q47" s="221">
        <f t="shared" si="5"/>
        <v>13</v>
      </c>
      <c r="R47" s="221">
        <f t="shared" si="5"/>
        <v>14</v>
      </c>
      <c r="S47" s="221">
        <f t="shared" si="5"/>
        <v>15</v>
      </c>
      <c r="T47" s="221">
        <f t="shared" si="5"/>
        <v>16</v>
      </c>
      <c r="U47" s="221">
        <f t="shared" si="5"/>
        <v>17</v>
      </c>
      <c r="V47" s="221">
        <f t="shared" si="5"/>
        <v>18</v>
      </c>
      <c r="W47" s="221">
        <f t="shared" si="5"/>
        <v>19</v>
      </c>
      <c r="X47" s="221">
        <f t="shared" si="5"/>
        <v>20</v>
      </c>
      <c r="Y47" s="221">
        <f t="shared" si="5"/>
        <v>21</v>
      </c>
      <c r="Z47" s="221">
        <f t="shared" si="5"/>
        <v>22</v>
      </c>
      <c r="AA47" s="221">
        <f t="shared" si="5"/>
        <v>23</v>
      </c>
      <c r="AB47" s="221">
        <f t="shared" si="5"/>
        <v>24</v>
      </c>
      <c r="AC47" s="221">
        <f t="shared" si="5"/>
        <v>25</v>
      </c>
      <c r="AD47" s="221">
        <f t="shared" si="5"/>
        <v>26</v>
      </c>
      <c r="AE47" s="221">
        <f t="shared" si="5"/>
        <v>27</v>
      </c>
      <c r="AF47" s="221">
        <f t="shared" si="5"/>
        <v>28</v>
      </c>
      <c r="AG47" s="221">
        <f t="shared" si="5"/>
        <v>29</v>
      </c>
      <c r="AH47" s="221">
        <f t="shared" si="5"/>
        <v>30</v>
      </c>
      <c r="AI47" s="221">
        <f t="shared" si="5"/>
        <v>31</v>
      </c>
      <c r="AJ47" s="221">
        <f t="shared" si="5"/>
        <v>32</v>
      </c>
      <c r="AK47" s="221">
        <f t="shared" si="5"/>
        <v>33</v>
      </c>
      <c r="AL47" s="221">
        <f t="shared" ref="AL47:BQ47" si="6">AK47+1</f>
        <v>34</v>
      </c>
      <c r="AM47" s="221">
        <f t="shared" si="6"/>
        <v>35</v>
      </c>
      <c r="AN47" s="221">
        <f t="shared" si="6"/>
        <v>36</v>
      </c>
      <c r="AO47" s="221">
        <f t="shared" si="6"/>
        <v>37</v>
      </c>
      <c r="AP47" s="221">
        <f t="shared" si="6"/>
        <v>38</v>
      </c>
      <c r="AQ47" s="221">
        <f t="shared" si="6"/>
        <v>39</v>
      </c>
      <c r="AR47" s="221">
        <f t="shared" si="6"/>
        <v>40</v>
      </c>
      <c r="AS47" s="221">
        <f t="shared" si="6"/>
        <v>41</v>
      </c>
      <c r="AT47" s="221">
        <f t="shared" si="6"/>
        <v>42</v>
      </c>
      <c r="AU47" s="221">
        <f t="shared" si="6"/>
        <v>43</v>
      </c>
      <c r="AV47" s="221">
        <f t="shared" si="6"/>
        <v>44</v>
      </c>
      <c r="AW47" s="221">
        <f t="shared" si="6"/>
        <v>45</v>
      </c>
      <c r="AX47" s="221">
        <f t="shared" si="6"/>
        <v>46</v>
      </c>
      <c r="AY47" s="221">
        <f t="shared" si="6"/>
        <v>47</v>
      </c>
      <c r="AZ47" s="221">
        <f t="shared" si="6"/>
        <v>48</v>
      </c>
      <c r="BA47" s="221">
        <f t="shared" si="6"/>
        <v>49</v>
      </c>
      <c r="BB47" s="221">
        <f t="shared" si="6"/>
        <v>50</v>
      </c>
      <c r="BC47" s="221">
        <f t="shared" si="6"/>
        <v>51</v>
      </c>
      <c r="BD47" s="221">
        <f t="shared" si="6"/>
        <v>52</v>
      </c>
      <c r="BE47" s="221">
        <f t="shared" si="6"/>
        <v>53</v>
      </c>
      <c r="BF47" s="221">
        <f t="shared" si="6"/>
        <v>54</v>
      </c>
      <c r="BG47" s="221">
        <f t="shared" si="6"/>
        <v>55</v>
      </c>
      <c r="BH47" s="221">
        <f t="shared" si="6"/>
        <v>56</v>
      </c>
      <c r="BI47" s="221">
        <f t="shared" si="6"/>
        <v>57</v>
      </c>
      <c r="BJ47" s="221">
        <f t="shared" si="6"/>
        <v>58</v>
      </c>
      <c r="BK47" s="221">
        <f t="shared" si="6"/>
        <v>59</v>
      </c>
      <c r="BL47" s="221">
        <f t="shared" si="6"/>
        <v>60</v>
      </c>
      <c r="BM47" s="221">
        <f t="shared" si="6"/>
        <v>61</v>
      </c>
      <c r="BN47" s="221">
        <f t="shared" si="6"/>
        <v>62</v>
      </c>
      <c r="BO47" s="221">
        <f t="shared" si="6"/>
        <v>63</v>
      </c>
      <c r="BP47" s="221">
        <f t="shared" si="6"/>
        <v>64</v>
      </c>
      <c r="BQ47" s="221">
        <f t="shared" si="6"/>
        <v>65</v>
      </c>
      <c r="BR47" s="221">
        <f t="shared" ref="BR47:CB47" si="7">BQ47+1</f>
        <v>66</v>
      </c>
      <c r="BS47" s="221">
        <f t="shared" si="7"/>
        <v>67</v>
      </c>
      <c r="BT47" s="221">
        <f t="shared" si="7"/>
        <v>68</v>
      </c>
      <c r="BU47" s="221">
        <f t="shared" si="7"/>
        <v>69</v>
      </c>
      <c r="BV47" s="221">
        <f t="shared" si="7"/>
        <v>70</v>
      </c>
      <c r="BW47" s="221">
        <f t="shared" si="7"/>
        <v>71</v>
      </c>
      <c r="BX47" s="221">
        <f t="shared" si="7"/>
        <v>72</v>
      </c>
      <c r="BY47" s="221">
        <f t="shared" si="7"/>
        <v>73</v>
      </c>
      <c r="BZ47" s="221">
        <f t="shared" si="7"/>
        <v>74</v>
      </c>
      <c r="CA47" s="221">
        <f t="shared" si="7"/>
        <v>75</v>
      </c>
      <c r="CB47" s="221">
        <f t="shared" si="7"/>
        <v>76</v>
      </c>
    </row>
    <row r="48" spans="1:80">
      <c r="B48" s="132" t="s">
        <v>419</v>
      </c>
      <c r="C48" s="132" t="s">
        <v>418</v>
      </c>
      <c r="D48" s="220">
        <f>(D47-D46)/D46</f>
        <v>-0.27565176095202543</v>
      </c>
      <c r="E48" s="9">
        <f>C33</f>
        <v>14</v>
      </c>
      <c r="F48" s="9">
        <f>E48+1</f>
        <v>15</v>
      </c>
      <c r="G48" s="9">
        <f t="shared" ref="G48:AK48" si="8">F48+1</f>
        <v>16</v>
      </c>
      <c r="H48" s="9">
        <f t="shared" si="8"/>
        <v>17</v>
      </c>
      <c r="I48" s="9">
        <f t="shared" si="8"/>
        <v>18</v>
      </c>
      <c r="J48" s="9">
        <f t="shared" si="8"/>
        <v>19</v>
      </c>
      <c r="K48" s="9">
        <f t="shared" si="8"/>
        <v>20</v>
      </c>
      <c r="L48" s="9">
        <f t="shared" si="8"/>
        <v>21</v>
      </c>
      <c r="M48" s="9">
        <f t="shared" si="8"/>
        <v>22</v>
      </c>
      <c r="N48" s="9">
        <f t="shared" si="8"/>
        <v>23</v>
      </c>
      <c r="O48" s="9">
        <f t="shared" si="8"/>
        <v>24</v>
      </c>
      <c r="P48" s="9">
        <f t="shared" si="8"/>
        <v>25</v>
      </c>
      <c r="Q48" s="9">
        <f t="shared" si="8"/>
        <v>26</v>
      </c>
      <c r="R48" s="9">
        <f t="shared" si="8"/>
        <v>27</v>
      </c>
      <c r="S48" s="9">
        <f t="shared" si="8"/>
        <v>28</v>
      </c>
      <c r="T48" s="9">
        <f t="shared" si="8"/>
        <v>29</v>
      </c>
      <c r="U48" s="9">
        <f t="shared" si="8"/>
        <v>30</v>
      </c>
      <c r="V48" s="9">
        <f t="shared" si="8"/>
        <v>31</v>
      </c>
      <c r="W48" s="9">
        <f t="shared" si="8"/>
        <v>32</v>
      </c>
      <c r="X48" s="9">
        <f t="shared" si="8"/>
        <v>33</v>
      </c>
      <c r="Y48" s="9">
        <f t="shared" si="8"/>
        <v>34</v>
      </c>
      <c r="Z48" s="9">
        <f t="shared" si="8"/>
        <v>35</v>
      </c>
      <c r="AA48" s="9">
        <f t="shared" si="8"/>
        <v>36</v>
      </c>
      <c r="AB48" s="9">
        <f t="shared" si="8"/>
        <v>37</v>
      </c>
      <c r="AC48" s="9">
        <f t="shared" si="8"/>
        <v>38</v>
      </c>
      <c r="AD48" s="9">
        <f t="shared" si="8"/>
        <v>39</v>
      </c>
      <c r="AE48" s="9">
        <f t="shared" si="8"/>
        <v>40</v>
      </c>
      <c r="AF48" s="9">
        <f t="shared" si="8"/>
        <v>41</v>
      </c>
      <c r="AG48" s="9">
        <f t="shared" si="8"/>
        <v>42</v>
      </c>
      <c r="AH48" s="9">
        <f t="shared" si="8"/>
        <v>43</v>
      </c>
      <c r="AI48" s="9">
        <f t="shared" si="8"/>
        <v>44</v>
      </c>
      <c r="AJ48" s="9">
        <f t="shared" si="8"/>
        <v>45</v>
      </c>
      <c r="AK48" s="9">
        <f t="shared" si="8"/>
        <v>46</v>
      </c>
      <c r="AL48" s="9">
        <f t="shared" ref="AL48:BQ48" si="9">AK48+1</f>
        <v>47</v>
      </c>
      <c r="AM48" s="9">
        <f t="shared" si="9"/>
        <v>48</v>
      </c>
      <c r="AN48" s="9">
        <f t="shared" si="9"/>
        <v>49</v>
      </c>
      <c r="AO48" s="9">
        <f t="shared" si="9"/>
        <v>50</v>
      </c>
      <c r="AP48" s="9">
        <f t="shared" si="9"/>
        <v>51</v>
      </c>
      <c r="AQ48" s="9">
        <f t="shared" si="9"/>
        <v>52</v>
      </c>
      <c r="AR48" s="9">
        <f t="shared" si="9"/>
        <v>53</v>
      </c>
      <c r="AS48" s="9">
        <f t="shared" si="9"/>
        <v>54</v>
      </c>
      <c r="AT48" s="9">
        <f t="shared" si="9"/>
        <v>55</v>
      </c>
      <c r="AU48" s="9">
        <f t="shared" si="9"/>
        <v>56</v>
      </c>
      <c r="AV48" s="9">
        <f t="shared" si="9"/>
        <v>57</v>
      </c>
      <c r="AW48" s="9">
        <f t="shared" si="9"/>
        <v>58</v>
      </c>
      <c r="AX48" s="9">
        <f t="shared" si="9"/>
        <v>59</v>
      </c>
      <c r="AY48" s="9">
        <f t="shared" si="9"/>
        <v>60</v>
      </c>
      <c r="AZ48" s="9">
        <f t="shared" si="9"/>
        <v>61</v>
      </c>
      <c r="BA48" s="9">
        <f t="shared" si="9"/>
        <v>62</v>
      </c>
      <c r="BB48" s="9">
        <f t="shared" si="9"/>
        <v>63</v>
      </c>
      <c r="BC48" s="9">
        <f t="shared" si="9"/>
        <v>64</v>
      </c>
      <c r="BD48" s="9">
        <f t="shared" si="9"/>
        <v>65</v>
      </c>
      <c r="BE48" s="9">
        <f t="shared" si="9"/>
        <v>66</v>
      </c>
      <c r="BF48" s="9">
        <f t="shared" si="9"/>
        <v>67</v>
      </c>
      <c r="BG48" s="9">
        <f t="shared" si="9"/>
        <v>68</v>
      </c>
      <c r="BH48" s="9">
        <f t="shared" si="9"/>
        <v>69</v>
      </c>
      <c r="BI48" s="9">
        <f t="shared" si="9"/>
        <v>70</v>
      </c>
      <c r="BJ48" s="9">
        <f t="shared" si="9"/>
        <v>71</v>
      </c>
      <c r="BK48" s="9">
        <f t="shared" si="9"/>
        <v>72</v>
      </c>
      <c r="BL48" s="9">
        <f t="shared" si="9"/>
        <v>73</v>
      </c>
      <c r="BM48" s="9">
        <f t="shared" si="9"/>
        <v>74</v>
      </c>
      <c r="BN48" s="9">
        <f t="shared" si="9"/>
        <v>75</v>
      </c>
      <c r="BO48" s="9">
        <f t="shared" si="9"/>
        <v>76</v>
      </c>
      <c r="BP48" s="9">
        <f t="shared" si="9"/>
        <v>77</v>
      </c>
      <c r="BQ48" s="9">
        <f t="shared" si="9"/>
        <v>78</v>
      </c>
      <c r="BR48" s="9">
        <f t="shared" ref="BR48:CB48" si="10">BQ48+1</f>
        <v>79</v>
      </c>
      <c r="BS48" s="9">
        <f t="shared" si="10"/>
        <v>80</v>
      </c>
      <c r="BT48" s="9">
        <f t="shared" si="10"/>
        <v>81</v>
      </c>
      <c r="BU48" s="9">
        <f t="shared" si="10"/>
        <v>82</v>
      </c>
      <c r="BV48" s="9">
        <f t="shared" si="10"/>
        <v>83</v>
      </c>
      <c r="BW48" s="9">
        <f t="shared" si="10"/>
        <v>84</v>
      </c>
      <c r="BX48" s="9">
        <f t="shared" si="10"/>
        <v>85</v>
      </c>
      <c r="BY48" s="9">
        <f t="shared" si="10"/>
        <v>86</v>
      </c>
      <c r="BZ48" s="9">
        <f t="shared" si="10"/>
        <v>87</v>
      </c>
      <c r="CA48" s="9">
        <f t="shared" si="10"/>
        <v>88</v>
      </c>
      <c r="CB48" s="9">
        <f t="shared" si="10"/>
        <v>89</v>
      </c>
    </row>
    <row r="49" spans="2:80">
      <c r="B49" s="132" t="s">
        <v>417</v>
      </c>
      <c r="C49" s="132"/>
      <c r="D49" s="132"/>
      <c r="E49" s="219">
        <f>IF(E48&lt;$C$34,(1/$B$41)+(1/$B$41)*(1-EXP(-(E47-1)/$C$43)),0)</f>
        <v>0.49658530379140958</v>
      </c>
      <c r="F49" s="219">
        <f t="shared" ref="F49:AJ49" si="11">IF(F48&lt;$C$34,(1/$B$41)+(1/$B$41)*(1-EXP(-(F47-1)/$C$43)),0)</f>
        <v>0.59142358867624178</v>
      </c>
      <c r="G49" s="219">
        <f t="shared" si="11"/>
        <v>0.66814957702062983</v>
      </c>
      <c r="H49" s="219">
        <f t="shared" si="11"/>
        <v>0.7302223706669082</v>
      </c>
      <c r="I49" s="219">
        <f t="shared" si="11"/>
        <v>0.78044044923709188</v>
      </c>
      <c r="J49" s="219">
        <f t="shared" si="11"/>
        <v>0.82106783632799551</v>
      </c>
      <c r="K49" s="219">
        <f t="shared" si="11"/>
        <v>0.85393617037879554</v>
      </c>
      <c r="L49" s="219">
        <f t="shared" si="11"/>
        <v>0.88052728195724272</v>
      </c>
      <c r="M49" s="219">
        <f t="shared" si="11"/>
        <v>0.90204000036531851</v>
      </c>
      <c r="N49" s="219">
        <f t="shared" si="11"/>
        <v>0.91944420146235983</v>
      </c>
      <c r="O49" s="219">
        <f t="shared" si="11"/>
        <v>0.9335245333888238</v>
      </c>
      <c r="P49" s="219">
        <f t="shared" si="11"/>
        <v>0.94491579151403016</v>
      </c>
      <c r="Q49" s="219">
        <f t="shared" si="11"/>
        <v>0.95413153744621204</v>
      </c>
      <c r="R49" s="219">
        <f t="shared" si="11"/>
        <v>0.96158725235961529</v>
      </c>
      <c r="S49" s="219">
        <f t="shared" si="11"/>
        <v>0.9676190684794399</v>
      </c>
      <c r="T49" s="219">
        <f t="shared" si="11"/>
        <v>0.97249892321181064</v>
      </c>
      <c r="U49" s="219">
        <f t="shared" si="11"/>
        <v>0.97644681912507858</v>
      </c>
      <c r="V49" s="219">
        <f t="shared" si="11"/>
        <v>0.97964074250943844</v>
      </c>
      <c r="W49" s="219">
        <f t="shared" si="11"/>
        <v>0.98222468768156879</v>
      </c>
      <c r="X49" s="219">
        <f t="shared" si="11"/>
        <v>0.9843151488007269</v>
      </c>
      <c r="Y49" s="219">
        <f t="shared" si="11"/>
        <v>0.98600637187227136</v>
      </c>
      <c r="Z49" s="219">
        <f t="shared" si="11"/>
        <v>0.98737460371906893</v>
      </c>
      <c r="AA49" s="219">
        <f t="shared" si="11"/>
        <v>0.98848152948071988</v>
      </c>
      <c r="AB49" s="219">
        <f t="shared" si="11"/>
        <v>0.98937705361624861</v>
      </c>
      <c r="AC49" s="219">
        <f t="shared" si="11"/>
        <v>0.99010154978852905</v>
      </c>
      <c r="AD49" s="219">
        <f t="shared" si="11"/>
        <v>0.99068768106386207</v>
      </c>
      <c r="AE49" s="219">
        <f t="shared" si="11"/>
        <v>0.99116187248828624</v>
      </c>
      <c r="AF49" s="219">
        <f t="shared" si="11"/>
        <v>0.99154550243000816</v>
      </c>
      <c r="AG49" s="219">
        <f t="shared" si="11"/>
        <v>0.99185586639823964</v>
      </c>
      <c r="AH49" s="219">
        <f t="shared" si="11"/>
        <v>0.99210695679109051</v>
      </c>
      <c r="AI49" s="219">
        <f t="shared" si="11"/>
        <v>0.992310093726545</v>
      </c>
      <c r="AJ49" s="219">
        <f t="shared" si="11"/>
        <v>0.99247443539679903</v>
      </c>
      <c r="AK49" s="219">
        <f t="shared" ref="AK49:BP49" si="12">IF(AK48&lt;$C$34,(1/$B$41)+(1/$B$41)*(1-EXP(-(AK47-1)/$C$43)),0)</f>
        <v>0.9926073909546913</v>
      </c>
      <c r="AL49" s="219">
        <f t="shared" si="12"/>
        <v>0.99271495454673164</v>
      </c>
      <c r="AM49" s="219">
        <f t="shared" si="12"/>
        <v>0.99280197555221683</v>
      </c>
      <c r="AN49" s="219">
        <f t="shared" si="12"/>
        <v>0.99287237721184929</v>
      </c>
      <c r="AO49" s="219">
        <f t="shared" si="12"/>
        <v>0.99292933350247514</v>
      </c>
      <c r="AP49" s="219">
        <f t="shared" si="12"/>
        <v>0.99297541223213615</v>
      </c>
      <c r="AQ49" s="219">
        <f t="shared" si="12"/>
        <v>0.99301269080670318</v>
      </c>
      <c r="AR49" s="219">
        <f t="shared" si="12"/>
        <v>0.99304284988730229</v>
      </c>
      <c r="AS49" s="219">
        <f t="shared" si="12"/>
        <v>0.99306724916096412</v>
      </c>
      <c r="AT49" s="219">
        <f t="shared" si="12"/>
        <v>0</v>
      </c>
      <c r="AU49" s="219">
        <f t="shared" si="12"/>
        <v>0</v>
      </c>
      <c r="AV49" s="219">
        <f t="shared" si="12"/>
        <v>0</v>
      </c>
      <c r="AW49" s="219">
        <f t="shared" si="12"/>
        <v>0</v>
      </c>
      <c r="AX49" s="219">
        <f t="shared" si="12"/>
        <v>0</v>
      </c>
      <c r="AY49" s="219">
        <f t="shared" si="12"/>
        <v>0</v>
      </c>
      <c r="AZ49" s="219">
        <f t="shared" si="12"/>
        <v>0</v>
      </c>
      <c r="BA49" s="219">
        <f t="shared" si="12"/>
        <v>0</v>
      </c>
      <c r="BB49" s="219">
        <f t="shared" si="12"/>
        <v>0</v>
      </c>
      <c r="BC49" s="219">
        <f t="shared" si="12"/>
        <v>0</v>
      </c>
      <c r="BD49" s="219">
        <f t="shared" si="12"/>
        <v>0</v>
      </c>
      <c r="BE49" s="219">
        <f t="shared" si="12"/>
        <v>0</v>
      </c>
      <c r="BF49" s="219">
        <f t="shared" si="12"/>
        <v>0</v>
      </c>
      <c r="BG49" s="219">
        <f t="shared" si="12"/>
        <v>0</v>
      </c>
      <c r="BH49" s="219">
        <f t="shared" si="12"/>
        <v>0</v>
      </c>
      <c r="BI49" s="219">
        <f t="shared" si="12"/>
        <v>0</v>
      </c>
      <c r="BJ49" s="219">
        <f t="shared" si="12"/>
        <v>0</v>
      </c>
      <c r="BK49" s="219">
        <f t="shared" si="12"/>
        <v>0</v>
      </c>
      <c r="BL49" s="219">
        <f t="shared" si="12"/>
        <v>0</v>
      </c>
      <c r="BM49" s="219">
        <f t="shared" si="12"/>
        <v>0</v>
      </c>
      <c r="BN49" s="219">
        <f t="shared" si="12"/>
        <v>0</v>
      </c>
      <c r="BO49" s="219">
        <f t="shared" si="12"/>
        <v>0</v>
      </c>
      <c r="BP49" s="219">
        <f t="shared" si="12"/>
        <v>0</v>
      </c>
      <c r="BQ49" s="219">
        <f t="shared" ref="BQ49:CB49" si="13">IF(BQ48&lt;$C$34,(1/$B$41)+(1/$B$41)*(1-EXP(-(BQ47-1)/$C$43)),0)</f>
        <v>0</v>
      </c>
      <c r="BR49" s="219">
        <f t="shared" si="13"/>
        <v>0</v>
      </c>
      <c r="BS49" s="219">
        <f t="shared" si="13"/>
        <v>0</v>
      </c>
      <c r="BT49" s="219">
        <f t="shared" si="13"/>
        <v>0</v>
      </c>
      <c r="BU49" s="219">
        <f t="shared" si="13"/>
        <v>0</v>
      </c>
      <c r="BV49" s="219">
        <f t="shared" si="13"/>
        <v>0</v>
      </c>
      <c r="BW49" s="219">
        <f t="shared" si="13"/>
        <v>0</v>
      </c>
      <c r="BX49" s="219">
        <f t="shared" si="13"/>
        <v>0</v>
      </c>
      <c r="BY49" s="219">
        <f t="shared" si="13"/>
        <v>0</v>
      </c>
      <c r="BZ49" s="219">
        <f t="shared" si="13"/>
        <v>0</v>
      </c>
      <c r="CA49" s="219">
        <f t="shared" si="13"/>
        <v>0</v>
      </c>
      <c r="CB49" s="219">
        <f t="shared" si="13"/>
        <v>0</v>
      </c>
    </row>
    <row r="50" spans="2:80">
      <c r="B50" s="132"/>
      <c r="AC50" s="99"/>
    </row>
    <row r="51" spans="2:80">
      <c r="B51" s="1" t="s">
        <v>416</v>
      </c>
      <c r="D51" s="218">
        <f>C92*C45</f>
        <v>0.47069427380338652</v>
      </c>
      <c r="E51" s="1" t="s">
        <v>1330</v>
      </c>
      <c r="F51" s="4"/>
      <c r="AC51" s="99"/>
    </row>
    <row r="52" spans="2:80" s="879" customFormat="1">
      <c r="B52" s="132"/>
      <c r="D52" s="8"/>
      <c r="F52" s="4"/>
      <c r="AC52" s="99"/>
    </row>
    <row r="53" spans="2:80" s="879" customFormat="1">
      <c r="B53" s="879" t="s">
        <v>1478</v>
      </c>
      <c r="C53" s="71"/>
      <c r="D53" s="8"/>
      <c r="F53" s="4"/>
      <c r="AC53" s="99"/>
    </row>
    <row r="54" spans="2:80" s="879" customFormat="1">
      <c r="B54" s="879" t="s">
        <v>1455</v>
      </c>
      <c r="C54" s="7"/>
      <c r="D54" s="8"/>
      <c r="F54" s="4"/>
      <c r="AC54" s="99"/>
    </row>
    <row r="55" spans="2:80" s="879" customFormat="1">
      <c r="B55" s="879" t="s">
        <v>1456</v>
      </c>
      <c r="C55" s="1"/>
      <c r="D55" s="968"/>
      <c r="AC55" s="99"/>
    </row>
    <row r="56" spans="2:80" s="879" customFormat="1">
      <c r="B56" s="132"/>
      <c r="D56" s="968"/>
      <c r="AC56" s="99"/>
    </row>
    <row r="57" spans="2:80" s="879" customFormat="1">
      <c r="B57" s="879" t="s">
        <v>1451</v>
      </c>
      <c r="AC57" s="99"/>
    </row>
    <row r="58" spans="2:80" s="879" customFormat="1">
      <c r="B58" s="879" t="s">
        <v>1452</v>
      </c>
      <c r="AC58" s="99"/>
    </row>
    <row r="59" spans="2:80" s="879" customFormat="1">
      <c r="B59" s="879">
        <v>0.48299999999999998</v>
      </c>
      <c r="AC59" s="99"/>
    </row>
    <row r="60" spans="2:80" s="879" customFormat="1">
      <c r="B60" s="879" t="s">
        <v>1453</v>
      </c>
      <c r="AC60" s="99"/>
    </row>
    <row r="61" spans="2:80" s="879" customFormat="1">
      <c r="B61" s="879">
        <v>0.372</v>
      </c>
      <c r="AC61" s="99"/>
    </row>
    <row r="62" spans="2:80" s="879" customFormat="1">
      <c r="B62" s="879" t="s">
        <v>1454</v>
      </c>
      <c r="AC62" s="99"/>
    </row>
    <row r="63" spans="2:80" s="879" customFormat="1">
      <c r="B63" s="879">
        <v>2.2890000000000001</v>
      </c>
      <c r="AC63" s="99"/>
    </row>
    <row r="64" spans="2:80" s="879" customFormat="1">
      <c r="AC64" s="99"/>
    </row>
    <row r="65" spans="2:29" s="879" customFormat="1">
      <c r="B65" s="879" t="s">
        <v>1457</v>
      </c>
      <c r="AC65" s="99"/>
    </row>
    <row r="66" spans="2:29" s="879" customFormat="1">
      <c r="B66" s="879" t="s">
        <v>1458</v>
      </c>
      <c r="AC66" s="99"/>
    </row>
    <row r="67" spans="2:29" s="879" customFormat="1">
      <c r="AC67" s="99"/>
    </row>
    <row r="68" spans="2:29" s="879" customFormat="1">
      <c r="AC68" s="99"/>
    </row>
    <row r="69" spans="2:29" s="879" customFormat="1">
      <c r="AC69" s="99"/>
    </row>
    <row r="70" spans="2:29" s="879" customFormat="1">
      <c r="AC70" s="99"/>
    </row>
    <row r="71" spans="2:29" s="879" customFormat="1">
      <c r="B71" s="879" t="s">
        <v>1459</v>
      </c>
      <c r="AC71" s="99"/>
    </row>
    <row r="72" spans="2:29" s="879" customFormat="1">
      <c r="AC72" s="99"/>
    </row>
    <row r="73" spans="2:29" s="879" customFormat="1">
      <c r="B73" s="879" t="s">
        <v>1460</v>
      </c>
      <c r="C73" s="879" t="s">
        <v>1461</v>
      </c>
      <c r="AC73" s="99"/>
    </row>
    <row r="74" spans="2:29" s="879" customFormat="1">
      <c r="B74" s="879" t="s">
        <v>1462</v>
      </c>
      <c r="C74" s="879" t="s">
        <v>1463</v>
      </c>
      <c r="D74" s="879">
        <v>0.48299999999999998</v>
      </c>
      <c r="AC74" s="99"/>
    </row>
    <row r="75" spans="2:29" s="879" customFormat="1">
      <c r="B75" s="879" t="s">
        <v>1464</v>
      </c>
      <c r="C75" s="879" t="s">
        <v>1465</v>
      </c>
      <c r="D75" s="879">
        <v>0.372</v>
      </c>
      <c r="AC75" s="99"/>
    </row>
    <row r="76" spans="2:29" s="879" customFormat="1">
      <c r="B76" s="879" t="s">
        <v>1466</v>
      </c>
      <c r="C76" s="879" t="s">
        <v>1467</v>
      </c>
      <c r="D76" s="879">
        <v>2.2890000000000001</v>
      </c>
      <c r="AC76" s="99"/>
    </row>
    <row r="77" spans="2:29" s="879" customFormat="1">
      <c r="B77" s="879" t="s">
        <v>1468</v>
      </c>
      <c r="AC77" s="99"/>
    </row>
    <row r="78" spans="2:29" s="879" customFormat="1">
      <c r="AC78" s="99"/>
    </row>
    <row r="79" spans="2:29" s="879" customFormat="1">
      <c r="AC79" s="99"/>
    </row>
    <row r="80" spans="2:29" s="879" customFormat="1">
      <c r="B80" s="879" t="s">
        <v>1469</v>
      </c>
      <c r="AC80" s="99"/>
    </row>
    <row r="81" spans="2:85" s="879" customFormat="1">
      <c r="AC81" s="99"/>
    </row>
    <row r="82" spans="2:85" s="879" customFormat="1">
      <c r="B82" s="879" t="s">
        <v>1470</v>
      </c>
      <c r="C82" s="879">
        <f>((1+SUM(D74:D75)*(D76-1))^2+4*D76*(1-D76)*D74*D75)^(1/2)</f>
        <v>1.5159987283111422</v>
      </c>
      <c r="AC82" s="99"/>
    </row>
    <row r="83" spans="2:85" s="879" customFormat="1">
      <c r="B83" s="879" t="s">
        <v>1471</v>
      </c>
      <c r="C83" s="879">
        <f>(1+SUM(D74:D75)*(D76-1)-C82)/(2*(D76-1))</f>
        <v>0.22734533424703568</v>
      </c>
      <c r="AC83" s="99"/>
    </row>
    <row r="84" spans="2:85" s="879" customFormat="1">
      <c r="AC84" s="99"/>
    </row>
    <row r="85" spans="2:85" s="879" customFormat="1">
      <c r="AC85" s="99"/>
    </row>
    <row r="86" spans="2:85" s="879" customFormat="1">
      <c r="B86" s="775" t="s">
        <v>1472</v>
      </c>
      <c r="C86" s="775" t="s">
        <v>1473</v>
      </c>
      <c r="D86" s="775" t="s">
        <v>1474</v>
      </c>
      <c r="AC86" s="99"/>
    </row>
    <row r="87" spans="2:85" s="879" customFormat="1">
      <c r="B87" s="775" t="s">
        <v>1475</v>
      </c>
      <c r="C87" s="985">
        <f>C83</f>
        <v>0.22734533424703568</v>
      </c>
      <c r="D87" s="985">
        <f>D74-C87</f>
        <v>0.25565466575296431</v>
      </c>
      <c r="AC87" s="99"/>
    </row>
    <row r="88" spans="2:85" s="879" customFormat="1">
      <c r="B88" s="775" t="s">
        <v>1476</v>
      </c>
      <c r="C88" s="985">
        <f>D75-C87</f>
        <v>0.14465466575296432</v>
      </c>
      <c r="D88" s="985">
        <f>(1-D74)-C88</f>
        <v>0.3723453342470357</v>
      </c>
      <c r="AC88" s="99"/>
    </row>
    <row r="89" spans="2:85" s="879" customFormat="1">
      <c r="AC89" s="99"/>
    </row>
    <row r="90" spans="2:85" s="879" customFormat="1">
      <c r="AC90" s="99"/>
    </row>
    <row r="91" spans="2:85" s="879" customFormat="1">
      <c r="B91" s="775" t="s">
        <v>1477</v>
      </c>
      <c r="C91" s="775" t="s">
        <v>1473</v>
      </c>
      <c r="D91" s="775" t="s">
        <v>1474</v>
      </c>
      <c r="AC91" s="99"/>
    </row>
    <row r="92" spans="2:85" s="879" customFormat="1">
      <c r="B92" s="775" t="s">
        <v>1475</v>
      </c>
      <c r="C92" s="985">
        <f>C87/(C87+D87)</f>
        <v>0.47069427380338652</v>
      </c>
      <c r="D92" s="985">
        <f>1-C92</f>
        <v>0.52930572619661342</v>
      </c>
      <c r="AC92" s="99"/>
    </row>
    <row r="93" spans="2:85" s="879" customFormat="1">
      <c r="B93" s="775" t="s">
        <v>1476</v>
      </c>
      <c r="C93" s="985">
        <f>C88/(C88+D88)</f>
        <v>0.27979625870979558</v>
      </c>
      <c r="D93" s="985">
        <f>1-C93</f>
        <v>0.72020374129020448</v>
      </c>
      <c r="AC93" s="99"/>
    </row>
    <row r="94" spans="2:85" s="879" customFormat="1">
      <c r="B94" s="132"/>
      <c r="D94" s="968"/>
      <c r="AC94" s="99"/>
    </row>
    <row r="95" spans="2:85">
      <c r="B95" s="132"/>
      <c r="E95" s="217"/>
      <c r="F95" s="217"/>
      <c r="G95" s="217" t="s">
        <v>415</v>
      </c>
      <c r="H95" s="216"/>
      <c r="I95" s="215"/>
      <c r="J95" s="214"/>
      <c r="K95" s="214"/>
      <c r="L95" s="214"/>
      <c r="M95" s="214"/>
      <c r="N95" s="214"/>
      <c r="O95" s="214"/>
      <c r="P95" s="214"/>
      <c r="Q95" s="214"/>
      <c r="R95" s="214"/>
      <c r="S95" s="214"/>
      <c r="T95" s="214"/>
      <c r="U95" s="214"/>
      <c r="V95" s="214"/>
      <c r="W95" s="214"/>
      <c r="X95" s="214"/>
      <c r="Y95" s="213"/>
    </row>
    <row r="96" spans="2:85">
      <c r="B96" s="201" t="s">
        <v>1345</v>
      </c>
      <c r="C96" s="673">
        <f>D51-C93</f>
        <v>0.19089801509359094</v>
      </c>
      <c r="D96" s="212" t="s">
        <v>414</v>
      </c>
      <c r="E96" s="211">
        <v>2012</v>
      </c>
      <c r="F96" s="211">
        <f t="shared" ref="F96:AK96" si="14">E96+1</f>
        <v>2013</v>
      </c>
      <c r="G96" s="211">
        <f t="shared" si="14"/>
        <v>2014</v>
      </c>
      <c r="H96" s="211">
        <f t="shared" si="14"/>
        <v>2015</v>
      </c>
      <c r="I96" s="211">
        <f t="shared" si="14"/>
        <v>2016</v>
      </c>
      <c r="J96" s="211">
        <f t="shared" si="14"/>
        <v>2017</v>
      </c>
      <c r="K96" s="211">
        <f t="shared" si="14"/>
        <v>2018</v>
      </c>
      <c r="L96" s="211">
        <f t="shared" si="14"/>
        <v>2019</v>
      </c>
      <c r="M96" s="211">
        <f t="shared" si="14"/>
        <v>2020</v>
      </c>
      <c r="N96" s="211">
        <f t="shared" si="14"/>
        <v>2021</v>
      </c>
      <c r="O96" s="211">
        <f t="shared" si="14"/>
        <v>2022</v>
      </c>
      <c r="P96" s="211">
        <f t="shared" si="14"/>
        <v>2023</v>
      </c>
      <c r="Q96" s="211">
        <f t="shared" si="14"/>
        <v>2024</v>
      </c>
      <c r="R96" s="211">
        <f t="shared" si="14"/>
        <v>2025</v>
      </c>
      <c r="S96" s="211">
        <f t="shared" si="14"/>
        <v>2026</v>
      </c>
      <c r="T96" s="211">
        <f t="shared" si="14"/>
        <v>2027</v>
      </c>
      <c r="U96" s="211">
        <f t="shared" si="14"/>
        <v>2028</v>
      </c>
      <c r="V96" s="211">
        <f t="shared" si="14"/>
        <v>2029</v>
      </c>
      <c r="W96" s="211">
        <f t="shared" si="14"/>
        <v>2030</v>
      </c>
      <c r="X96" s="211">
        <f t="shared" si="14"/>
        <v>2031</v>
      </c>
      <c r="Y96" s="211">
        <f t="shared" si="14"/>
        <v>2032</v>
      </c>
      <c r="Z96" s="211">
        <f t="shared" si="14"/>
        <v>2033</v>
      </c>
      <c r="AA96" s="211">
        <f t="shared" si="14"/>
        <v>2034</v>
      </c>
      <c r="AB96" s="211">
        <f t="shared" si="14"/>
        <v>2035</v>
      </c>
      <c r="AC96" s="211">
        <f t="shared" si="14"/>
        <v>2036</v>
      </c>
      <c r="AD96" s="211">
        <f t="shared" si="14"/>
        <v>2037</v>
      </c>
      <c r="AE96" s="211">
        <f t="shared" si="14"/>
        <v>2038</v>
      </c>
      <c r="AF96" s="211">
        <f t="shared" si="14"/>
        <v>2039</v>
      </c>
      <c r="AG96" s="211">
        <f t="shared" si="14"/>
        <v>2040</v>
      </c>
      <c r="AH96" s="211">
        <f t="shared" si="14"/>
        <v>2041</v>
      </c>
      <c r="AI96" s="211">
        <f t="shared" si="14"/>
        <v>2042</v>
      </c>
      <c r="AJ96" s="211">
        <f t="shared" si="14"/>
        <v>2043</v>
      </c>
      <c r="AK96" s="211">
        <f t="shared" si="14"/>
        <v>2044</v>
      </c>
      <c r="AL96" s="211">
        <f t="shared" ref="AL96:BQ96" si="15">AK96+1</f>
        <v>2045</v>
      </c>
      <c r="AM96" s="211">
        <f t="shared" si="15"/>
        <v>2046</v>
      </c>
      <c r="AN96" s="211">
        <f t="shared" si="15"/>
        <v>2047</v>
      </c>
      <c r="AO96" s="211">
        <f t="shared" si="15"/>
        <v>2048</v>
      </c>
      <c r="AP96" s="211">
        <f t="shared" si="15"/>
        <v>2049</v>
      </c>
      <c r="AQ96" s="211">
        <f t="shared" si="15"/>
        <v>2050</v>
      </c>
      <c r="AR96" s="211">
        <f t="shared" si="15"/>
        <v>2051</v>
      </c>
      <c r="AS96" s="211">
        <f t="shared" si="15"/>
        <v>2052</v>
      </c>
      <c r="AT96" s="211">
        <f t="shared" si="15"/>
        <v>2053</v>
      </c>
      <c r="AU96" s="211">
        <f t="shared" si="15"/>
        <v>2054</v>
      </c>
      <c r="AV96" s="211">
        <f t="shared" si="15"/>
        <v>2055</v>
      </c>
      <c r="AW96" s="211">
        <f t="shared" si="15"/>
        <v>2056</v>
      </c>
      <c r="AX96" s="211">
        <f t="shared" si="15"/>
        <v>2057</v>
      </c>
      <c r="AY96" s="211">
        <f t="shared" si="15"/>
        <v>2058</v>
      </c>
      <c r="AZ96" s="211">
        <f t="shared" si="15"/>
        <v>2059</v>
      </c>
      <c r="BA96" s="211">
        <f t="shared" si="15"/>
        <v>2060</v>
      </c>
      <c r="BB96" s="211">
        <f t="shared" si="15"/>
        <v>2061</v>
      </c>
      <c r="BC96" s="211">
        <f t="shared" si="15"/>
        <v>2062</v>
      </c>
      <c r="BD96" s="211">
        <f t="shared" si="15"/>
        <v>2063</v>
      </c>
      <c r="BE96" s="211">
        <f t="shared" si="15"/>
        <v>2064</v>
      </c>
      <c r="BF96" s="211">
        <f t="shared" si="15"/>
        <v>2065</v>
      </c>
      <c r="BG96" s="211">
        <f t="shared" si="15"/>
        <v>2066</v>
      </c>
      <c r="BH96" s="211">
        <f t="shared" si="15"/>
        <v>2067</v>
      </c>
      <c r="BI96" s="211">
        <f t="shared" si="15"/>
        <v>2068</v>
      </c>
      <c r="BJ96" s="211">
        <f t="shared" si="15"/>
        <v>2069</v>
      </c>
      <c r="BK96" s="211">
        <f t="shared" si="15"/>
        <v>2070</v>
      </c>
      <c r="BL96" s="211">
        <f t="shared" si="15"/>
        <v>2071</v>
      </c>
      <c r="BM96" s="211">
        <f t="shared" si="15"/>
        <v>2072</v>
      </c>
      <c r="BN96" s="211">
        <f t="shared" si="15"/>
        <v>2073</v>
      </c>
      <c r="BO96" s="211">
        <f t="shared" si="15"/>
        <v>2074</v>
      </c>
      <c r="BP96" s="211">
        <f t="shared" si="15"/>
        <v>2075</v>
      </c>
      <c r="BQ96" s="211">
        <f t="shared" si="15"/>
        <v>2076</v>
      </c>
      <c r="BR96" s="211">
        <f t="shared" ref="BR96:CB96" si="16">BQ96+1</f>
        <v>2077</v>
      </c>
      <c r="BS96" s="211">
        <f t="shared" si="16"/>
        <v>2078</v>
      </c>
      <c r="BT96" s="211">
        <f t="shared" si="16"/>
        <v>2079</v>
      </c>
      <c r="BU96" s="211">
        <f t="shared" si="16"/>
        <v>2080</v>
      </c>
      <c r="BV96" s="211">
        <f t="shared" si="16"/>
        <v>2081</v>
      </c>
      <c r="BW96" s="211">
        <f t="shared" si="16"/>
        <v>2082</v>
      </c>
      <c r="BX96" s="211">
        <f t="shared" si="16"/>
        <v>2083</v>
      </c>
      <c r="BY96" s="211">
        <f t="shared" si="16"/>
        <v>2084</v>
      </c>
      <c r="BZ96" s="211">
        <f t="shared" si="16"/>
        <v>2085</v>
      </c>
      <c r="CA96" s="211">
        <f t="shared" si="16"/>
        <v>2086</v>
      </c>
      <c r="CB96" s="211">
        <f t="shared" si="16"/>
        <v>2087</v>
      </c>
      <c r="CC96" s="200"/>
      <c r="CD96" s="200"/>
      <c r="CE96" s="200"/>
      <c r="CF96" s="200"/>
      <c r="CG96" s="200"/>
    </row>
    <row r="97" spans="2:85" ht="15" customHeight="1">
      <c r="D97" s="9"/>
      <c r="E97" s="210">
        <v>0</v>
      </c>
      <c r="F97" s="210">
        <f t="shared" ref="F97:AK97" si="17">E97+1</f>
        <v>1</v>
      </c>
      <c r="G97" s="210">
        <f t="shared" si="17"/>
        <v>2</v>
      </c>
      <c r="H97" s="210">
        <f t="shared" si="17"/>
        <v>3</v>
      </c>
      <c r="I97" s="210">
        <f t="shared" si="17"/>
        <v>4</v>
      </c>
      <c r="J97" s="210">
        <f t="shared" si="17"/>
        <v>5</v>
      </c>
      <c r="K97" s="210">
        <f t="shared" si="17"/>
        <v>6</v>
      </c>
      <c r="L97" s="210">
        <f t="shared" si="17"/>
        <v>7</v>
      </c>
      <c r="M97" s="210">
        <f t="shared" si="17"/>
        <v>8</v>
      </c>
      <c r="N97" s="210">
        <f t="shared" si="17"/>
        <v>9</v>
      </c>
      <c r="O97" s="210">
        <f t="shared" si="17"/>
        <v>10</v>
      </c>
      <c r="P97" s="210">
        <f t="shared" si="17"/>
        <v>11</v>
      </c>
      <c r="Q97" s="210">
        <f t="shared" si="17"/>
        <v>12</v>
      </c>
      <c r="R97" s="210">
        <f t="shared" si="17"/>
        <v>13</v>
      </c>
      <c r="S97" s="210">
        <f t="shared" si="17"/>
        <v>14</v>
      </c>
      <c r="T97" s="210">
        <f t="shared" si="17"/>
        <v>15</v>
      </c>
      <c r="U97" s="210">
        <f t="shared" si="17"/>
        <v>16</v>
      </c>
      <c r="V97" s="210">
        <f t="shared" si="17"/>
        <v>17</v>
      </c>
      <c r="W97" s="210">
        <f t="shared" si="17"/>
        <v>18</v>
      </c>
      <c r="X97" s="210">
        <f t="shared" si="17"/>
        <v>19</v>
      </c>
      <c r="Y97" s="210">
        <f t="shared" si="17"/>
        <v>20</v>
      </c>
      <c r="Z97" s="210">
        <f t="shared" si="17"/>
        <v>21</v>
      </c>
      <c r="AA97" s="210">
        <f t="shared" si="17"/>
        <v>22</v>
      </c>
      <c r="AB97" s="210">
        <f t="shared" si="17"/>
        <v>23</v>
      </c>
      <c r="AC97" s="210">
        <f t="shared" si="17"/>
        <v>24</v>
      </c>
      <c r="AD97" s="210">
        <f t="shared" si="17"/>
        <v>25</v>
      </c>
      <c r="AE97" s="210">
        <f t="shared" si="17"/>
        <v>26</v>
      </c>
      <c r="AF97" s="210">
        <f t="shared" si="17"/>
        <v>27</v>
      </c>
      <c r="AG97" s="210">
        <f t="shared" si="17"/>
        <v>28</v>
      </c>
      <c r="AH97" s="210">
        <f t="shared" si="17"/>
        <v>29</v>
      </c>
      <c r="AI97" s="210">
        <f t="shared" si="17"/>
        <v>30</v>
      </c>
      <c r="AJ97" s="210">
        <f t="shared" si="17"/>
        <v>31</v>
      </c>
      <c r="AK97" s="210">
        <f t="shared" si="17"/>
        <v>32</v>
      </c>
      <c r="AL97" s="210">
        <f t="shared" ref="AL97:BQ97" si="18">AK97+1</f>
        <v>33</v>
      </c>
      <c r="AM97" s="210">
        <f t="shared" si="18"/>
        <v>34</v>
      </c>
      <c r="AN97" s="210">
        <f t="shared" si="18"/>
        <v>35</v>
      </c>
      <c r="AO97" s="210">
        <f t="shared" si="18"/>
        <v>36</v>
      </c>
      <c r="AP97" s="210">
        <f t="shared" si="18"/>
        <v>37</v>
      </c>
      <c r="AQ97" s="210">
        <f t="shared" si="18"/>
        <v>38</v>
      </c>
      <c r="AR97" s="210">
        <f t="shared" si="18"/>
        <v>39</v>
      </c>
      <c r="AS97" s="210">
        <f t="shared" si="18"/>
        <v>40</v>
      </c>
      <c r="AT97" s="210">
        <f t="shared" si="18"/>
        <v>41</v>
      </c>
      <c r="AU97" s="210">
        <f t="shared" si="18"/>
        <v>42</v>
      </c>
      <c r="AV97" s="210">
        <f t="shared" si="18"/>
        <v>43</v>
      </c>
      <c r="AW97" s="210">
        <f t="shared" si="18"/>
        <v>44</v>
      </c>
      <c r="AX97" s="210">
        <f t="shared" si="18"/>
        <v>45</v>
      </c>
      <c r="AY97" s="210">
        <f t="shared" si="18"/>
        <v>46</v>
      </c>
      <c r="AZ97" s="210">
        <f t="shared" si="18"/>
        <v>47</v>
      </c>
      <c r="BA97" s="210">
        <f t="shared" si="18"/>
        <v>48</v>
      </c>
      <c r="BB97" s="210">
        <f t="shared" si="18"/>
        <v>49</v>
      </c>
      <c r="BC97" s="210">
        <f t="shared" si="18"/>
        <v>50</v>
      </c>
      <c r="BD97" s="210">
        <f t="shared" si="18"/>
        <v>51</v>
      </c>
      <c r="BE97" s="210">
        <f t="shared" si="18"/>
        <v>52</v>
      </c>
      <c r="BF97" s="210">
        <f t="shared" si="18"/>
        <v>53</v>
      </c>
      <c r="BG97" s="210">
        <f t="shared" si="18"/>
        <v>54</v>
      </c>
      <c r="BH97" s="210">
        <f t="shared" si="18"/>
        <v>55</v>
      </c>
      <c r="BI97" s="210">
        <f t="shared" si="18"/>
        <v>56</v>
      </c>
      <c r="BJ97" s="210">
        <f t="shared" si="18"/>
        <v>57</v>
      </c>
      <c r="BK97" s="210">
        <f t="shared" si="18"/>
        <v>58</v>
      </c>
      <c r="BL97" s="210">
        <f t="shared" si="18"/>
        <v>59</v>
      </c>
      <c r="BM97" s="210">
        <f t="shared" si="18"/>
        <v>60</v>
      </c>
      <c r="BN97" s="210">
        <f t="shared" si="18"/>
        <v>61</v>
      </c>
      <c r="BO97" s="210">
        <f t="shared" si="18"/>
        <v>62</v>
      </c>
      <c r="BP97" s="210">
        <f t="shared" si="18"/>
        <v>63</v>
      </c>
      <c r="BQ97" s="210">
        <f t="shared" si="18"/>
        <v>64</v>
      </c>
      <c r="BR97" s="210">
        <f t="shared" ref="BR97:CB97" si="19">BQ97+1</f>
        <v>65</v>
      </c>
      <c r="BS97" s="210">
        <f t="shared" si="19"/>
        <v>66</v>
      </c>
      <c r="BT97" s="210">
        <f t="shared" si="19"/>
        <v>67</v>
      </c>
      <c r="BU97" s="210">
        <f t="shared" si="19"/>
        <v>68</v>
      </c>
      <c r="BV97" s="210">
        <f t="shared" si="19"/>
        <v>69</v>
      </c>
      <c r="BW97" s="210">
        <f t="shared" si="19"/>
        <v>70</v>
      </c>
      <c r="BX97" s="210">
        <f t="shared" si="19"/>
        <v>71</v>
      </c>
      <c r="BY97" s="210">
        <f t="shared" si="19"/>
        <v>72</v>
      </c>
      <c r="BZ97" s="210">
        <f t="shared" si="19"/>
        <v>73</v>
      </c>
      <c r="CA97" s="210">
        <f t="shared" si="19"/>
        <v>74</v>
      </c>
      <c r="CB97" s="210">
        <f t="shared" si="19"/>
        <v>75</v>
      </c>
      <c r="CC97" s="210"/>
      <c r="CD97" s="210"/>
      <c r="CE97" s="210"/>
      <c r="CF97" s="210"/>
      <c r="CG97" s="210"/>
    </row>
    <row r="98" spans="2:85" ht="15" customHeight="1">
      <c r="D98" s="9"/>
    </row>
    <row r="99" spans="2:85" ht="15" customHeight="1">
      <c r="B99" s="179" t="s">
        <v>413</v>
      </c>
      <c r="C99" s="1" t="s">
        <v>749</v>
      </c>
      <c r="D99" s="209" t="s">
        <v>224</v>
      </c>
      <c r="E99" s="150">
        <f>T29</f>
        <v>0</v>
      </c>
      <c r="F99" s="150">
        <f t="shared" ref="F99:AK99" si="20">E99</f>
        <v>0</v>
      </c>
      <c r="G99" s="150">
        <f t="shared" si="20"/>
        <v>0</v>
      </c>
      <c r="H99" s="150">
        <f t="shared" si="20"/>
        <v>0</v>
      </c>
      <c r="I99" s="150">
        <f t="shared" si="20"/>
        <v>0</v>
      </c>
      <c r="J99" s="150">
        <f t="shared" si="20"/>
        <v>0</v>
      </c>
      <c r="K99" s="150">
        <f t="shared" si="20"/>
        <v>0</v>
      </c>
      <c r="L99" s="150">
        <f t="shared" si="20"/>
        <v>0</v>
      </c>
      <c r="M99" s="150">
        <f t="shared" si="20"/>
        <v>0</v>
      </c>
      <c r="N99" s="150">
        <f t="shared" si="20"/>
        <v>0</v>
      </c>
      <c r="O99" s="150">
        <f t="shared" si="20"/>
        <v>0</v>
      </c>
      <c r="P99" s="150">
        <f t="shared" si="20"/>
        <v>0</v>
      </c>
      <c r="Q99" s="150">
        <f t="shared" si="20"/>
        <v>0</v>
      </c>
      <c r="R99" s="150">
        <f t="shared" si="20"/>
        <v>0</v>
      </c>
      <c r="S99" s="150">
        <f t="shared" si="20"/>
        <v>0</v>
      </c>
      <c r="T99" s="150">
        <f t="shared" si="20"/>
        <v>0</v>
      </c>
      <c r="U99" s="150">
        <f t="shared" si="20"/>
        <v>0</v>
      </c>
      <c r="V99" s="150">
        <f t="shared" si="20"/>
        <v>0</v>
      </c>
      <c r="W99" s="150">
        <f t="shared" si="20"/>
        <v>0</v>
      </c>
      <c r="X99" s="150">
        <f t="shared" si="20"/>
        <v>0</v>
      </c>
      <c r="Y99" s="150">
        <f t="shared" si="20"/>
        <v>0</v>
      </c>
      <c r="Z99" s="150">
        <f t="shared" si="20"/>
        <v>0</v>
      </c>
      <c r="AA99" s="150">
        <f t="shared" si="20"/>
        <v>0</v>
      </c>
      <c r="AB99" s="150">
        <f t="shared" si="20"/>
        <v>0</v>
      </c>
      <c r="AC99" s="150">
        <f t="shared" si="20"/>
        <v>0</v>
      </c>
      <c r="AD99" s="150">
        <f t="shared" si="20"/>
        <v>0</v>
      </c>
      <c r="AE99" s="150">
        <f t="shared" si="20"/>
        <v>0</v>
      </c>
      <c r="AF99" s="150">
        <f t="shared" si="20"/>
        <v>0</v>
      </c>
      <c r="AG99" s="150">
        <f t="shared" si="20"/>
        <v>0</v>
      </c>
      <c r="AH99" s="150">
        <f t="shared" si="20"/>
        <v>0</v>
      </c>
      <c r="AI99" s="150">
        <f t="shared" si="20"/>
        <v>0</v>
      </c>
      <c r="AJ99" s="150">
        <f t="shared" si="20"/>
        <v>0</v>
      </c>
      <c r="AK99" s="150">
        <f t="shared" si="20"/>
        <v>0</v>
      </c>
      <c r="AL99" s="150">
        <f t="shared" ref="AL99:BQ99" si="21">AK99</f>
        <v>0</v>
      </c>
      <c r="AM99" s="150">
        <f t="shared" si="21"/>
        <v>0</v>
      </c>
      <c r="AN99" s="150">
        <f t="shared" si="21"/>
        <v>0</v>
      </c>
      <c r="AO99" s="150">
        <f t="shared" si="21"/>
        <v>0</v>
      </c>
      <c r="AP99" s="150">
        <f t="shared" si="21"/>
        <v>0</v>
      </c>
      <c r="AQ99" s="150">
        <f t="shared" si="21"/>
        <v>0</v>
      </c>
      <c r="AR99" s="150">
        <f t="shared" si="21"/>
        <v>0</v>
      </c>
      <c r="AS99" s="150">
        <f t="shared" si="21"/>
        <v>0</v>
      </c>
      <c r="AT99" s="150">
        <f t="shared" si="21"/>
        <v>0</v>
      </c>
      <c r="AU99" s="150">
        <f t="shared" si="21"/>
        <v>0</v>
      </c>
      <c r="AV99" s="150">
        <f t="shared" si="21"/>
        <v>0</v>
      </c>
      <c r="AW99" s="150">
        <f t="shared" si="21"/>
        <v>0</v>
      </c>
      <c r="AX99" s="150">
        <f t="shared" si="21"/>
        <v>0</v>
      </c>
      <c r="AY99" s="150">
        <f t="shared" si="21"/>
        <v>0</v>
      </c>
      <c r="AZ99" s="150">
        <f t="shared" si="21"/>
        <v>0</v>
      </c>
      <c r="BA99" s="150">
        <f t="shared" si="21"/>
        <v>0</v>
      </c>
      <c r="BB99" s="150">
        <f t="shared" si="21"/>
        <v>0</v>
      </c>
      <c r="BC99" s="150">
        <f t="shared" si="21"/>
        <v>0</v>
      </c>
      <c r="BD99" s="150">
        <f t="shared" si="21"/>
        <v>0</v>
      </c>
      <c r="BE99" s="150">
        <f t="shared" si="21"/>
        <v>0</v>
      </c>
      <c r="BF99" s="150">
        <f t="shared" si="21"/>
        <v>0</v>
      </c>
      <c r="BG99" s="150">
        <f t="shared" si="21"/>
        <v>0</v>
      </c>
      <c r="BH99" s="150">
        <f t="shared" si="21"/>
        <v>0</v>
      </c>
      <c r="BI99" s="150">
        <f t="shared" si="21"/>
        <v>0</v>
      </c>
      <c r="BJ99" s="150">
        <f t="shared" si="21"/>
        <v>0</v>
      </c>
      <c r="BK99" s="150">
        <f t="shared" si="21"/>
        <v>0</v>
      </c>
      <c r="BL99" s="150">
        <f t="shared" si="21"/>
        <v>0</v>
      </c>
      <c r="BM99" s="150">
        <f t="shared" si="21"/>
        <v>0</v>
      </c>
      <c r="BN99" s="150">
        <f t="shared" si="21"/>
        <v>0</v>
      </c>
      <c r="BO99" s="150">
        <f t="shared" si="21"/>
        <v>0</v>
      </c>
      <c r="BP99" s="150">
        <f t="shared" si="21"/>
        <v>0</v>
      </c>
      <c r="BQ99" s="150">
        <f t="shared" si="21"/>
        <v>0</v>
      </c>
      <c r="BR99" s="150">
        <f t="shared" ref="BR99:CB99" si="22">BQ99</f>
        <v>0</v>
      </c>
      <c r="BS99" s="150">
        <f t="shared" si="22"/>
        <v>0</v>
      </c>
      <c r="BT99" s="150">
        <f t="shared" si="22"/>
        <v>0</v>
      </c>
      <c r="BU99" s="150">
        <f t="shared" si="22"/>
        <v>0</v>
      </c>
      <c r="BV99" s="150">
        <f t="shared" si="22"/>
        <v>0</v>
      </c>
      <c r="BW99" s="150">
        <f t="shared" si="22"/>
        <v>0</v>
      </c>
      <c r="BX99" s="150">
        <f t="shared" si="22"/>
        <v>0</v>
      </c>
      <c r="BY99" s="150">
        <f t="shared" si="22"/>
        <v>0</v>
      </c>
      <c r="BZ99" s="150">
        <f t="shared" si="22"/>
        <v>0</v>
      </c>
      <c r="CA99" s="150">
        <f t="shared" si="22"/>
        <v>0</v>
      </c>
      <c r="CB99" s="150">
        <f t="shared" si="22"/>
        <v>0</v>
      </c>
    </row>
    <row r="100" spans="2:85" ht="15" customHeight="1">
      <c r="B100" s="179" t="s">
        <v>412</v>
      </c>
      <c r="D100" s="209" t="s">
        <v>224</v>
      </c>
      <c r="E100" s="150">
        <f>Drainage!D4*Drainage!AA225+Drainage!D5*Drainage!AA230</f>
        <v>2.3825835057635247E-2</v>
      </c>
      <c r="F100" s="150">
        <f t="shared" ref="F100:AK100" si="23">E100</f>
        <v>2.3825835057635247E-2</v>
      </c>
      <c r="G100" s="150">
        <f t="shared" si="23"/>
        <v>2.3825835057635247E-2</v>
      </c>
      <c r="H100" s="150">
        <f t="shared" si="23"/>
        <v>2.3825835057635247E-2</v>
      </c>
      <c r="I100" s="150">
        <f t="shared" si="23"/>
        <v>2.3825835057635247E-2</v>
      </c>
      <c r="J100" s="150">
        <f t="shared" si="23"/>
        <v>2.3825835057635247E-2</v>
      </c>
      <c r="K100" s="150">
        <f t="shared" si="23"/>
        <v>2.3825835057635247E-2</v>
      </c>
      <c r="L100" s="150">
        <f t="shared" si="23"/>
        <v>2.3825835057635247E-2</v>
      </c>
      <c r="M100" s="150">
        <f t="shared" si="23"/>
        <v>2.3825835057635247E-2</v>
      </c>
      <c r="N100" s="150">
        <f t="shared" si="23"/>
        <v>2.3825835057635247E-2</v>
      </c>
      <c r="O100" s="150">
        <f t="shared" si="23"/>
        <v>2.3825835057635247E-2</v>
      </c>
      <c r="P100" s="150">
        <f t="shared" si="23"/>
        <v>2.3825835057635247E-2</v>
      </c>
      <c r="Q100" s="150">
        <f t="shared" si="23"/>
        <v>2.3825835057635247E-2</v>
      </c>
      <c r="R100" s="150">
        <f t="shared" si="23"/>
        <v>2.3825835057635247E-2</v>
      </c>
      <c r="S100" s="150">
        <f t="shared" si="23"/>
        <v>2.3825835057635247E-2</v>
      </c>
      <c r="T100" s="150">
        <f t="shared" si="23"/>
        <v>2.3825835057635247E-2</v>
      </c>
      <c r="U100" s="150">
        <f t="shared" si="23"/>
        <v>2.3825835057635247E-2</v>
      </c>
      <c r="V100" s="150">
        <f t="shared" si="23"/>
        <v>2.3825835057635247E-2</v>
      </c>
      <c r="W100" s="150">
        <f t="shared" si="23"/>
        <v>2.3825835057635247E-2</v>
      </c>
      <c r="X100" s="150">
        <f t="shared" si="23"/>
        <v>2.3825835057635247E-2</v>
      </c>
      <c r="Y100" s="150">
        <f t="shared" si="23"/>
        <v>2.3825835057635247E-2</v>
      </c>
      <c r="Z100" s="150">
        <f t="shared" si="23"/>
        <v>2.3825835057635247E-2</v>
      </c>
      <c r="AA100" s="150">
        <f t="shared" si="23"/>
        <v>2.3825835057635247E-2</v>
      </c>
      <c r="AB100" s="150">
        <f t="shared" si="23"/>
        <v>2.3825835057635247E-2</v>
      </c>
      <c r="AC100" s="150">
        <f t="shared" si="23"/>
        <v>2.3825835057635247E-2</v>
      </c>
      <c r="AD100" s="150">
        <f t="shared" si="23"/>
        <v>2.3825835057635247E-2</v>
      </c>
      <c r="AE100" s="150">
        <f t="shared" si="23"/>
        <v>2.3825835057635247E-2</v>
      </c>
      <c r="AF100" s="150">
        <f t="shared" si="23"/>
        <v>2.3825835057635247E-2</v>
      </c>
      <c r="AG100" s="150">
        <f t="shared" si="23"/>
        <v>2.3825835057635247E-2</v>
      </c>
      <c r="AH100" s="150">
        <f t="shared" si="23"/>
        <v>2.3825835057635247E-2</v>
      </c>
      <c r="AI100" s="150">
        <f t="shared" si="23"/>
        <v>2.3825835057635247E-2</v>
      </c>
      <c r="AJ100" s="150">
        <f t="shared" si="23"/>
        <v>2.3825835057635247E-2</v>
      </c>
      <c r="AK100" s="150">
        <f t="shared" si="23"/>
        <v>2.3825835057635247E-2</v>
      </c>
      <c r="AL100" s="150">
        <f t="shared" ref="AL100:BQ100" si="24">AK100</f>
        <v>2.3825835057635247E-2</v>
      </c>
      <c r="AM100" s="150">
        <f t="shared" si="24"/>
        <v>2.3825835057635247E-2</v>
      </c>
      <c r="AN100" s="150">
        <f t="shared" si="24"/>
        <v>2.3825835057635247E-2</v>
      </c>
      <c r="AO100" s="150">
        <f t="shared" si="24"/>
        <v>2.3825835057635247E-2</v>
      </c>
      <c r="AP100" s="150">
        <f t="shared" si="24"/>
        <v>2.3825835057635247E-2</v>
      </c>
      <c r="AQ100" s="150">
        <f t="shared" si="24"/>
        <v>2.3825835057635247E-2</v>
      </c>
      <c r="AR100" s="150">
        <f t="shared" si="24"/>
        <v>2.3825835057635247E-2</v>
      </c>
      <c r="AS100" s="150">
        <f t="shared" si="24"/>
        <v>2.3825835057635247E-2</v>
      </c>
      <c r="AT100" s="150">
        <f t="shared" si="24"/>
        <v>2.3825835057635247E-2</v>
      </c>
      <c r="AU100" s="150">
        <f t="shared" si="24"/>
        <v>2.3825835057635247E-2</v>
      </c>
      <c r="AV100" s="150">
        <f t="shared" si="24"/>
        <v>2.3825835057635247E-2</v>
      </c>
      <c r="AW100" s="150">
        <f t="shared" si="24"/>
        <v>2.3825835057635247E-2</v>
      </c>
      <c r="AX100" s="150">
        <f t="shared" si="24"/>
        <v>2.3825835057635247E-2</v>
      </c>
      <c r="AY100" s="150">
        <f t="shared" si="24"/>
        <v>2.3825835057635247E-2</v>
      </c>
      <c r="AZ100" s="150">
        <f t="shared" si="24"/>
        <v>2.3825835057635247E-2</v>
      </c>
      <c r="BA100" s="150">
        <f t="shared" si="24"/>
        <v>2.3825835057635247E-2</v>
      </c>
      <c r="BB100" s="150">
        <f t="shared" si="24"/>
        <v>2.3825835057635247E-2</v>
      </c>
      <c r="BC100" s="150">
        <f t="shared" si="24"/>
        <v>2.3825835057635247E-2</v>
      </c>
      <c r="BD100" s="150">
        <f t="shared" si="24"/>
        <v>2.3825835057635247E-2</v>
      </c>
      <c r="BE100" s="150">
        <f t="shared" si="24"/>
        <v>2.3825835057635247E-2</v>
      </c>
      <c r="BF100" s="150">
        <f t="shared" si="24"/>
        <v>2.3825835057635247E-2</v>
      </c>
      <c r="BG100" s="150">
        <f t="shared" si="24"/>
        <v>2.3825835057635247E-2</v>
      </c>
      <c r="BH100" s="150">
        <f t="shared" si="24"/>
        <v>2.3825835057635247E-2</v>
      </c>
      <c r="BI100" s="150">
        <f t="shared" si="24"/>
        <v>2.3825835057635247E-2</v>
      </c>
      <c r="BJ100" s="150">
        <f t="shared" si="24"/>
        <v>2.3825835057635247E-2</v>
      </c>
      <c r="BK100" s="150">
        <f t="shared" si="24"/>
        <v>2.3825835057635247E-2</v>
      </c>
      <c r="BL100" s="150">
        <f t="shared" si="24"/>
        <v>2.3825835057635247E-2</v>
      </c>
      <c r="BM100" s="150">
        <f t="shared" si="24"/>
        <v>2.3825835057635247E-2</v>
      </c>
      <c r="BN100" s="150">
        <f t="shared" si="24"/>
        <v>2.3825835057635247E-2</v>
      </c>
      <c r="BO100" s="150">
        <f t="shared" si="24"/>
        <v>2.3825835057635247E-2</v>
      </c>
      <c r="BP100" s="150">
        <f t="shared" si="24"/>
        <v>2.3825835057635247E-2</v>
      </c>
      <c r="BQ100" s="150">
        <f t="shared" si="24"/>
        <v>2.3825835057635247E-2</v>
      </c>
      <c r="BR100" s="150">
        <f t="shared" ref="BR100:CB100" si="25">BQ100</f>
        <v>2.3825835057635247E-2</v>
      </c>
      <c r="BS100" s="150">
        <f t="shared" si="25"/>
        <v>2.3825835057635247E-2</v>
      </c>
      <c r="BT100" s="150">
        <f t="shared" si="25"/>
        <v>2.3825835057635247E-2</v>
      </c>
      <c r="BU100" s="150">
        <f t="shared" si="25"/>
        <v>2.3825835057635247E-2</v>
      </c>
      <c r="BV100" s="150">
        <f t="shared" si="25"/>
        <v>2.3825835057635247E-2</v>
      </c>
      <c r="BW100" s="150">
        <f t="shared" si="25"/>
        <v>2.3825835057635247E-2</v>
      </c>
      <c r="BX100" s="150">
        <f t="shared" si="25"/>
        <v>2.3825835057635247E-2</v>
      </c>
      <c r="BY100" s="150">
        <f t="shared" si="25"/>
        <v>2.3825835057635247E-2</v>
      </c>
      <c r="BZ100" s="150">
        <f t="shared" si="25"/>
        <v>2.3825835057635247E-2</v>
      </c>
      <c r="CA100" s="150">
        <f t="shared" si="25"/>
        <v>2.3825835057635247E-2</v>
      </c>
      <c r="CB100" s="150">
        <f t="shared" si="25"/>
        <v>2.3825835057635247E-2</v>
      </c>
    </row>
    <row r="101" spans="2:85" ht="15" customHeight="1">
      <c r="B101" s="179"/>
      <c r="D101" s="209"/>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row>
    <row r="102" spans="2:85" s="68" customFormat="1">
      <c r="B102" s="201" t="s">
        <v>382</v>
      </c>
      <c r="D102" s="200" t="s">
        <v>224</v>
      </c>
      <c r="E102" s="198">
        <f>Health!B274</f>
        <v>0</v>
      </c>
      <c r="F102" s="198">
        <f>Health!C274</f>
        <v>0</v>
      </c>
      <c r="G102" s="198">
        <f>Health!D274</f>
        <v>0.05</v>
      </c>
      <c r="H102" s="198">
        <f>Health!E274</f>
        <v>0.25</v>
      </c>
      <c r="I102" s="198">
        <f>Health!F274</f>
        <v>0.6</v>
      </c>
      <c r="J102" s="198">
        <f>Health!G274</f>
        <v>0.95</v>
      </c>
      <c r="K102" s="198">
        <f>Health!H274</f>
        <v>1</v>
      </c>
      <c r="L102" s="198">
        <f>Health!I274</f>
        <v>1</v>
      </c>
      <c r="M102" s="198">
        <f>Health!J274</f>
        <v>1</v>
      </c>
      <c r="N102" s="198">
        <f>Health!K274</f>
        <v>1</v>
      </c>
      <c r="O102" s="198">
        <f>N102</f>
        <v>1</v>
      </c>
      <c r="P102" s="198">
        <f t="shared" ref="P102:CA102" si="26">O102</f>
        <v>1</v>
      </c>
      <c r="Q102" s="198">
        <f t="shared" si="26"/>
        <v>1</v>
      </c>
      <c r="R102" s="198">
        <f t="shared" si="26"/>
        <v>1</v>
      </c>
      <c r="S102" s="198">
        <f t="shared" si="26"/>
        <v>1</v>
      </c>
      <c r="T102" s="198">
        <f t="shared" si="26"/>
        <v>1</v>
      </c>
      <c r="U102" s="198">
        <f t="shared" si="26"/>
        <v>1</v>
      </c>
      <c r="V102" s="198">
        <f t="shared" si="26"/>
        <v>1</v>
      </c>
      <c r="W102" s="198">
        <f t="shared" si="26"/>
        <v>1</v>
      </c>
      <c r="X102" s="198">
        <f t="shared" si="26"/>
        <v>1</v>
      </c>
      <c r="Y102" s="198">
        <f t="shared" si="26"/>
        <v>1</v>
      </c>
      <c r="Z102" s="198">
        <f t="shared" si="26"/>
        <v>1</v>
      </c>
      <c r="AA102" s="198">
        <f t="shared" si="26"/>
        <v>1</v>
      </c>
      <c r="AB102" s="198">
        <f t="shared" si="26"/>
        <v>1</v>
      </c>
      <c r="AC102" s="198">
        <f t="shared" si="26"/>
        <v>1</v>
      </c>
      <c r="AD102" s="198">
        <f t="shared" si="26"/>
        <v>1</v>
      </c>
      <c r="AE102" s="198">
        <f t="shared" si="26"/>
        <v>1</v>
      </c>
      <c r="AF102" s="198">
        <f t="shared" si="26"/>
        <v>1</v>
      </c>
      <c r="AG102" s="198">
        <f t="shared" si="26"/>
        <v>1</v>
      </c>
      <c r="AH102" s="198">
        <f t="shared" si="26"/>
        <v>1</v>
      </c>
      <c r="AI102" s="198">
        <f t="shared" si="26"/>
        <v>1</v>
      </c>
      <c r="AJ102" s="198">
        <f t="shared" si="26"/>
        <v>1</v>
      </c>
      <c r="AK102" s="198">
        <f t="shared" si="26"/>
        <v>1</v>
      </c>
      <c r="AL102" s="198">
        <f t="shared" si="26"/>
        <v>1</v>
      </c>
      <c r="AM102" s="198">
        <f t="shared" si="26"/>
        <v>1</v>
      </c>
      <c r="AN102" s="198">
        <f t="shared" si="26"/>
        <v>1</v>
      </c>
      <c r="AO102" s="198">
        <f t="shared" si="26"/>
        <v>1</v>
      </c>
      <c r="AP102" s="198">
        <f t="shared" si="26"/>
        <v>1</v>
      </c>
      <c r="AQ102" s="198">
        <f t="shared" si="26"/>
        <v>1</v>
      </c>
      <c r="AR102" s="198">
        <f t="shared" si="26"/>
        <v>1</v>
      </c>
      <c r="AS102" s="198">
        <f t="shared" si="26"/>
        <v>1</v>
      </c>
      <c r="AT102" s="198">
        <f t="shared" si="26"/>
        <v>1</v>
      </c>
      <c r="AU102" s="198">
        <f t="shared" si="26"/>
        <v>1</v>
      </c>
      <c r="AV102" s="198">
        <f t="shared" si="26"/>
        <v>1</v>
      </c>
      <c r="AW102" s="198">
        <f t="shared" si="26"/>
        <v>1</v>
      </c>
      <c r="AX102" s="198">
        <f t="shared" si="26"/>
        <v>1</v>
      </c>
      <c r="AY102" s="198">
        <f t="shared" si="26"/>
        <v>1</v>
      </c>
      <c r="AZ102" s="198">
        <f t="shared" si="26"/>
        <v>1</v>
      </c>
      <c r="BA102" s="198">
        <f t="shared" si="26"/>
        <v>1</v>
      </c>
      <c r="BB102" s="198">
        <f t="shared" si="26"/>
        <v>1</v>
      </c>
      <c r="BC102" s="198">
        <f t="shared" si="26"/>
        <v>1</v>
      </c>
      <c r="BD102" s="198">
        <f t="shared" si="26"/>
        <v>1</v>
      </c>
      <c r="BE102" s="198">
        <f t="shared" si="26"/>
        <v>1</v>
      </c>
      <c r="BF102" s="198">
        <f t="shared" si="26"/>
        <v>1</v>
      </c>
      <c r="BG102" s="198">
        <f t="shared" si="26"/>
        <v>1</v>
      </c>
      <c r="BH102" s="198">
        <f t="shared" si="26"/>
        <v>1</v>
      </c>
      <c r="BI102" s="198">
        <f t="shared" si="26"/>
        <v>1</v>
      </c>
      <c r="BJ102" s="198">
        <f t="shared" si="26"/>
        <v>1</v>
      </c>
      <c r="BK102" s="198">
        <f t="shared" si="26"/>
        <v>1</v>
      </c>
      <c r="BL102" s="198">
        <f t="shared" si="26"/>
        <v>1</v>
      </c>
      <c r="BM102" s="198">
        <f t="shared" si="26"/>
        <v>1</v>
      </c>
      <c r="BN102" s="198">
        <f t="shared" si="26"/>
        <v>1</v>
      </c>
      <c r="BO102" s="198">
        <f t="shared" si="26"/>
        <v>1</v>
      </c>
      <c r="BP102" s="198">
        <f t="shared" si="26"/>
        <v>1</v>
      </c>
      <c r="BQ102" s="198">
        <f t="shared" si="26"/>
        <v>1</v>
      </c>
      <c r="BR102" s="198">
        <f t="shared" si="26"/>
        <v>1</v>
      </c>
      <c r="BS102" s="198">
        <f t="shared" si="26"/>
        <v>1</v>
      </c>
      <c r="BT102" s="198">
        <f t="shared" si="26"/>
        <v>1</v>
      </c>
      <c r="BU102" s="198">
        <f t="shared" si="26"/>
        <v>1</v>
      </c>
      <c r="BV102" s="198">
        <f t="shared" si="26"/>
        <v>1</v>
      </c>
      <c r="BW102" s="198">
        <f t="shared" si="26"/>
        <v>1</v>
      </c>
      <c r="BX102" s="198">
        <f t="shared" si="26"/>
        <v>1</v>
      </c>
      <c r="BY102" s="198">
        <f t="shared" si="26"/>
        <v>1</v>
      </c>
      <c r="BZ102" s="198">
        <f t="shared" si="26"/>
        <v>1</v>
      </c>
      <c r="CA102" s="198">
        <f t="shared" si="26"/>
        <v>1</v>
      </c>
      <c r="CB102" s="198">
        <f>CA102</f>
        <v>1</v>
      </c>
    </row>
    <row r="103" spans="2:85" s="68" customFormat="1">
      <c r="D103" s="200"/>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row>
    <row r="104" spans="2:85" s="68" customFormat="1">
      <c r="B104" s="68" t="s">
        <v>410</v>
      </c>
      <c r="C104" s="142">
        <f>Health!B18</f>
        <v>1.1725108551129682</v>
      </c>
      <c r="D104" s="202" t="s">
        <v>409</v>
      </c>
      <c r="E104" s="205" t="s">
        <v>732</v>
      </c>
      <c r="G104" s="198"/>
      <c r="H104" s="198"/>
      <c r="I104" s="198"/>
      <c r="J104" s="198"/>
      <c r="K104" s="198"/>
      <c r="L104" s="198"/>
      <c r="M104" s="198"/>
      <c r="N104" s="198"/>
      <c r="O104" s="198"/>
      <c r="P104" s="198"/>
      <c r="Q104" s="198"/>
      <c r="R104" s="198"/>
      <c r="S104" s="198"/>
      <c r="T104" s="198"/>
      <c r="U104" s="198"/>
      <c r="V104" s="198"/>
      <c r="W104" s="198"/>
      <c r="X104" s="198"/>
      <c r="Y104" s="198"/>
      <c r="Z104" s="198"/>
      <c r="AA104" s="198"/>
    </row>
    <row r="105" spans="2:85" s="68" customFormat="1">
      <c r="B105" s="68" t="s">
        <v>408</v>
      </c>
      <c r="C105" s="206">
        <f>C104*8*24*12</f>
        <v>2701.465010180279</v>
      </c>
      <c r="D105" s="202" t="s">
        <v>405</v>
      </c>
      <c r="E105" s="205" t="s">
        <v>407</v>
      </c>
      <c r="G105" s="198"/>
      <c r="H105" s="198"/>
      <c r="I105" s="198"/>
      <c r="J105" s="198"/>
      <c r="K105" s="198"/>
      <c r="L105" s="198"/>
      <c r="M105" s="198"/>
      <c r="N105" s="198"/>
      <c r="O105" s="198"/>
      <c r="P105" s="198"/>
      <c r="Q105" s="198"/>
      <c r="R105" s="198"/>
      <c r="S105" s="198"/>
      <c r="T105" s="198"/>
      <c r="U105" s="198"/>
      <c r="V105" s="198"/>
      <c r="W105" s="198"/>
      <c r="X105" s="198"/>
      <c r="Y105" s="198"/>
      <c r="Z105" s="198"/>
      <c r="AA105" s="198"/>
    </row>
    <row r="106" spans="2:85" s="68" customFormat="1">
      <c r="B106" s="204" t="s">
        <v>406</v>
      </c>
      <c r="C106" s="203"/>
      <c r="D106" s="202" t="s">
        <v>405</v>
      </c>
      <c r="E106" s="188">
        <f>$C$105</f>
        <v>2701.465010180279</v>
      </c>
      <c r="F106" s="188">
        <f>E106*(1+$M$43)</f>
        <v>2775.2214804558007</v>
      </c>
      <c r="G106" s="188">
        <f>F106*(1+$M$43)</f>
        <v>2850.9916791664509</v>
      </c>
      <c r="H106" s="188">
        <f t="shared" ref="H106:BR106" si="27">G106*(1+$M$43)</f>
        <v>2928.8305859254792</v>
      </c>
      <c r="I106" s="188">
        <f t="shared" si="27"/>
        <v>3008.7946814213656</v>
      </c>
      <c r="J106" s="188">
        <f t="shared" si="27"/>
        <v>3090.9419884007716</v>
      </c>
      <c r="K106" s="188">
        <f t="shared" si="27"/>
        <v>3175.3321137704243</v>
      </c>
      <c r="L106" s="188">
        <f t="shared" si="27"/>
        <v>3262.0262918484846</v>
      </c>
      <c r="M106" s="188">
        <f t="shared" si="27"/>
        <v>3351.0874287967799</v>
      </c>
      <c r="N106" s="188">
        <f t="shared" si="27"/>
        <v>3442.5801482661432</v>
      </c>
      <c r="O106" s="188">
        <f t="shared" si="27"/>
        <v>3536.5708382879802</v>
      </c>
      <c r="P106" s="188">
        <f t="shared" si="27"/>
        <v>3633.1276994460886</v>
      </c>
      <c r="Q106" s="188">
        <f t="shared" si="27"/>
        <v>3732.3207943636821</v>
      </c>
      <c r="R106" s="188">
        <f t="shared" si="27"/>
        <v>3834.2220985415315</v>
      </c>
      <c r="S106" s="188">
        <f t="shared" si="27"/>
        <v>3938.905552584105</v>
      </c>
      <c r="T106" s="188">
        <f t="shared" si="27"/>
        <v>4046.4471158516117</v>
      </c>
      <c r="U106" s="188">
        <f t="shared" si="27"/>
        <v>4156.9248215768703</v>
      </c>
      <c r="V106" s="188">
        <f t="shared" si="27"/>
        <v>4270.418833487005</v>
      </c>
      <c r="W106" s="188">
        <f t="shared" si="27"/>
        <v>4387.0115039710454</v>
      </c>
      <c r="X106" s="188">
        <f t="shared" si="27"/>
        <v>4506.7874338356414</v>
      </c>
      <c r="Y106" s="188">
        <f t="shared" si="27"/>
        <v>4629.8335336922564</v>
      </c>
      <c r="Z106" s="188">
        <f t="shared" si="27"/>
        <v>4756.2390870203744</v>
      </c>
      <c r="AA106" s="188">
        <f t="shared" si="27"/>
        <v>4886.095814952484</v>
      </c>
      <c r="AB106" s="188">
        <f t="shared" si="27"/>
        <v>5019.4979428278493</v>
      </c>
      <c r="AC106" s="188">
        <f t="shared" si="27"/>
        <v>5156.5422685633584</v>
      </c>
      <c r="AD106" s="188">
        <f t="shared" si="27"/>
        <v>5297.3282328910564</v>
      </c>
      <c r="AE106" s="188">
        <f t="shared" si="27"/>
        <v>5441.9579915133372</v>
      </c>
      <c r="AF106" s="188">
        <f t="shared" si="27"/>
        <v>5590.5364892281405</v>
      </c>
      <c r="AG106" s="188">
        <f t="shared" si="27"/>
        <v>5743.1715360779453</v>
      </c>
      <c r="AH106" s="188">
        <f t="shared" si="27"/>
        <v>5899.9738855778151</v>
      </c>
      <c r="AI106" s="188">
        <f t="shared" si="27"/>
        <v>6061.0573150792525</v>
      </c>
      <c r="AJ106" s="188">
        <f t="shared" si="27"/>
        <v>6226.5387083281857</v>
      </c>
      <c r="AK106" s="188">
        <f t="shared" si="27"/>
        <v>6396.5381402769808</v>
      </c>
      <c r="AL106" s="188">
        <f t="shared" si="27"/>
        <v>6571.1789642120266</v>
      </c>
      <c r="AM106" s="188">
        <f t="shared" si="27"/>
        <v>6750.5879012601117</v>
      </c>
      <c r="AN106" s="188">
        <f t="shared" si="27"/>
        <v>6934.8951323385418</v>
      </c>
      <c r="AO106" s="188">
        <f t="shared" si="27"/>
        <v>7124.2343926157109</v>
      </c>
      <c r="AP106" s="188">
        <f t="shared" si="27"/>
        <v>7318.7430685506788</v>
      </c>
      <c r="AQ106" s="188">
        <f t="shared" si="27"/>
        <v>7518.562297582158</v>
      </c>
      <c r="AR106" s="188">
        <f t="shared" si="27"/>
        <v>7723.8370705392472</v>
      </c>
      <c r="AS106" s="188">
        <f t="shared" si="27"/>
        <v>7934.7163368482288</v>
      </c>
      <c r="AT106" s="188">
        <f t="shared" si="27"/>
        <v>8151.3531126117578</v>
      </c>
      <c r="AU106" s="188">
        <f t="shared" si="27"/>
        <v>8373.9045916388768</v>
      </c>
      <c r="AV106" s="188">
        <f t="shared" si="27"/>
        <v>8602.5322595064135</v>
      </c>
      <c r="AW106" s="188">
        <f t="shared" si="27"/>
        <v>8837.4020107345295</v>
      </c>
      <c r="AX106" s="188">
        <f t="shared" si="27"/>
        <v>9078.684269161442</v>
      </c>
      <c r="AY106" s="188">
        <f t="shared" si="27"/>
        <v>9326.5541116046606</v>
      </c>
      <c r="AZ106" s="188">
        <f t="shared" si="27"/>
        <v>9581.1913948984802</v>
      </c>
      <c r="BA106" s="188">
        <f t="shared" si="27"/>
        <v>9842.7808863998926</v>
      </c>
      <c r="BB106" s="188">
        <f t="shared" si="27"/>
        <v>10111.512398057628</v>
      </c>
      <c r="BC106" s="188">
        <f t="shared" si="27"/>
        <v>10387.580924141606</v>
      </c>
      <c r="BD106" s="188">
        <f t="shared" si="27"/>
        <v>10671.186782732721</v>
      </c>
      <c r="BE106" s="188">
        <f t="shared" si="27"/>
        <v>10962.53576107564</v>
      </c>
      <c r="BF106" s="188">
        <f t="shared" si="27"/>
        <v>11261.839264900094</v>
      </c>
      <c r="BG106" s="188">
        <f t="shared" si="27"/>
        <v>11569.31447181898</v>
      </c>
      <c r="BH106" s="188">
        <f t="shared" si="27"/>
        <v>11885.184488914607</v>
      </c>
      <c r="BI106" s="188">
        <f t="shared" si="27"/>
        <v>12209.678514627427</v>
      </c>
      <c r="BJ106" s="188">
        <f t="shared" si="27"/>
        <v>12543.032005064713</v>
      </c>
      <c r="BK106" s="188">
        <f t="shared" si="27"/>
        <v>12885.486844849864</v>
      </c>
      <c r="BL106" s="188">
        <f t="shared" si="27"/>
        <v>13237.291522636297</v>
      </c>
      <c r="BM106" s="188">
        <f t="shared" si="27"/>
        <v>13598.701311413308</v>
      </c>
      <c r="BN106" s="188">
        <f t="shared" si="27"/>
        <v>13969.978453734697</v>
      </c>
      <c r="BO106" s="188">
        <f t="shared" si="27"/>
        <v>14351.392352004585</v>
      </c>
      <c r="BP106" s="188">
        <f t="shared" si="27"/>
        <v>14743.219763958494</v>
      </c>
      <c r="BQ106" s="188">
        <f t="shared" si="27"/>
        <v>15145.745003481521</v>
      </c>
      <c r="BR106" s="188">
        <f t="shared" si="27"/>
        <v>15559.260146909335</v>
      </c>
      <c r="BS106" s="188">
        <f t="shared" ref="BS106:CB106" si="28">BR106*(1+$M$43)</f>
        <v>15984.065244961686</v>
      </c>
      <c r="BT106" s="188">
        <f t="shared" si="28"/>
        <v>16420.468540462207</v>
      </c>
      <c r="BU106" s="188">
        <f t="shared" si="28"/>
        <v>16868.786692002479</v>
      </c>
      <c r="BV106" s="188">
        <f t="shared" si="28"/>
        <v>17329.345003712675</v>
      </c>
      <c r="BW106" s="188">
        <f t="shared" si="28"/>
        <v>17802.477661305489</v>
      </c>
      <c r="BX106" s="188">
        <f t="shared" si="28"/>
        <v>18288.527974564626</v>
      </c>
      <c r="BY106" s="188">
        <f t="shared" si="28"/>
        <v>18787.848626453804</v>
      </c>
      <c r="BZ106" s="188">
        <f t="shared" si="28"/>
        <v>19300.801929027053</v>
      </c>
      <c r="CA106" s="188">
        <f t="shared" si="28"/>
        <v>19827.760086325939</v>
      </c>
      <c r="CB106" s="188">
        <f t="shared" si="28"/>
        <v>20369.105464454558</v>
      </c>
    </row>
    <row r="107" spans="2:85" s="68" customFormat="1">
      <c r="E107" s="200"/>
      <c r="F107" s="199"/>
      <c r="G107" s="198"/>
      <c r="H107" s="198"/>
      <c r="I107" s="198"/>
      <c r="J107" s="198"/>
      <c r="K107" s="198"/>
      <c r="L107" s="198"/>
      <c r="M107" s="198"/>
      <c r="N107" s="198"/>
      <c r="O107" s="198"/>
      <c r="P107" s="198"/>
      <c r="Q107" s="198"/>
      <c r="R107" s="198"/>
      <c r="S107" s="198"/>
      <c r="T107" s="198"/>
      <c r="U107" s="198"/>
      <c r="V107" s="198"/>
      <c r="W107" s="198"/>
      <c r="X107" s="198"/>
      <c r="Y107" s="198"/>
      <c r="Z107" s="198"/>
      <c r="AA107" s="198"/>
    </row>
    <row r="108" spans="2:85" ht="15" customHeight="1">
      <c r="B108" s="197" t="s">
        <v>404</v>
      </c>
      <c r="D108" s="9">
        <f>483*(1-0.42)</f>
        <v>280.14000000000004</v>
      </c>
    </row>
    <row r="109" spans="2:85" ht="15" customHeight="1">
      <c r="B109" s="196" t="s">
        <v>386</v>
      </c>
      <c r="D109" s="9"/>
    </row>
    <row r="110" spans="2:85" ht="15" customHeight="1">
      <c r="B110" s="132" t="s">
        <v>402</v>
      </c>
      <c r="C110" s="1" t="s">
        <v>747</v>
      </c>
      <c r="D110" s="9" t="s">
        <v>399</v>
      </c>
      <c r="E110" s="1">
        <f>0.5*(C96)*Health!$B$30*(Health!$Q$73+Health!$Q$74)*Health!$F$87/1000</f>
        <v>768.33157683271031</v>
      </c>
      <c r="F110" s="188">
        <f t="shared" ref="F110:AK110" si="29">E110*(1+F$99)</f>
        <v>768.33157683271031</v>
      </c>
      <c r="G110" s="188">
        <f t="shared" si="29"/>
        <v>768.33157683271031</v>
      </c>
      <c r="H110" s="188">
        <f t="shared" si="29"/>
        <v>768.33157683271031</v>
      </c>
      <c r="I110" s="188">
        <f t="shared" si="29"/>
        <v>768.33157683271031</v>
      </c>
      <c r="J110" s="188">
        <f t="shared" si="29"/>
        <v>768.33157683271031</v>
      </c>
      <c r="K110" s="188">
        <f t="shared" si="29"/>
        <v>768.33157683271031</v>
      </c>
      <c r="L110" s="188">
        <f t="shared" si="29"/>
        <v>768.33157683271031</v>
      </c>
      <c r="M110" s="188">
        <f t="shared" si="29"/>
        <v>768.33157683271031</v>
      </c>
      <c r="N110" s="188">
        <f t="shared" si="29"/>
        <v>768.33157683271031</v>
      </c>
      <c r="O110" s="188">
        <f t="shared" si="29"/>
        <v>768.33157683271031</v>
      </c>
      <c r="P110" s="188">
        <f t="shared" si="29"/>
        <v>768.33157683271031</v>
      </c>
      <c r="Q110" s="188">
        <f t="shared" si="29"/>
        <v>768.33157683271031</v>
      </c>
      <c r="R110" s="188">
        <f t="shared" si="29"/>
        <v>768.33157683271031</v>
      </c>
      <c r="S110" s="188">
        <f t="shared" si="29"/>
        <v>768.33157683271031</v>
      </c>
      <c r="T110" s="188">
        <f t="shared" si="29"/>
        <v>768.33157683271031</v>
      </c>
      <c r="U110" s="188">
        <f t="shared" si="29"/>
        <v>768.33157683271031</v>
      </c>
      <c r="V110" s="188">
        <f t="shared" si="29"/>
        <v>768.33157683271031</v>
      </c>
      <c r="W110" s="188">
        <f t="shared" si="29"/>
        <v>768.33157683271031</v>
      </c>
      <c r="X110" s="188">
        <f t="shared" si="29"/>
        <v>768.33157683271031</v>
      </c>
      <c r="Y110" s="188">
        <f t="shared" si="29"/>
        <v>768.33157683271031</v>
      </c>
      <c r="Z110" s="188">
        <f t="shared" si="29"/>
        <v>768.33157683271031</v>
      </c>
      <c r="AA110" s="188">
        <f t="shared" si="29"/>
        <v>768.33157683271031</v>
      </c>
      <c r="AB110" s="188">
        <f t="shared" si="29"/>
        <v>768.33157683271031</v>
      </c>
      <c r="AC110" s="188">
        <f t="shared" si="29"/>
        <v>768.33157683271031</v>
      </c>
      <c r="AD110" s="188">
        <f t="shared" si="29"/>
        <v>768.33157683271031</v>
      </c>
      <c r="AE110" s="188">
        <f t="shared" si="29"/>
        <v>768.33157683271031</v>
      </c>
      <c r="AF110" s="188">
        <f t="shared" si="29"/>
        <v>768.33157683271031</v>
      </c>
      <c r="AG110" s="188">
        <f t="shared" si="29"/>
        <v>768.33157683271031</v>
      </c>
      <c r="AH110" s="188">
        <f t="shared" si="29"/>
        <v>768.33157683271031</v>
      </c>
      <c r="AI110" s="188">
        <f t="shared" si="29"/>
        <v>768.33157683271031</v>
      </c>
      <c r="AJ110" s="188">
        <f t="shared" si="29"/>
        <v>768.33157683271031</v>
      </c>
      <c r="AK110" s="188">
        <f t="shared" si="29"/>
        <v>768.33157683271031</v>
      </c>
      <c r="AL110" s="188">
        <f t="shared" ref="AL110:BQ110" si="30">AK110*(1+AL$99)</f>
        <v>768.33157683271031</v>
      </c>
      <c r="AM110" s="188">
        <f t="shared" si="30"/>
        <v>768.33157683271031</v>
      </c>
      <c r="AN110" s="188">
        <f t="shared" si="30"/>
        <v>768.33157683271031</v>
      </c>
      <c r="AO110" s="188">
        <f t="shared" si="30"/>
        <v>768.33157683271031</v>
      </c>
      <c r="AP110" s="188">
        <f t="shared" si="30"/>
        <v>768.33157683271031</v>
      </c>
      <c r="AQ110" s="188">
        <f t="shared" si="30"/>
        <v>768.33157683271031</v>
      </c>
      <c r="AR110" s="188">
        <f t="shared" si="30"/>
        <v>768.33157683271031</v>
      </c>
      <c r="AS110" s="188">
        <f t="shared" si="30"/>
        <v>768.33157683271031</v>
      </c>
      <c r="AT110" s="188">
        <f t="shared" si="30"/>
        <v>768.33157683271031</v>
      </c>
      <c r="AU110" s="188">
        <f t="shared" si="30"/>
        <v>768.33157683271031</v>
      </c>
      <c r="AV110" s="188">
        <f t="shared" si="30"/>
        <v>768.33157683271031</v>
      </c>
      <c r="AW110" s="188">
        <f t="shared" si="30"/>
        <v>768.33157683271031</v>
      </c>
      <c r="AX110" s="188">
        <f t="shared" si="30"/>
        <v>768.33157683271031</v>
      </c>
      <c r="AY110" s="188">
        <f t="shared" si="30"/>
        <v>768.33157683271031</v>
      </c>
      <c r="AZ110" s="188">
        <f t="shared" si="30"/>
        <v>768.33157683271031</v>
      </c>
      <c r="BA110" s="188">
        <f t="shared" si="30"/>
        <v>768.33157683271031</v>
      </c>
      <c r="BB110" s="188">
        <f t="shared" si="30"/>
        <v>768.33157683271031</v>
      </c>
      <c r="BC110" s="188">
        <f t="shared" si="30"/>
        <v>768.33157683271031</v>
      </c>
      <c r="BD110" s="188">
        <f t="shared" si="30"/>
        <v>768.33157683271031</v>
      </c>
      <c r="BE110" s="188">
        <f t="shared" si="30"/>
        <v>768.33157683271031</v>
      </c>
      <c r="BF110" s="188">
        <f t="shared" si="30"/>
        <v>768.33157683271031</v>
      </c>
      <c r="BG110" s="188">
        <f t="shared" si="30"/>
        <v>768.33157683271031</v>
      </c>
      <c r="BH110" s="188">
        <f t="shared" si="30"/>
        <v>768.33157683271031</v>
      </c>
      <c r="BI110" s="188">
        <f t="shared" si="30"/>
        <v>768.33157683271031</v>
      </c>
      <c r="BJ110" s="188">
        <f t="shared" si="30"/>
        <v>768.33157683271031</v>
      </c>
      <c r="BK110" s="188">
        <f t="shared" si="30"/>
        <v>768.33157683271031</v>
      </c>
      <c r="BL110" s="188">
        <f t="shared" si="30"/>
        <v>768.33157683271031</v>
      </c>
      <c r="BM110" s="188">
        <f t="shared" si="30"/>
        <v>768.33157683271031</v>
      </c>
      <c r="BN110" s="188">
        <f t="shared" si="30"/>
        <v>768.33157683271031</v>
      </c>
      <c r="BO110" s="188">
        <f t="shared" si="30"/>
        <v>768.33157683271031</v>
      </c>
      <c r="BP110" s="188">
        <f t="shared" si="30"/>
        <v>768.33157683271031</v>
      </c>
      <c r="BQ110" s="188">
        <f t="shared" si="30"/>
        <v>768.33157683271031</v>
      </c>
      <c r="BR110" s="188">
        <f t="shared" ref="BR110:CB110" si="31">BQ110*(1+BR$99)</f>
        <v>768.33157683271031</v>
      </c>
      <c r="BS110" s="188">
        <f t="shared" si="31"/>
        <v>768.33157683271031</v>
      </c>
      <c r="BT110" s="188">
        <f t="shared" si="31"/>
        <v>768.33157683271031</v>
      </c>
      <c r="BU110" s="188">
        <f t="shared" si="31"/>
        <v>768.33157683271031</v>
      </c>
      <c r="BV110" s="188">
        <f t="shared" si="31"/>
        <v>768.33157683271031</v>
      </c>
      <c r="BW110" s="188">
        <f t="shared" si="31"/>
        <v>768.33157683271031</v>
      </c>
      <c r="BX110" s="188">
        <f t="shared" si="31"/>
        <v>768.33157683271031</v>
      </c>
      <c r="BY110" s="188">
        <f t="shared" si="31"/>
        <v>768.33157683271031</v>
      </c>
      <c r="BZ110" s="188">
        <f t="shared" si="31"/>
        <v>768.33157683271031</v>
      </c>
      <c r="CA110" s="188">
        <f t="shared" si="31"/>
        <v>768.33157683271031</v>
      </c>
      <c r="CB110" s="188">
        <f t="shared" si="31"/>
        <v>768.33157683271031</v>
      </c>
    </row>
    <row r="111" spans="2:85" ht="15" customHeight="1">
      <c r="B111" s="196" t="s">
        <v>387</v>
      </c>
      <c r="D111" s="9"/>
    </row>
    <row r="112" spans="2:85" ht="15" customHeight="1">
      <c r="B112" s="132" t="s">
        <v>402</v>
      </c>
      <c r="C112" s="1" t="s">
        <v>747</v>
      </c>
      <c r="D112" s="9" t="s">
        <v>399</v>
      </c>
      <c r="E112" s="188">
        <f>0.5*(C96)*Health!B31*(Health!Q73+Health!Q74)*Health!F87/1000</f>
        <v>223.12742286901315</v>
      </c>
      <c r="F112" s="188">
        <f t="shared" ref="F112:AK112" si="32">E112*(1+F$99)</f>
        <v>223.12742286901315</v>
      </c>
      <c r="G112" s="188">
        <f t="shared" si="32"/>
        <v>223.12742286901315</v>
      </c>
      <c r="H112" s="188">
        <f t="shared" si="32"/>
        <v>223.12742286901315</v>
      </c>
      <c r="I112" s="188">
        <f t="shared" si="32"/>
        <v>223.12742286901315</v>
      </c>
      <c r="J112" s="188">
        <f t="shared" si="32"/>
        <v>223.12742286901315</v>
      </c>
      <c r="K112" s="188">
        <f t="shared" si="32"/>
        <v>223.12742286901315</v>
      </c>
      <c r="L112" s="188">
        <f t="shared" si="32"/>
        <v>223.12742286901315</v>
      </c>
      <c r="M112" s="188">
        <f t="shared" si="32"/>
        <v>223.12742286901315</v>
      </c>
      <c r="N112" s="188">
        <f t="shared" si="32"/>
        <v>223.12742286901315</v>
      </c>
      <c r="O112" s="188">
        <f t="shared" si="32"/>
        <v>223.12742286901315</v>
      </c>
      <c r="P112" s="188">
        <f t="shared" si="32"/>
        <v>223.12742286901315</v>
      </c>
      <c r="Q112" s="188">
        <f t="shared" si="32"/>
        <v>223.12742286901315</v>
      </c>
      <c r="R112" s="188">
        <f t="shared" si="32"/>
        <v>223.12742286901315</v>
      </c>
      <c r="S112" s="188">
        <f t="shared" si="32"/>
        <v>223.12742286901315</v>
      </c>
      <c r="T112" s="188">
        <f t="shared" si="32"/>
        <v>223.12742286901315</v>
      </c>
      <c r="U112" s="188">
        <f t="shared" si="32"/>
        <v>223.12742286901315</v>
      </c>
      <c r="V112" s="188">
        <f t="shared" si="32"/>
        <v>223.12742286901315</v>
      </c>
      <c r="W112" s="188">
        <f t="shared" si="32"/>
        <v>223.12742286901315</v>
      </c>
      <c r="X112" s="188">
        <f t="shared" si="32"/>
        <v>223.12742286901315</v>
      </c>
      <c r="Y112" s="188">
        <f t="shared" si="32"/>
        <v>223.12742286901315</v>
      </c>
      <c r="Z112" s="188">
        <f t="shared" si="32"/>
        <v>223.12742286901315</v>
      </c>
      <c r="AA112" s="188">
        <f t="shared" si="32"/>
        <v>223.12742286901315</v>
      </c>
      <c r="AB112" s="188">
        <f t="shared" si="32"/>
        <v>223.12742286901315</v>
      </c>
      <c r="AC112" s="188">
        <f t="shared" si="32"/>
        <v>223.12742286901315</v>
      </c>
      <c r="AD112" s="188">
        <f t="shared" si="32"/>
        <v>223.12742286901315</v>
      </c>
      <c r="AE112" s="188">
        <f t="shared" si="32"/>
        <v>223.12742286901315</v>
      </c>
      <c r="AF112" s="188">
        <f t="shared" si="32"/>
        <v>223.12742286901315</v>
      </c>
      <c r="AG112" s="188">
        <f t="shared" si="32"/>
        <v>223.12742286901315</v>
      </c>
      <c r="AH112" s="188">
        <f t="shared" si="32"/>
        <v>223.12742286901315</v>
      </c>
      <c r="AI112" s="188">
        <f t="shared" si="32"/>
        <v>223.12742286901315</v>
      </c>
      <c r="AJ112" s="188">
        <f t="shared" si="32"/>
        <v>223.12742286901315</v>
      </c>
      <c r="AK112" s="188">
        <f t="shared" si="32"/>
        <v>223.12742286901315</v>
      </c>
      <c r="AL112" s="188">
        <f t="shared" ref="AL112:BQ112" si="33">AK112*(1+AL$99)</f>
        <v>223.12742286901315</v>
      </c>
      <c r="AM112" s="188">
        <f t="shared" si="33"/>
        <v>223.12742286901315</v>
      </c>
      <c r="AN112" s="188">
        <f t="shared" si="33"/>
        <v>223.12742286901315</v>
      </c>
      <c r="AO112" s="188">
        <f t="shared" si="33"/>
        <v>223.12742286901315</v>
      </c>
      <c r="AP112" s="188">
        <f t="shared" si="33"/>
        <v>223.12742286901315</v>
      </c>
      <c r="AQ112" s="188">
        <f t="shared" si="33"/>
        <v>223.12742286901315</v>
      </c>
      <c r="AR112" s="188">
        <f t="shared" si="33"/>
        <v>223.12742286901315</v>
      </c>
      <c r="AS112" s="188">
        <f t="shared" si="33"/>
        <v>223.12742286901315</v>
      </c>
      <c r="AT112" s="188">
        <f t="shared" si="33"/>
        <v>223.12742286901315</v>
      </c>
      <c r="AU112" s="188">
        <f t="shared" si="33"/>
        <v>223.12742286901315</v>
      </c>
      <c r="AV112" s="188">
        <f t="shared" si="33"/>
        <v>223.12742286901315</v>
      </c>
      <c r="AW112" s="188">
        <f t="shared" si="33"/>
        <v>223.12742286901315</v>
      </c>
      <c r="AX112" s="188">
        <f t="shared" si="33"/>
        <v>223.12742286901315</v>
      </c>
      <c r="AY112" s="188">
        <f t="shared" si="33"/>
        <v>223.12742286901315</v>
      </c>
      <c r="AZ112" s="188">
        <f t="shared" si="33"/>
        <v>223.12742286901315</v>
      </c>
      <c r="BA112" s="188">
        <f t="shared" si="33"/>
        <v>223.12742286901315</v>
      </c>
      <c r="BB112" s="188">
        <f t="shared" si="33"/>
        <v>223.12742286901315</v>
      </c>
      <c r="BC112" s="188">
        <f t="shared" si="33"/>
        <v>223.12742286901315</v>
      </c>
      <c r="BD112" s="188">
        <f t="shared" si="33"/>
        <v>223.12742286901315</v>
      </c>
      <c r="BE112" s="188">
        <f t="shared" si="33"/>
        <v>223.12742286901315</v>
      </c>
      <c r="BF112" s="188">
        <f t="shared" si="33"/>
        <v>223.12742286901315</v>
      </c>
      <c r="BG112" s="188">
        <f t="shared" si="33"/>
        <v>223.12742286901315</v>
      </c>
      <c r="BH112" s="188">
        <f t="shared" si="33"/>
        <v>223.12742286901315</v>
      </c>
      <c r="BI112" s="188">
        <f t="shared" si="33"/>
        <v>223.12742286901315</v>
      </c>
      <c r="BJ112" s="188">
        <f t="shared" si="33"/>
        <v>223.12742286901315</v>
      </c>
      <c r="BK112" s="188">
        <f t="shared" si="33"/>
        <v>223.12742286901315</v>
      </c>
      <c r="BL112" s="188">
        <f t="shared" si="33"/>
        <v>223.12742286901315</v>
      </c>
      <c r="BM112" s="188">
        <f t="shared" si="33"/>
        <v>223.12742286901315</v>
      </c>
      <c r="BN112" s="188">
        <f t="shared" si="33"/>
        <v>223.12742286901315</v>
      </c>
      <c r="BO112" s="188">
        <f t="shared" si="33"/>
        <v>223.12742286901315</v>
      </c>
      <c r="BP112" s="188">
        <f t="shared" si="33"/>
        <v>223.12742286901315</v>
      </c>
      <c r="BQ112" s="188">
        <f t="shared" si="33"/>
        <v>223.12742286901315</v>
      </c>
      <c r="BR112" s="188">
        <f t="shared" ref="BR112:CB112" si="34">BQ112*(1+BR$99)</f>
        <v>223.12742286901315</v>
      </c>
      <c r="BS112" s="188">
        <f t="shared" si="34"/>
        <v>223.12742286901315</v>
      </c>
      <c r="BT112" s="188">
        <f t="shared" si="34"/>
        <v>223.12742286901315</v>
      </c>
      <c r="BU112" s="188">
        <f t="shared" si="34"/>
        <v>223.12742286901315</v>
      </c>
      <c r="BV112" s="188">
        <f t="shared" si="34"/>
        <v>223.12742286901315</v>
      </c>
      <c r="BW112" s="188">
        <f t="shared" si="34"/>
        <v>223.12742286901315</v>
      </c>
      <c r="BX112" s="188">
        <f t="shared" si="34"/>
        <v>223.12742286901315</v>
      </c>
      <c r="BY112" s="188">
        <f t="shared" si="34"/>
        <v>223.12742286901315</v>
      </c>
      <c r="BZ112" s="188">
        <f t="shared" si="34"/>
        <v>223.12742286901315</v>
      </c>
      <c r="CA112" s="188">
        <f t="shared" si="34"/>
        <v>223.12742286901315</v>
      </c>
      <c r="CB112" s="188">
        <f t="shared" si="34"/>
        <v>223.12742286901315</v>
      </c>
    </row>
    <row r="113" spans="2:80" ht="15" customHeight="1">
      <c r="B113" s="195" t="s">
        <v>13</v>
      </c>
      <c r="D113" s="9"/>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row>
    <row r="114" spans="2:80" ht="15" customHeight="1">
      <c r="B114" s="132" t="s">
        <v>402</v>
      </c>
      <c r="C114" s="1" t="s">
        <v>747</v>
      </c>
      <c r="D114" s="9" t="s">
        <v>399</v>
      </c>
      <c r="E114" s="188">
        <f>0.5*(C96)*Health!B32*(Health!Q73+Health!Q74)*Health!F87/1000</f>
        <v>1619.9590642953867</v>
      </c>
      <c r="F114" s="188">
        <f t="shared" ref="F114:AK114" si="35">E114*(1+E$100)</f>
        <v>1658.5559417614097</v>
      </c>
      <c r="G114" s="188">
        <f t="shared" si="35"/>
        <v>1698.072422063678</v>
      </c>
      <c r="H114" s="188">
        <f t="shared" si="35"/>
        <v>1738.5304155076865</v>
      </c>
      <c r="I114" s="188">
        <f t="shared" si="35"/>
        <v>1779.9523544302547</v>
      </c>
      <c r="J114" s="188">
        <f t="shared" si="35"/>
        <v>1822.3612056373595</v>
      </c>
      <c r="K114" s="188">
        <f t="shared" si="35"/>
        <v>1865.7804831383085</v>
      </c>
      <c r="L114" s="188">
        <f t="shared" si="35"/>
        <v>1910.2342611833169</v>
      </c>
      <c r="M114" s="188">
        <f t="shared" si="35"/>
        <v>1955.7471876117143</v>
      </c>
      <c r="N114" s="188">
        <f t="shared" si="35"/>
        <v>2002.3444975181849</v>
      </c>
      <c r="O114" s="188">
        <f t="shared" si="35"/>
        <v>2050.0520272446165</v>
      </c>
      <c r="P114" s="188">
        <f t="shared" si="35"/>
        <v>2098.8962287053173</v>
      </c>
      <c r="Q114" s="188">
        <f t="shared" si="35"/>
        <v>2148.9041840535428</v>
      </c>
      <c r="R114" s="188">
        <f t="shared" si="35"/>
        <v>2200.103620697465</v>
      </c>
      <c r="S114" s="188">
        <f t="shared" si="35"/>
        <v>2252.5229266739088</v>
      </c>
      <c r="T114" s="188">
        <f t="shared" si="35"/>
        <v>2306.1911663883834</v>
      </c>
      <c r="U114" s="188">
        <f t="shared" si="35"/>
        <v>2361.1380967301284</v>
      </c>
      <c r="V114" s="188">
        <f t="shared" si="35"/>
        <v>2417.3941835711194</v>
      </c>
      <c r="W114" s="188">
        <f t="shared" si="35"/>
        <v>2474.9906186581716</v>
      </c>
      <c r="X114" s="188">
        <f t="shared" si="35"/>
        <v>2533.959336907516</v>
      </c>
      <c r="Y114" s="188">
        <f t="shared" si="35"/>
        <v>2594.3330341114292</v>
      </c>
      <c r="Z114" s="188">
        <f t="shared" si="35"/>
        <v>2656.1451850667427</v>
      </c>
      <c r="AA114" s="188">
        <f t="shared" si="35"/>
        <v>2719.430062135275</v>
      </c>
      <c r="AB114" s="188">
        <f t="shared" si="35"/>
        <v>2784.2227542464848</v>
      </c>
      <c r="AC114" s="188">
        <f t="shared" si="35"/>
        <v>2850.5591863528766</v>
      </c>
      <c r="AD114" s="188">
        <f t="shared" si="35"/>
        <v>2918.4761393489471</v>
      </c>
      <c r="AE114" s="188">
        <f t="shared" si="35"/>
        <v>2988.011270464719</v>
      </c>
      <c r="AF114" s="188">
        <f t="shared" si="35"/>
        <v>3059.2031341451666</v>
      </c>
      <c r="AG114" s="188">
        <f t="shared" si="35"/>
        <v>3132.09120342711</v>
      </c>
      <c r="AH114" s="188">
        <f t="shared" si="35"/>
        <v>3206.7158918254345</v>
      </c>
      <c r="AI114" s="188">
        <f t="shared" si="35"/>
        <v>3283.1185757407652</v>
      </c>
      <c r="AJ114" s="188">
        <f t="shared" si="35"/>
        <v>3361.3416174010231</v>
      </c>
      <c r="AK114" s="188">
        <f t="shared" si="35"/>
        <v>3441.4283883495846</v>
      </c>
      <c r="AL114" s="188">
        <f t="shared" ref="AL114:BQ114" si="36">AK114*(1+AK$100)</f>
        <v>3523.4232934930651</v>
      </c>
      <c r="AM114" s="188">
        <f t="shared" si="36"/>
        <v>3607.3717957220606</v>
      </c>
      <c r="AN114" s="188">
        <f t="shared" si="36"/>
        <v>3693.3204411184997</v>
      </c>
      <c r="AO114" s="188">
        <f t="shared" si="36"/>
        <v>3781.3168847635816</v>
      </c>
      <c r="AP114" s="188">
        <f t="shared" si="36"/>
        <v>3871.4099171606099</v>
      </c>
      <c r="AQ114" s="188">
        <f t="shared" si="36"/>
        <v>3963.6494912873718</v>
      </c>
      <c r="AR114" s="188">
        <f t="shared" si="36"/>
        <v>4058.0867502930646</v>
      </c>
      <c r="AS114" s="188">
        <f t="shared" si="36"/>
        <v>4154.7740558551222</v>
      </c>
      <c r="AT114" s="188">
        <f t="shared" si="36"/>
        <v>4253.7650172116682</v>
      </c>
      <c r="AU114" s="188">
        <f t="shared" si="36"/>
        <v>4355.1145208856924</v>
      </c>
      <c r="AV114" s="188">
        <f t="shared" si="36"/>
        <v>4458.8787611174266</v>
      </c>
      <c r="AW114" s="188">
        <f t="shared" si="36"/>
        <v>4565.115271021803</v>
      </c>
      <c r="AX114" s="188">
        <f t="shared" si="36"/>
        <v>4673.8829544882601</v>
      </c>
      <c r="AY114" s="188">
        <f t="shared" si="36"/>
        <v>4785.2421188405906</v>
      </c>
      <c r="AZ114" s="188">
        <f t="shared" si="36"/>
        <v>4899.2545082749357</v>
      </c>
      <c r="BA114" s="188">
        <f t="shared" si="36"/>
        <v>5015.9833380944701</v>
      </c>
      <c r="BB114" s="188">
        <f t="shared" si="36"/>
        <v>5135.4933297597554</v>
      </c>
      <c r="BC114" s="188">
        <f t="shared" si="36"/>
        <v>5257.8507467741974</v>
      </c>
      <c r="BD114" s="188">
        <f t="shared" si="36"/>
        <v>5383.1234314245039</v>
      </c>
      <c r="BE114" s="188">
        <f t="shared" si="36"/>
        <v>5511.3808423965156</v>
      </c>
      <c r="BF114" s="188">
        <f t="shared" si="36"/>
        <v>5642.6940932872658</v>
      </c>
      <c r="BG114" s="188">
        <f t="shared" si="36"/>
        <v>5777.1359920346213</v>
      </c>
      <c r="BH114" s="188">
        <f t="shared" si="36"/>
        <v>5914.7810812863663</v>
      </c>
      <c r="BI114" s="188">
        <f t="shared" si="36"/>
        <v>6055.705679731117</v>
      </c>
      <c r="BJ114" s="188">
        <f t="shared" si="36"/>
        <v>6199.9879244139756</v>
      </c>
      <c r="BK114" s="188">
        <f t="shared" si="36"/>
        <v>6347.7078140603935</v>
      </c>
      <c r="BL114" s="188">
        <f t="shared" si="36"/>
        <v>6498.9472534322585</v>
      </c>
      <c r="BM114" s="188">
        <f t="shared" si="36"/>
        <v>6653.7900987408075</v>
      </c>
      <c r="BN114" s="188">
        <f t="shared" si="36"/>
        <v>6812.3222041415329</v>
      </c>
      <c r="BO114" s="188">
        <f t="shared" si="36"/>
        <v>6974.6314693368749</v>
      </c>
      <c r="BP114" s="188">
        <f t="shared" si="36"/>
        <v>7140.8078883130875</v>
      </c>
      <c r="BQ114" s="188">
        <f t="shared" si="36"/>
        <v>7310.943599238296</v>
      </c>
      <c r="BR114" s="188">
        <f t="shared" ref="BR114:CB114" si="37">BQ114*(1+BQ$100)</f>
        <v>7485.1329355494217</v>
      </c>
      <c r="BS114" s="188">
        <f t="shared" si="37"/>
        <v>7663.4724782562953</v>
      </c>
      <c r="BT114" s="188">
        <f t="shared" si="37"/>
        <v>7846.0611094919568</v>
      </c>
      <c r="BU114" s="188">
        <f t="shared" si="37"/>
        <v>8033.0000673388386</v>
      </c>
      <c r="BV114" s="188">
        <f t="shared" si="37"/>
        <v>8224.3930019612271</v>
      </c>
      <c r="BW114" s="188">
        <f t="shared" si="37"/>
        <v>8420.3460330751241</v>
      </c>
      <c r="BX114" s="188">
        <f t="shared" si="37"/>
        <v>8620.9678087873854</v>
      </c>
      <c r="BY114" s="188">
        <f t="shared" si="37"/>
        <v>8826.369565836736</v>
      </c>
      <c r="BZ114" s="188">
        <f t="shared" si="37"/>
        <v>9036.6651912700945</v>
      </c>
      <c r="CA114" s="188">
        <f t="shared" si="37"/>
        <v>9251.9712855883699</v>
      </c>
      <c r="CB114" s="188">
        <f t="shared" si="37"/>
        <v>9472.4072273967759</v>
      </c>
    </row>
    <row r="115" spans="2:80" ht="15" customHeight="1">
      <c r="D115" s="9"/>
    </row>
    <row r="116" spans="2:80" ht="15" customHeight="1">
      <c r="B116" s="197" t="s">
        <v>403</v>
      </c>
      <c r="D116" s="9"/>
    </row>
    <row r="117" spans="2:80" ht="15" customHeight="1">
      <c r="B117" s="196" t="s">
        <v>386</v>
      </c>
      <c r="D117" s="9"/>
      <c r="E117" s="188"/>
    </row>
    <row r="118" spans="2:80" ht="15" customHeight="1">
      <c r="B118" s="132" t="s">
        <v>402</v>
      </c>
      <c r="C118" s="1" t="s">
        <v>747</v>
      </c>
      <c r="D118" s="9" t="s">
        <v>399</v>
      </c>
      <c r="E118" s="188">
        <f>E110*(1-Health!B23)</f>
        <v>430.26568302631779</v>
      </c>
      <c r="F118" s="188">
        <f t="shared" ref="F118:AK118" si="38">E118*(1+F$99)</f>
        <v>430.26568302631779</v>
      </c>
      <c r="G118" s="188">
        <f t="shared" si="38"/>
        <v>430.26568302631779</v>
      </c>
      <c r="H118" s="188">
        <f t="shared" si="38"/>
        <v>430.26568302631779</v>
      </c>
      <c r="I118" s="188">
        <f t="shared" si="38"/>
        <v>430.26568302631779</v>
      </c>
      <c r="J118" s="188">
        <f t="shared" si="38"/>
        <v>430.26568302631779</v>
      </c>
      <c r="K118" s="188">
        <f t="shared" si="38"/>
        <v>430.26568302631779</v>
      </c>
      <c r="L118" s="188">
        <f t="shared" si="38"/>
        <v>430.26568302631779</v>
      </c>
      <c r="M118" s="188">
        <f t="shared" si="38"/>
        <v>430.26568302631779</v>
      </c>
      <c r="N118" s="188">
        <f t="shared" si="38"/>
        <v>430.26568302631779</v>
      </c>
      <c r="O118" s="188">
        <f t="shared" si="38"/>
        <v>430.26568302631779</v>
      </c>
      <c r="P118" s="188">
        <f t="shared" si="38"/>
        <v>430.26568302631779</v>
      </c>
      <c r="Q118" s="188">
        <f t="shared" si="38"/>
        <v>430.26568302631779</v>
      </c>
      <c r="R118" s="188">
        <f t="shared" si="38"/>
        <v>430.26568302631779</v>
      </c>
      <c r="S118" s="188">
        <f t="shared" si="38"/>
        <v>430.26568302631779</v>
      </c>
      <c r="T118" s="188">
        <f t="shared" si="38"/>
        <v>430.26568302631779</v>
      </c>
      <c r="U118" s="188">
        <f t="shared" si="38"/>
        <v>430.26568302631779</v>
      </c>
      <c r="V118" s="188">
        <f t="shared" si="38"/>
        <v>430.26568302631779</v>
      </c>
      <c r="W118" s="188">
        <f t="shared" si="38"/>
        <v>430.26568302631779</v>
      </c>
      <c r="X118" s="188">
        <f t="shared" si="38"/>
        <v>430.26568302631779</v>
      </c>
      <c r="Y118" s="188">
        <f t="shared" si="38"/>
        <v>430.26568302631779</v>
      </c>
      <c r="Z118" s="188">
        <f t="shared" si="38"/>
        <v>430.26568302631779</v>
      </c>
      <c r="AA118" s="188">
        <f t="shared" si="38"/>
        <v>430.26568302631779</v>
      </c>
      <c r="AB118" s="188">
        <f t="shared" si="38"/>
        <v>430.26568302631779</v>
      </c>
      <c r="AC118" s="188">
        <f t="shared" si="38"/>
        <v>430.26568302631779</v>
      </c>
      <c r="AD118" s="188">
        <f t="shared" si="38"/>
        <v>430.26568302631779</v>
      </c>
      <c r="AE118" s="188">
        <f t="shared" si="38"/>
        <v>430.26568302631779</v>
      </c>
      <c r="AF118" s="188">
        <f t="shared" si="38"/>
        <v>430.26568302631779</v>
      </c>
      <c r="AG118" s="188">
        <f t="shared" si="38"/>
        <v>430.26568302631779</v>
      </c>
      <c r="AH118" s="188">
        <f t="shared" si="38"/>
        <v>430.26568302631779</v>
      </c>
      <c r="AI118" s="188">
        <f t="shared" si="38"/>
        <v>430.26568302631779</v>
      </c>
      <c r="AJ118" s="188">
        <f t="shared" si="38"/>
        <v>430.26568302631779</v>
      </c>
      <c r="AK118" s="188">
        <f t="shared" si="38"/>
        <v>430.26568302631779</v>
      </c>
      <c r="AL118" s="188">
        <f t="shared" ref="AL118:BQ118" si="39">AK118*(1+AL$99)</f>
        <v>430.26568302631779</v>
      </c>
      <c r="AM118" s="188">
        <f t="shared" si="39"/>
        <v>430.26568302631779</v>
      </c>
      <c r="AN118" s="188">
        <f t="shared" si="39"/>
        <v>430.26568302631779</v>
      </c>
      <c r="AO118" s="188">
        <f t="shared" si="39"/>
        <v>430.26568302631779</v>
      </c>
      <c r="AP118" s="188">
        <f t="shared" si="39"/>
        <v>430.26568302631779</v>
      </c>
      <c r="AQ118" s="188">
        <f t="shared" si="39"/>
        <v>430.26568302631779</v>
      </c>
      <c r="AR118" s="188">
        <f t="shared" si="39"/>
        <v>430.26568302631779</v>
      </c>
      <c r="AS118" s="188">
        <f t="shared" si="39"/>
        <v>430.26568302631779</v>
      </c>
      <c r="AT118" s="188">
        <f t="shared" si="39"/>
        <v>430.26568302631779</v>
      </c>
      <c r="AU118" s="188">
        <f t="shared" si="39"/>
        <v>430.26568302631779</v>
      </c>
      <c r="AV118" s="188">
        <f t="shared" si="39"/>
        <v>430.26568302631779</v>
      </c>
      <c r="AW118" s="188">
        <f t="shared" si="39"/>
        <v>430.26568302631779</v>
      </c>
      <c r="AX118" s="188">
        <f t="shared" si="39"/>
        <v>430.26568302631779</v>
      </c>
      <c r="AY118" s="188">
        <f t="shared" si="39"/>
        <v>430.26568302631779</v>
      </c>
      <c r="AZ118" s="188">
        <f t="shared" si="39"/>
        <v>430.26568302631779</v>
      </c>
      <c r="BA118" s="188">
        <f t="shared" si="39"/>
        <v>430.26568302631779</v>
      </c>
      <c r="BB118" s="188">
        <f t="shared" si="39"/>
        <v>430.26568302631779</v>
      </c>
      <c r="BC118" s="188">
        <f t="shared" si="39"/>
        <v>430.26568302631779</v>
      </c>
      <c r="BD118" s="188">
        <f t="shared" si="39"/>
        <v>430.26568302631779</v>
      </c>
      <c r="BE118" s="188">
        <f t="shared" si="39"/>
        <v>430.26568302631779</v>
      </c>
      <c r="BF118" s="188">
        <f t="shared" si="39"/>
        <v>430.26568302631779</v>
      </c>
      <c r="BG118" s="188">
        <f t="shared" si="39"/>
        <v>430.26568302631779</v>
      </c>
      <c r="BH118" s="188">
        <f t="shared" si="39"/>
        <v>430.26568302631779</v>
      </c>
      <c r="BI118" s="188">
        <f t="shared" si="39"/>
        <v>430.26568302631779</v>
      </c>
      <c r="BJ118" s="188">
        <f t="shared" si="39"/>
        <v>430.26568302631779</v>
      </c>
      <c r="BK118" s="188">
        <f t="shared" si="39"/>
        <v>430.26568302631779</v>
      </c>
      <c r="BL118" s="188">
        <f t="shared" si="39"/>
        <v>430.26568302631779</v>
      </c>
      <c r="BM118" s="188">
        <f t="shared" si="39"/>
        <v>430.26568302631779</v>
      </c>
      <c r="BN118" s="188">
        <f t="shared" si="39"/>
        <v>430.26568302631779</v>
      </c>
      <c r="BO118" s="188">
        <f t="shared" si="39"/>
        <v>430.26568302631779</v>
      </c>
      <c r="BP118" s="188">
        <f t="shared" si="39"/>
        <v>430.26568302631779</v>
      </c>
      <c r="BQ118" s="188">
        <f t="shared" si="39"/>
        <v>430.26568302631779</v>
      </c>
      <c r="BR118" s="188">
        <f t="shared" ref="BR118:CB118" si="40">BQ118*(1+BR$99)</f>
        <v>430.26568302631779</v>
      </c>
      <c r="BS118" s="188">
        <f t="shared" si="40"/>
        <v>430.26568302631779</v>
      </c>
      <c r="BT118" s="188">
        <f t="shared" si="40"/>
        <v>430.26568302631779</v>
      </c>
      <c r="BU118" s="188">
        <f t="shared" si="40"/>
        <v>430.26568302631779</v>
      </c>
      <c r="BV118" s="188">
        <f t="shared" si="40"/>
        <v>430.26568302631779</v>
      </c>
      <c r="BW118" s="188">
        <f t="shared" si="40"/>
        <v>430.26568302631779</v>
      </c>
      <c r="BX118" s="188">
        <f t="shared" si="40"/>
        <v>430.26568302631779</v>
      </c>
      <c r="BY118" s="188">
        <f t="shared" si="40"/>
        <v>430.26568302631779</v>
      </c>
      <c r="BZ118" s="188">
        <f t="shared" si="40"/>
        <v>430.26568302631779</v>
      </c>
      <c r="CA118" s="188">
        <f t="shared" si="40"/>
        <v>430.26568302631779</v>
      </c>
      <c r="CB118" s="188">
        <f t="shared" si="40"/>
        <v>430.26568302631779</v>
      </c>
    </row>
    <row r="119" spans="2:80" ht="15" customHeight="1">
      <c r="B119" s="196" t="s">
        <v>387</v>
      </c>
      <c r="D119" s="9"/>
      <c r="E119" s="188"/>
    </row>
    <row r="120" spans="2:80" ht="15" customHeight="1">
      <c r="B120" s="132" t="s">
        <v>402</v>
      </c>
      <c r="C120" s="1" t="s">
        <v>747</v>
      </c>
      <c r="D120" s="9" t="s">
        <v>399</v>
      </c>
      <c r="E120" s="188">
        <f>E112*(1-Health!C23)</f>
        <v>140.57027640747827</v>
      </c>
      <c r="F120" s="188">
        <f t="shared" ref="F120:AK120" si="41">E120*(1+F$99)</f>
        <v>140.57027640747827</v>
      </c>
      <c r="G120" s="188">
        <f t="shared" si="41"/>
        <v>140.57027640747827</v>
      </c>
      <c r="H120" s="188">
        <f t="shared" si="41"/>
        <v>140.57027640747827</v>
      </c>
      <c r="I120" s="188">
        <f t="shared" si="41"/>
        <v>140.57027640747827</v>
      </c>
      <c r="J120" s="188">
        <f t="shared" si="41"/>
        <v>140.57027640747827</v>
      </c>
      <c r="K120" s="188">
        <f t="shared" si="41"/>
        <v>140.57027640747827</v>
      </c>
      <c r="L120" s="188">
        <f t="shared" si="41"/>
        <v>140.57027640747827</v>
      </c>
      <c r="M120" s="188">
        <f t="shared" si="41"/>
        <v>140.57027640747827</v>
      </c>
      <c r="N120" s="188">
        <f t="shared" si="41"/>
        <v>140.57027640747827</v>
      </c>
      <c r="O120" s="188">
        <f t="shared" si="41"/>
        <v>140.57027640747827</v>
      </c>
      <c r="P120" s="188">
        <f t="shared" si="41"/>
        <v>140.57027640747827</v>
      </c>
      <c r="Q120" s="188">
        <f t="shared" si="41"/>
        <v>140.57027640747827</v>
      </c>
      <c r="R120" s="188">
        <f t="shared" si="41"/>
        <v>140.57027640747827</v>
      </c>
      <c r="S120" s="188">
        <f t="shared" si="41"/>
        <v>140.57027640747827</v>
      </c>
      <c r="T120" s="188">
        <f t="shared" si="41"/>
        <v>140.57027640747827</v>
      </c>
      <c r="U120" s="188">
        <f t="shared" si="41"/>
        <v>140.57027640747827</v>
      </c>
      <c r="V120" s="188">
        <f t="shared" si="41"/>
        <v>140.57027640747827</v>
      </c>
      <c r="W120" s="188">
        <f t="shared" si="41"/>
        <v>140.57027640747827</v>
      </c>
      <c r="X120" s="188">
        <f t="shared" si="41"/>
        <v>140.57027640747827</v>
      </c>
      <c r="Y120" s="188">
        <f t="shared" si="41"/>
        <v>140.57027640747827</v>
      </c>
      <c r="Z120" s="188">
        <f t="shared" si="41"/>
        <v>140.57027640747827</v>
      </c>
      <c r="AA120" s="188">
        <f t="shared" si="41"/>
        <v>140.57027640747827</v>
      </c>
      <c r="AB120" s="188">
        <f t="shared" si="41"/>
        <v>140.57027640747827</v>
      </c>
      <c r="AC120" s="188">
        <f t="shared" si="41"/>
        <v>140.57027640747827</v>
      </c>
      <c r="AD120" s="188">
        <f t="shared" si="41"/>
        <v>140.57027640747827</v>
      </c>
      <c r="AE120" s="188">
        <f t="shared" si="41"/>
        <v>140.57027640747827</v>
      </c>
      <c r="AF120" s="188">
        <f t="shared" si="41"/>
        <v>140.57027640747827</v>
      </c>
      <c r="AG120" s="188">
        <f t="shared" si="41"/>
        <v>140.57027640747827</v>
      </c>
      <c r="AH120" s="188">
        <f t="shared" si="41"/>
        <v>140.57027640747827</v>
      </c>
      <c r="AI120" s="188">
        <f t="shared" si="41"/>
        <v>140.57027640747827</v>
      </c>
      <c r="AJ120" s="188">
        <f t="shared" si="41"/>
        <v>140.57027640747827</v>
      </c>
      <c r="AK120" s="188">
        <f t="shared" si="41"/>
        <v>140.57027640747827</v>
      </c>
      <c r="AL120" s="188">
        <f t="shared" ref="AL120:BQ120" si="42">AK120*(1+AL$99)</f>
        <v>140.57027640747827</v>
      </c>
      <c r="AM120" s="188">
        <f t="shared" si="42"/>
        <v>140.57027640747827</v>
      </c>
      <c r="AN120" s="188">
        <f t="shared" si="42"/>
        <v>140.57027640747827</v>
      </c>
      <c r="AO120" s="188">
        <f t="shared" si="42"/>
        <v>140.57027640747827</v>
      </c>
      <c r="AP120" s="188">
        <f t="shared" si="42"/>
        <v>140.57027640747827</v>
      </c>
      <c r="AQ120" s="188">
        <f t="shared" si="42"/>
        <v>140.57027640747827</v>
      </c>
      <c r="AR120" s="188">
        <f t="shared" si="42"/>
        <v>140.57027640747827</v>
      </c>
      <c r="AS120" s="188">
        <f t="shared" si="42"/>
        <v>140.57027640747827</v>
      </c>
      <c r="AT120" s="188">
        <f t="shared" si="42"/>
        <v>140.57027640747827</v>
      </c>
      <c r="AU120" s="188">
        <f t="shared" si="42"/>
        <v>140.57027640747827</v>
      </c>
      <c r="AV120" s="188">
        <f t="shared" si="42"/>
        <v>140.57027640747827</v>
      </c>
      <c r="AW120" s="188">
        <f t="shared" si="42"/>
        <v>140.57027640747827</v>
      </c>
      <c r="AX120" s="188">
        <f t="shared" si="42"/>
        <v>140.57027640747827</v>
      </c>
      <c r="AY120" s="188">
        <f t="shared" si="42"/>
        <v>140.57027640747827</v>
      </c>
      <c r="AZ120" s="188">
        <f t="shared" si="42"/>
        <v>140.57027640747827</v>
      </c>
      <c r="BA120" s="188">
        <f t="shared" si="42"/>
        <v>140.57027640747827</v>
      </c>
      <c r="BB120" s="188">
        <f t="shared" si="42"/>
        <v>140.57027640747827</v>
      </c>
      <c r="BC120" s="188">
        <f t="shared" si="42"/>
        <v>140.57027640747827</v>
      </c>
      <c r="BD120" s="188">
        <f t="shared" si="42"/>
        <v>140.57027640747827</v>
      </c>
      <c r="BE120" s="188">
        <f t="shared" si="42"/>
        <v>140.57027640747827</v>
      </c>
      <c r="BF120" s="188">
        <f t="shared" si="42"/>
        <v>140.57027640747827</v>
      </c>
      <c r="BG120" s="188">
        <f t="shared" si="42"/>
        <v>140.57027640747827</v>
      </c>
      <c r="BH120" s="188">
        <f t="shared" si="42"/>
        <v>140.57027640747827</v>
      </c>
      <c r="BI120" s="188">
        <f t="shared" si="42"/>
        <v>140.57027640747827</v>
      </c>
      <c r="BJ120" s="188">
        <f t="shared" si="42"/>
        <v>140.57027640747827</v>
      </c>
      <c r="BK120" s="188">
        <f t="shared" si="42"/>
        <v>140.57027640747827</v>
      </c>
      <c r="BL120" s="188">
        <f t="shared" si="42"/>
        <v>140.57027640747827</v>
      </c>
      <c r="BM120" s="188">
        <f t="shared" si="42"/>
        <v>140.57027640747827</v>
      </c>
      <c r="BN120" s="188">
        <f t="shared" si="42"/>
        <v>140.57027640747827</v>
      </c>
      <c r="BO120" s="188">
        <f t="shared" si="42"/>
        <v>140.57027640747827</v>
      </c>
      <c r="BP120" s="188">
        <f t="shared" si="42"/>
        <v>140.57027640747827</v>
      </c>
      <c r="BQ120" s="188">
        <f t="shared" si="42"/>
        <v>140.57027640747827</v>
      </c>
      <c r="BR120" s="188">
        <f t="shared" ref="BR120:CB120" si="43">BQ120*(1+BR$99)</f>
        <v>140.57027640747827</v>
      </c>
      <c r="BS120" s="188">
        <f t="shared" si="43"/>
        <v>140.57027640747827</v>
      </c>
      <c r="BT120" s="188">
        <f t="shared" si="43"/>
        <v>140.57027640747827</v>
      </c>
      <c r="BU120" s="188">
        <f t="shared" si="43"/>
        <v>140.57027640747827</v>
      </c>
      <c r="BV120" s="188">
        <f t="shared" si="43"/>
        <v>140.57027640747827</v>
      </c>
      <c r="BW120" s="188">
        <f t="shared" si="43"/>
        <v>140.57027640747827</v>
      </c>
      <c r="BX120" s="188">
        <f t="shared" si="43"/>
        <v>140.57027640747827</v>
      </c>
      <c r="BY120" s="188">
        <f t="shared" si="43"/>
        <v>140.57027640747827</v>
      </c>
      <c r="BZ120" s="188">
        <f t="shared" si="43"/>
        <v>140.57027640747827</v>
      </c>
      <c r="CA120" s="188">
        <f t="shared" si="43"/>
        <v>140.57027640747827</v>
      </c>
      <c r="CB120" s="188">
        <f t="shared" si="43"/>
        <v>140.57027640747827</v>
      </c>
    </row>
    <row r="121" spans="2:80" ht="15" customHeight="1">
      <c r="B121" s="195" t="s">
        <v>13</v>
      </c>
      <c r="D121" s="9"/>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row>
    <row r="122" spans="2:80" ht="15" customHeight="1">
      <c r="B122" s="132" t="s">
        <v>402</v>
      </c>
      <c r="C122" s="1" t="s">
        <v>747</v>
      </c>
      <c r="D122" s="9" t="s">
        <v>399</v>
      </c>
      <c r="E122" s="188">
        <f>E114*(1-Health!D23)</f>
        <v>1020.5742105060937</v>
      </c>
      <c r="F122" s="188">
        <f>E122*(1+E$100)</f>
        <v>1044.8902433096882</v>
      </c>
      <c r="G122" s="188">
        <f t="shared" ref="G122:AK122" si="44">F122*(1+F$100)</f>
        <v>1069.7856259001171</v>
      </c>
      <c r="H122" s="188">
        <f t="shared" si="44"/>
        <v>1095.2741617698423</v>
      </c>
      <c r="I122" s="188">
        <f t="shared" si="44"/>
        <v>1121.3699832910602</v>
      </c>
      <c r="J122" s="188">
        <f t="shared" si="44"/>
        <v>1148.0875595515361</v>
      </c>
      <c r="K122" s="188">
        <f t="shared" si="44"/>
        <v>1175.4417043771339</v>
      </c>
      <c r="L122" s="188">
        <f t="shared" si="44"/>
        <v>1203.447584545489</v>
      </c>
      <c r="M122" s="188">
        <f t="shared" si="44"/>
        <v>1232.1207281953793</v>
      </c>
      <c r="N122" s="188">
        <f t="shared" si="44"/>
        <v>1261.4770334364559</v>
      </c>
      <c r="O122" s="188">
        <f t="shared" si="44"/>
        <v>1291.532777164108</v>
      </c>
      <c r="P122" s="188">
        <f t="shared" si="44"/>
        <v>1322.3046240843496</v>
      </c>
      <c r="Q122" s="188">
        <f t="shared" si="44"/>
        <v>1353.8096359537317</v>
      </c>
      <c r="R122" s="188">
        <f t="shared" si="44"/>
        <v>1386.0652810394024</v>
      </c>
      <c r="S122" s="188">
        <f t="shared" si="44"/>
        <v>1419.0894438045621</v>
      </c>
      <c r="T122" s="188">
        <f t="shared" si="44"/>
        <v>1452.9004348246808</v>
      </c>
      <c r="U122" s="188">
        <f t="shared" si="44"/>
        <v>1487.5170009399801</v>
      </c>
      <c r="V122" s="188">
        <f t="shared" si="44"/>
        <v>1522.9583356498044</v>
      </c>
      <c r="W122" s="188">
        <f t="shared" si="44"/>
        <v>1559.2440897546473</v>
      </c>
      <c r="X122" s="188">
        <f t="shared" si="44"/>
        <v>1596.3943822517342</v>
      </c>
      <c r="Y122" s="188">
        <f t="shared" si="44"/>
        <v>1634.4298114901997</v>
      </c>
      <c r="Z122" s="188">
        <f t="shared" si="44"/>
        <v>1673.371466592047</v>
      </c>
      <c r="AA122" s="188">
        <f t="shared" si="44"/>
        <v>1713.2409391452222</v>
      </c>
      <c r="AB122" s="188">
        <f t="shared" si="44"/>
        <v>1754.0603351752843</v>
      </c>
      <c r="AC122" s="188">
        <f t="shared" si="44"/>
        <v>1795.852287402311</v>
      </c>
      <c r="AD122" s="188">
        <f t="shared" si="44"/>
        <v>1838.6399677898355</v>
      </c>
      <c r="AE122" s="188">
        <f t="shared" si="44"/>
        <v>1882.447100392772</v>
      </c>
      <c r="AF122" s="188">
        <f t="shared" si="44"/>
        <v>1927.297974511454</v>
      </c>
      <c r="AG122" s="188">
        <f t="shared" si="44"/>
        <v>1973.2174581590784</v>
      </c>
      <c r="AH122" s="188">
        <f t="shared" si="44"/>
        <v>2020.2310118500229</v>
      </c>
      <c r="AI122" s="188">
        <f t="shared" si="44"/>
        <v>2068.3647027166812</v>
      </c>
      <c r="AJ122" s="188">
        <f t="shared" si="44"/>
        <v>2117.6452189626434</v>
      </c>
      <c r="AK122" s="188">
        <f t="shared" si="44"/>
        <v>2168.0998846602374</v>
      </c>
      <c r="AL122" s="188">
        <f t="shared" ref="AL122:BQ122" si="45">AK122*(1+AK$100)</f>
        <v>2219.7566749006301</v>
      </c>
      <c r="AM122" s="188">
        <f t="shared" si="45"/>
        <v>2272.6442313048974</v>
      </c>
      <c r="AN122" s="188">
        <f t="shared" si="45"/>
        <v>2326.791877904654</v>
      </c>
      <c r="AO122" s="188">
        <f t="shared" si="45"/>
        <v>2382.2296374010557</v>
      </c>
      <c r="AP122" s="188">
        <f t="shared" si="45"/>
        <v>2438.9882478111836</v>
      </c>
      <c r="AQ122" s="188">
        <f t="shared" si="45"/>
        <v>2497.0991795110435</v>
      </c>
      <c r="AR122" s="188">
        <f t="shared" si="45"/>
        <v>2556.5946526846301</v>
      </c>
      <c r="AS122" s="188">
        <f t="shared" si="45"/>
        <v>2617.5076551887264</v>
      </c>
      <c r="AT122" s="188">
        <f t="shared" si="45"/>
        <v>2679.8719608433507</v>
      </c>
      <c r="AU122" s="188">
        <f t="shared" si="45"/>
        <v>2743.7221481579859</v>
      </c>
      <c r="AV122" s="188">
        <f t="shared" si="45"/>
        <v>2809.0936195039785</v>
      </c>
      <c r="AW122" s="188">
        <f t="shared" si="45"/>
        <v>2876.0226207437358</v>
      </c>
      <c r="AX122" s="188">
        <f t="shared" si="45"/>
        <v>2944.546261327604</v>
      </c>
      <c r="AY122" s="188">
        <f t="shared" si="45"/>
        <v>3014.702534869572</v>
      </c>
      <c r="AZ122" s="188">
        <f t="shared" si="45"/>
        <v>3086.5303402132095</v>
      </c>
      <c r="BA122" s="188">
        <f t="shared" si="45"/>
        <v>3160.0695029995163</v>
      </c>
      <c r="BB122" s="188">
        <f t="shared" si="45"/>
        <v>3235.3607977486463</v>
      </c>
      <c r="BC122" s="188">
        <f t="shared" si="45"/>
        <v>3312.4459704677447</v>
      </c>
      <c r="BD122" s="188">
        <f t="shared" si="45"/>
        <v>3391.3677617974377</v>
      </c>
      <c r="BE122" s="188">
        <f t="shared" si="45"/>
        <v>3472.1699307098052</v>
      </c>
      <c r="BF122" s="188">
        <f t="shared" si="45"/>
        <v>3554.8972787709777</v>
      </c>
      <c r="BG122" s="188">
        <f t="shared" si="45"/>
        <v>3639.5956749818115</v>
      </c>
      <c r="BH122" s="188">
        <f t="shared" si="45"/>
        <v>3726.3120812104107</v>
      </c>
      <c r="BI122" s="188">
        <f t="shared" si="45"/>
        <v>3815.0945782306035</v>
      </c>
      <c r="BJ122" s="188">
        <f t="shared" si="45"/>
        <v>3905.9923923808042</v>
      </c>
      <c r="BK122" s="188">
        <f t="shared" si="45"/>
        <v>3999.0559228580473</v>
      </c>
      <c r="BL122" s="188">
        <f t="shared" si="45"/>
        <v>4094.3367696623222</v>
      </c>
      <c r="BM122" s="188">
        <f t="shared" si="45"/>
        <v>4191.8877622067075</v>
      </c>
      <c r="BN122" s="188">
        <f t="shared" si="45"/>
        <v>4291.7629886091645</v>
      </c>
      <c r="BO122" s="188">
        <f t="shared" si="45"/>
        <v>4394.0178256822301</v>
      </c>
      <c r="BP122" s="188">
        <f t="shared" si="45"/>
        <v>4498.7089696372441</v>
      </c>
      <c r="BQ122" s="188">
        <f t="shared" si="45"/>
        <v>4605.8944675201255</v>
      </c>
      <c r="BR122" s="188">
        <f t="shared" ref="BR122:CB122" si="46">BQ122*(1+BQ$100)</f>
        <v>4715.6337493961346</v>
      </c>
      <c r="BS122" s="188">
        <f t="shared" si="46"/>
        <v>4827.9876613014649</v>
      </c>
      <c r="BT122" s="188">
        <f t="shared" si="46"/>
        <v>4943.0184989799318</v>
      </c>
      <c r="BU122" s="188">
        <f t="shared" si="46"/>
        <v>5060.7900424234676</v>
      </c>
      <c r="BV122" s="188">
        <f t="shared" si="46"/>
        <v>5181.367591235572</v>
      </c>
      <c r="BW122" s="188">
        <f t="shared" si="46"/>
        <v>5304.8180008373274</v>
      </c>
      <c r="BX122" s="188">
        <f t="shared" si="46"/>
        <v>5431.209719536052</v>
      </c>
      <c r="BY122" s="188">
        <f t="shared" si="46"/>
        <v>5560.6128264771432</v>
      </c>
      <c r="BZ122" s="188">
        <f t="shared" si="46"/>
        <v>5693.0990705001586</v>
      </c>
      <c r="CA122" s="188">
        <f t="shared" si="46"/>
        <v>5828.7419099206718</v>
      </c>
      <c r="CB122" s="188">
        <f t="shared" si="46"/>
        <v>5967.616553259968</v>
      </c>
    </row>
    <row r="123" spans="2:80" ht="15" customHeight="1"/>
    <row r="124" spans="2:80" ht="15" customHeight="1">
      <c r="B124" s="3" t="s">
        <v>401</v>
      </c>
    </row>
    <row r="125" spans="2:80" ht="15" customHeight="1">
      <c r="B125" s="194" t="s">
        <v>386</v>
      </c>
      <c r="D125" s="9" t="s">
        <v>399</v>
      </c>
      <c r="E125" s="188">
        <f>-(E118-E110)</f>
        <v>338.06589380639252</v>
      </c>
      <c r="F125" s="188">
        <f t="shared" ref="F125:AJ125" si="47">-(F118-F110)</f>
        <v>338.06589380639252</v>
      </c>
      <c r="G125" s="188">
        <f t="shared" si="47"/>
        <v>338.06589380639252</v>
      </c>
      <c r="H125" s="188">
        <f t="shared" si="47"/>
        <v>338.06589380639252</v>
      </c>
      <c r="I125" s="188">
        <f t="shared" si="47"/>
        <v>338.06589380639252</v>
      </c>
      <c r="J125" s="188">
        <f t="shared" si="47"/>
        <v>338.06589380639252</v>
      </c>
      <c r="K125" s="188">
        <f t="shared" si="47"/>
        <v>338.06589380639252</v>
      </c>
      <c r="L125" s="188">
        <f t="shared" si="47"/>
        <v>338.06589380639252</v>
      </c>
      <c r="M125" s="188">
        <f t="shared" si="47"/>
        <v>338.06589380639252</v>
      </c>
      <c r="N125" s="188">
        <f t="shared" si="47"/>
        <v>338.06589380639252</v>
      </c>
      <c r="O125" s="188">
        <f t="shared" si="47"/>
        <v>338.06589380639252</v>
      </c>
      <c r="P125" s="188">
        <f t="shared" si="47"/>
        <v>338.06589380639252</v>
      </c>
      <c r="Q125" s="188">
        <f t="shared" si="47"/>
        <v>338.06589380639252</v>
      </c>
      <c r="R125" s="188">
        <f t="shared" si="47"/>
        <v>338.06589380639252</v>
      </c>
      <c r="S125" s="188">
        <f t="shared" si="47"/>
        <v>338.06589380639252</v>
      </c>
      <c r="T125" s="188">
        <f t="shared" si="47"/>
        <v>338.06589380639252</v>
      </c>
      <c r="U125" s="188">
        <f t="shared" si="47"/>
        <v>338.06589380639252</v>
      </c>
      <c r="V125" s="188">
        <f t="shared" si="47"/>
        <v>338.06589380639252</v>
      </c>
      <c r="W125" s="188">
        <f t="shared" si="47"/>
        <v>338.06589380639252</v>
      </c>
      <c r="X125" s="188">
        <f t="shared" si="47"/>
        <v>338.06589380639252</v>
      </c>
      <c r="Y125" s="188">
        <f t="shared" si="47"/>
        <v>338.06589380639252</v>
      </c>
      <c r="Z125" s="188">
        <f t="shared" si="47"/>
        <v>338.06589380639252</v>
      </c>
      <c r="AA125" s="188">
        <f t="shared" si="47"/>
        <v>338.06589380639252</v>
      </c>
      <c r="AB125" s="188">
        <f t="shared" si="47"/>
        <v>338.06589380639252</v>
      </c>
      <c r="AC125" s="188">
        <f t="shared" si="47"/>
        <v>338.06589380639252</v>
      </c>
      <c r="AD125" s="188">
        <f t="shared" si="47"/>
        <v>338.06589380639252</v>
      </c>
      <c r="AE125" s="188">
        <f t="shared" si="47"/>
        <v>338.06589380639252</v>
      </c>
      <c r="AF125" s="188">
        <f t="shared" si="47"/>
        <v>338.06589380639252</v>
      </c>
      <c r="AG125" s="188">
        <f t="shared" si="47"/>
        <v>338.06589380639252</v>
      </c>
      <c r="AH125" s="188">
        <f t="shared" si="47"/>
        <v>338.06589380639252</v>
      </c>
      <c r="AI125" s="188">
        <f t="shared" si="47"/>
        <v>338.06589380639252</v>
      </c>
      <c r="AJ125" s="188">
        <f t="shared" si="47"/>
        <v>338.06589380639252</v>
      </c>
      <c r="AK125" s="188">
        <f t="shared" ref="AK125:BP125" si="48">-(AK118-AK110)</f>
        <v>338.06589380639252</v>
      </c>
      <c r="AL125" s="188">
        <f t="shared" si="48"/>
        <v>338.06589380639252</v>
      </c>
      <c r="AM125" s="188">
        <f t="shared" si="48"/>
        <v>338.06589380639252</v>
      </c>
      <c r="AN125" s="188">
        <f t="shared" si="48"/>
        <v>338.06589380639252</v>
      </c>
      <c r="AO125" s="188">
        <f t="shared" si="48"/>
        <v>338.06589380639252</v>
      </c>
      <c r="AP125" s="188">
        <f t="shared" si="48"/>
        <v>338.06589380639252</v>
      </c>
      <c r="AQ125" s="188">
        <f t="shared" si="48"/>
        <v>338.06589380639252</v>
      </c>
      <c r="AR125" s="188">
        <f t="shared" si="48"/>
        <v>338.06589380639252</v>
      </c>
      <c r="AS125" s="188">
        <f t="shared" si="48"/>
        <v>338.06589380639252</v>
      </c>
      <c r="AT125" s="188">
        <f t="shared" si="48"/>
        <v>338.06589380639252</v>
      </c>
      <c r="AU125" s="188">
        <f t="shared" si="48"/>
        <v>338.06589380639252</v>
      </c>
      <c r="AV125" s="188">
        <f t="shared" si="48"/>
        <v>338.06589380639252</v>
      </c>
      <c r="AW125" s="188">
        <f t="shared" si="48"/>
        <v>338.06589380639252</v>
      </c>
      <c r="AX125" s="188">
        <f t="shared" si="48"/>
        <v>338.06589380639252</v>
      </c>
      <c r="AY125" s="188">
        <f t="shared" si="48"/>
        <v>338.06589380639252</v>
      </c>
      <c r="AZ125" s="188">
        <f t="shared" si="48"/>
        <v>338.06589380639252</v>
      </c>
      <c r="BA125" s="188">
        <f t="shared" si="48"/>
        <v>338.06589380639252</v>
      </c>
      <c r="BB125" s="188">
        <f t="shared" si="48"/>
        <v>338.06589380639252</v>
      </c>
      <c r="BC125" s="188">
        <f t="shared" si="48"/>
        <v>338.06589380639252</v>
      </c>
      <c r="BD125" s="188">
        <f t="shared" si="48"/>
        <v>338.06589380639252</v>
      </c>
      <c r="BE125" s="188">
        <f t="shared" si="48"/>
        <v>338.06589380639252</v>
      </c>
      <c r="BF125" s="188">
        <f t="shared" si="48"/>
        <v>338.06589380639252</v>
      </c>
      <c r="BG125" s="188">
        <f t="shared" si="48"/>
        <v>338.06589380639252</v>
      </c>
      <c r="BH125" s="188">
        <f t="shared" si="48"/>
        <v>338.06589380639252</v>
      </c>
      <c r="BI125" s="188">
        <f t="shared" si="48"/>
        <v>338.06589380639252</v>
      </c>
      <c r="BJ125" s="188">
        <f t="shared" si="48"/>
        <v>338.06589380639252</v>
      </c>
      <c r="BK125" s="188">
        <f t="shared" si="48"/>
        <v>338.06589380639252</v>
      </c>
      <c r="BL125" s="188">
        <f t="shared" si="48"/>
        <v>338.06589380639252</v>
      </c>
      <c r="BM125" s="188">
        <f t="shared" si="48"/>
        <v>338.06589380639252</v>
      </c>
      <c r="BN125" s="188">
        <f t="shared" si="48"/>
        <v>338.06589380639252</v>
      </c>
      <c r="BO125" s="188">
        <f t="shared" si="48"/>
        <v>338.06589380639252</v>
      </c>
      <c r="BP125" s="188">
        <f t="shared" si="48"/>
        <v>338.06589380639252</v>
      </c>
      <c r="BQ125" s="188">
        <f t="shared" ref="BQ125:CB125" si="49">-(BQ118-BQ110)</f>
        <v>338.06589380639252</v>
      </c>
      <c r="BR125" s="188">
        <f t="shared" si="49"/>
        <v>338.06589380639252</v>
      </c>
      <c r="BS125" s="188">
        <f t="shared" si="49"/>
        <v>338.06589380639252</v>
      </c>
      <c r="BT125" s="188">
        <f t="shared" si="49"/>
        <v>338.06589380639252</v>
      </c>
      <c r="BU125" s="188">
        <f t="shared" si="49"/>
        <v>338.06589380639252</v>
      </c>
      <c r="BV125" s="188">
        <f t="shared" si="49"/>
        <v>338.06589380639252</v>
      </c>
      <c r="BW125" s="188">
        <f t="shared" si="49"/>
        <v>338.06589380639252</v>
      </c>
      <c r="BX125" s="188">
        <f t="shared" si="49"/>
        <v>338.06589380639252</v>
      </c>
      <c r="BY125" s="188">
        <f t="shared" si="49"/>
        <v>338.06589380639252</v>
      </c>
      <c r="BZ125" s="188">
        <f t="shared" si="49"/>
        <v>338.06589380639252</v>
      </c>
      <c r="CA125" s="188">
        <f t="shared" si="49"/>
        <v>338.06589380639252</v>
      </c>
      <c r="CB125" s="188">
        <f t="shared" si="49"/>
        <v>338.06589380639252</v>
      </c>
    </row>
    <row r="126" spans="2:80" ht="15" customHeight="1">
      <c r="B126" s="194" t="s">
        <v>387</v>
      </c>
      <c r="D126" s="9" t="s">
        <v>399</v>
      </c>
      <c r="E126" s="188">
        <f t="shared" ref="E126:AJ126" si="50">-(E120-E112)</f>
        <v>82.55714646153487</v>
      </c>
      <c r="F126" s="188">
        <f t="shared" si="50"/>
        <v>82.55714646153487</v>
      </c>
      <c r="G126" s="188">
        <f t="shared" si="50"/>
        <v>82.55714646153487</v>
      </c>
      <c r="H126" s="188">
        <f t="shared" si="50"/>
        <v>82.55714646153487</v>
      </c>
      <c r="I126" s="188">
        <f t="shared" si="50"/>
        <v>82.55714646153487</v>
      </c>
      <c r="J126" s="188">
        <f t="shared" si="50"/>
        <v>82.55714646153487</v>
      </c>
      <c r="K126" s="188">
        <f t="shared" si="50"/>
        <v>82.55714646153487</v>
      </c>
      <c r="L126" s="188">
        <f t="shared" si="50"/>
        <v>82.55714646153487</v>
      </c>
      <c r="M126" s="188">
        <f t="shared" si="50"/>
        <v>82.55714646153487</v>
      </c>
      <c r="N126" s="188">
        <f t="shared" si="50"/>
        <v>82.55714646153487</v>
      </c>
      <c r="O126" s="188">
        <f t="shared" si="50"/>
        <v>82.55714646153487</v>
      </c>
      <c r="P126" s="188">
        <f t="shared" si="50"/>
        <v>82.55714646153487</v>
      </c>
      <c r="Q126" s="188">
        <f t="shared" si="50"/>
        <v>82.55714646153487</v>
      </c>
      <c r="R126" s="188">
        <f t="shared" si="50"/>
        <v>82.55714646153487</v>
      </c>
      <c r="S126" s="188">
        <f t="shared" si="50"/>
        <v>82.55714646153487</v>
      </c>
      <c r="T126" s="188">
        <f t="shared" si="50"/>
        <v>82.55714646153487</v>
      </c>
      <c r="U126" s="188">
        <f t="shared" si="50"/>
        <v>82.55714646153487</v>
      </c>
      <c r="V126" s="188">
        <f t="shared" si="50"/>
        <v>82.55714646153487</v>
      </c>
      <c r="W126" s="188">
        <f t="shared" si="50"/>
        <v>82.55714646153487</v>
      </c>
      <c r="X126" s="188">
        <f t="shared" si="50"/>
        <v>82.55714646153487</v>
      </c>
      <c r="Y126" s="188">
        <f t="shared" si="50"/>
        <v>82.55714646153487</v>
      </c>
      <c r="Z126" s="188">
        <f t="shared" si="50"/>
        <v>82.55714646153487</v>
      </c>
      <c r="AA126" s="188">
        <f t="shared" si="50"/>
        <v>82.55714646153487</v>
      </c>
      <c r="AB126" s="188">
        <f t="shared" si="50"/>
        <v>82.55714646153487</v>
      </c>
      <c r="AC126" s="188">
        <f t="shared" si="50"/>
        <v>82.55714646153487</v>
      </c>
      <c r="AD126" s="188">
        <f t="shared" si="50"/>
        <v>82.55714646153487</v>
      </c>
      <c r="AE126" s="188">
        <f t="shared" si="50"/>
        <v>82.55714646153487</v>
      </c>
      <c r="AF126" s="188">
        <f t="shared" si="50"/>
        <v>82.55714646153487</v>
      </c>
      <c r="AG126" s="188">
        <f t="shared" si="50"/>
        <v>82.55714646153487</v>
      </c>
      <c r="AH126" s="188">
        <f t="shared" si="50"/>
        <v>82.55714646153487</v>
      </c>
      <c r="AI126" s="188">
        <f t="shared" si="50"/>
        <v>82.55714646153487</v>
      </c>
      <c r="AJ126" s="188">
        <f t="shared" si="50"/>
        <v>82.55714646153487</v>
      </c>
      <c r="AK126" s="188">
        <f t="shared" ref="AK126:BP126" si="51">-(AK120-AK112)</f>
        <v>82.55714646153487</v>
      </c>
      <c r="AL126" s="188">
        <f t="shared" si="51"/>
        <v>82.55714646153487</v>
      </c>
      <c r="AM126" s="188">
        <f t="shared" si="51"/>
        <v>82.55714646153487</v>
      </c>
      <c r="AN126" s="188">
        <f t="shared" si="51"/>
        <v>82.55714646153487</v>
      </c>
      <c r="AO126" s="188">
        <f t="shared" si="51"/>
        <v>82.55714646153487</v>
      </c>
      <c r="AP126" s="188">
        <f t="shared" si="51"/>
        <v>82.55714646153487</v>
      </c>
      <c r="AQ126" s="188">
        <f t="shared" si="51"/>
        <v>82.55714646153487</v>
      </c>
      <c r="AR126" s="188">
        <f t="shared" si="51"/>
        <v>82.55714646153487</v>
      </c>
      <c r="AS126" s="188">
        <f t="shared" si="51"/>
        <v>82.55714646153487</v>
      </c>
      <c r="AT126" s="188">
        <f t="shared" si="51"/>
        <v>82.55714646153487</v>
      </c>
      <c r="AU126" s="188">
        <f t="shared" si="51"/>
        <v>82.55714646153487</v>
      </c>
      <c r="AV126" s="188">
        <f t="shared" si="51"/>
        <v>82.55714646153487</v>
      </c>
      <c r="AW126" s="188">
        <f t="shared" si="51"/>
        <v>82.55714646153487</v>
      </c>
      <c r="AX126" s="188">
        <f t="shared" si="51"/>
        <v>82.55714646153487</v>
      </c>
      <c r="AY126" s="188">
        <f t="shared" si="51"/>
        <v>82.55714646153487</v>
      </c>
      <c r="AZ126" s="188">
        <f t="shared" si="51"/>
        <v>82.55714646153487</v>
      </c>
      <c r="BA126" s="188">
        <f t="shared" si="51"/>
        <v>82.55714646153487</v>
      </c>
      <c r="BB126" s="188">
        <f t="shared" si="51"/>
        <v>82.55714646153487</v>
      </c>
      <c r="BC126" s="188">
        <f t="shared" si="51"/>
        <v>82.55714646153487</v>
      </c>
      <c r="BD126" s="188">
        <f t="shared" si="51"/>
        <v>82.55714646153487</v>
      </c>
      <c r="BE126" s="188">
        <f t="shared" si="51"/>
        <v>82.55714646153487</v>
      </c>
      <c r="BF126" s="188">
        <f t="shared" si="51"/>
        <v>82.55714646153487</v>
      </c>
      <c r="BG126" s="188">
        <f t="shared" si="51"/>
        <v>82.55714646153487</v>
      </c>
      <c r="BH126" s="188">
        <f t="shared" si="51"/>
        <v>82.55714646153487</v>
      </c>
      <c r="BI126" s="188">
        <f t="shared" si="51"/>
        <v>82.55714646153487</v>
      </c>
      <c r="BJ126" s="188">
        <f t="shared" si="51"/>
        <v>82.55714646153487</v>
      </c>
      <c r="BK126" s="188">
        <f t="shared" si="51"/>
        <v>82.55714646153487</v>
      </c>
      <c r="BL126" s="188">
        <f t="shared" si="51"/>
        <v>82.55714646153487</v>
      </c>
      <c r="BM126" s="188">
        <f t="shared" si="51"/>
        <v>82.55714646153487</v>
      </c>
      <c r="BN126" s="188">
        <f t="shared" si="51"/>
        <v>82.55714646153487</v>
      </c>
      <c r="BO126" s="188">
        <f t="shared" si="51"/>
        <v>82.55714646153487</v>
      </c>
      <c r="BP126" s="188">
        <f t="shared" si="51"/>
        <v>82.55714646153487</v>
      </c>
      <c r="BQ126" s="188">
        <f t="shared" ref="BQ126:CB126" si="52">-(BQ120-BQ112)</f>
        <v>82.55714646153487</v>
      </c>
      <c r="BR126" s="188">
        <f t="shared" si="52"/>
        <v>82.55714646153487</v>
      </c>
      <c r="BS126" s="188">
        <f t="shared" si="52"/>
        <v>82.55714646153487</v>
      </c>
      <c r="BT126" s="188">
        <f t="shared" si="52"/>
        <v>82.55714646153487</v>
      </c>
      <c r="BU126" s="188">
        <f t="shared" si="52"/>
        <v>82.55714646153487</v>
      </c>
      <c r="BV126" s="188">
        <f t="shared" si="52"/>
        <v>82.55714646153487</v>
      </c>
      <c r="BW126" s="188">
        <f t="shared" si="52"/>
        <v>82.55714646153487</v>
      </c>
      <c r="BX126" s="188">
        <f t="shared" si="52"/>
        <v>82.55714646153487</v>
      </c>
      <c r="BY126" s="188">
        <f t="shared" si="52"/>
        <v>82.55714646153487</v>
      </c>
      <c r="BZ126" s="188">
        <f t="shared" si="52"/>
        <v>82.55714646153487</v>
      </c>
      <c r="CA126" s="188">
        <f t="shared" si="52"/>
        <v>82.55714646153487</v>
      </c>
      <c r="CB126" s="188">
        <f t="shared" si="52"/>
        <v>82.55714646153487</v>
      </c>
    </row>
    <row r="127" spans="2:80" ht="15" customHeight="1">
      <c r="B127" s="193" t="s">
        <v>13</v>
      </c>
      <c r="D127" s="9" t="s">
        <v>399</v>
      </c>
      <c r="E127" s="188">
        <f t="shared" ref="E127:AJ127" si="53">-(E122-E114)</f>
        <v>599.38485378929306</v>
      </c>
      <c r="F127" s="188">
        <f t="shared" si="53"/>
        <v>613.66569845172148</v>
      </c>
      <c r="G127" s="188">
        <f t="shared" si="53"/>
        <v>628.28679616356089</v>
      </c>
      <c r="H127" s="188">
        <f t="shared" si="53"/>
        <v>643.25625373784419</v>
      </c>
      <c r="I127" s="188">
        <f t="shared" si="53"/>
        <v>658.58237113919449</v>
      </c>
      <c r="J127" s="188">
        <f t="shared" si="53"/>
        <v>674.27364608582343</v>
      </c>
      <c r="K127" s="188">
        <f t="shared" si="53"/>
        <v>690.33877876117458</v>
      </c>
      <c r="L127" s="188">
        <f t="shared" si="53"/>
        <v>706.7866766378279</v>
      </c>
      <c r="M127" s="188">
        <f t="shared" si="53"/>
        <v>723.62645941633491</v>
      </c>
      <c r="N127" s="188">
        <f t="shared" si="53"/>
        <v>740.86746408172894</v>
      </c>
      <c r="O127" s="188">
        <f t="shared" si="53"/>
        <v>758.51925008050853</v>
      </c>
      <c r="P127" s="188">
        <f t="shared" si="53"/>
        <v>776.5916046209677</v>
      </c>
      <c r="Q127" s="188">
        <f t="shared" si="53"/>
        <v>795.09454809981116</v>
      </c>
      <c r="R127" s="188">
        <f t="shared" si="53"/>
        <v>814.03833965806257</v>
      </c>
      <c r="S127" s="188">
        <f t="shared" si="53"/>
        <v>833.43348286934679</v>
      </c>
      <c r="T127" s="188">
        <f t="shared" si="53"/>
        <v>853.29073156370259</v>
      </c>
      <c r="U127" s="188">
        <f t="shared" si="53"/>
        <v>873.62109579014827</v>
      </c>
      <c r="V127" s="188">
        <f t="shared" si="53"/>
        <v>894.43584792131492</v>
      </c>
      <c r="W127" s="188">
        <f t="shared" si="53"/>
        <v>915.74652890352422</v>
      </c>
      <c r="X127" s="188">
        <f t="shared" si="53"/>
        <v>937.56495465578178</v>
      </c>
      <c r="Y127" s="188">
        <f t="shared" si="53"/>
        <v>959.90322262122959</v>
      </c>
      <c r="Z127" s="188">
        <f t="shared" si="53"/>
        <v>982.77371847469567</v>
      </c>
      <c r="AA127" s="188">
        <f t="shared" si="53"/>
        <v>1006.1891229900527</v>
      </c>
      <c r="AB127" s="188">
        <f t="shared" si="53"/>
        <v>1030.1624190712005</v>
      </c>
      <c r="AC127" s="188">
        <f t="shared" si="53"/>
        <v>1054.7068989505656</v>
      </c>
      <c r="AD127" s="188">
        <f t="shared" si="53"/>
        <v>1079.8361715591116</v>
      </c>
      <c r="AE127" s="188">
        <f t="shared" si="53"/>
        <v>1105.564170071947</v>
      </c>
      <c r="AF127" s="188">
        <f t="shared" si="53"/>
        <v>1131.9051596337126</v>
      </c>
      <c r="AG127" s="188">
        <f t="shared" si="53"/>
        <v>1158.8737452680316</v>
      </c>
      <c r="AH127" s="188">
        <f t="shared" si="53"/>
        <v>1186.4848799754116</v>
      </c>
      <c r="AI127" s="188">
        <f t="shared" si="53"/>
        <v>1214.753873024084</v>
      </c>
      <c r="AJ127" s="188">
        <f t="shared" si="53"/>
        <v>1243.6963984383797</v>
      </c>
      <c r="AK127" s="188">
        <f t="shared" ref="AK127:BP127" si="54">-(AK122-AK114)</f>
        <v>1273.3285036893471</v>
      </c>
      <c r="AL127" s="188">
        <f t="shared" si="54"/>
        <v>1303.666618592435</v>
      </c>
      <c r="AM127" s="188">
        <f t="shared" si="54"/>
        <v>1334.7275644171632</v>
      </c>
      <c r="AN127" s="188">
        <f t="shared" si="54"/>
        <v>1366.5285632138457</v>
      </c>
      <c r="AO127" s="188">
        <f t="shared" si="54"/>
        <v>1399.0872473625259</v>
      </c>
      <c r="AP127" s="188">
        <f t="shared" si="54"/>
        <v>1432.4216693494263</v>
      </c>
      <c r="AQ127" s="188">
        <f t="shared" si="54"/>
        <v>1466.5503117763283</v>
      </c>
      <c r="AR127" s="188">
        <f t="shared" si="54"/>
        <v>1501.4920976084345</v>
      </c>
      <c r="AS127" s="188">
        <f t="shared" si="54"/>
        <v>1537.2664006663958</v>
      </c>
      <c r="AT127" s="188">
        <f t="shared" si="54"/>
        <v>1573.8930563683175</v>
      </c>
      <c r="AU127" s="188">
        <f t="shared" si="54"/>
        <v>1611.3923727277065</v>
      </c>
      <c r="AV127" s="188">
        <f t="shared" si="54"/>
        <v>1649.7851416134481</v>
      </c>
      <c r="AW127" s="188">
        <f t="shared" si="54"/>
        <v>1689.0926502780671</v>
      </c>
      <c r="AX127" s="188">
        <f t="shared" si="54"/>
        <v>1729.3366931606561</v>
      </c>
      <c r="AY127" s="188">
        <f t="shared" si="54"/>
        <v>1770.5395839710186</v>
      </c>
      <c r="AZ127" s="188">
        <f t="shared" si="54"/>
        <v>1812.7241680617262</v>
      </c>
      <c r="BA127" s="188">
        <f t="shared" si="54"/>
        <v>1855.9138350949538</v>
      </c>
      <c r="BB127" s="188">
        <f t="shared" si="54"/>
        <v>1900.1325320111091</v>
      </c>
      <c r="BC127" s="188">
        <f t="shared" si="54"/>
        <v>1945.4047763064527</v>
      </c>
      <c r="BD127" s="188">
        <f t="shared" si="54"/>
        <v>1991.7556696270663</v>
      </c>
      <c r="BE127" s="188">
        <f t="shared" si="54"/>
        <v>2039.2109116867105</v>
      </c>
      <c r="BF127" s="188">
        <f t="shared" si="54"/>
        <v>2087.7968145162881</v>
      </c>
      <c r="BG127" s="188">
        <f t="shared" si="54"/>
        <v>2137.5403170528098</v>
      </c>
      <c r="BH127" s="188">
        <f t="shared" si="54"/>
        <v>2188.4690000759556</v>
      </c>
      <c r="BI127" s="188">
        <f t="shared" si="54"/>
        <v>2240.6111015005135</v>
      </c>
      <c r="BJ127" s="188">
        <f t="shared" si="54"/>
        <v>2293.9955320331715</v>
      </c>
      <c r="BK127" s="188">
        <f t="shared" si="54"/>
        <v>2348.6518912023462</v>
      </c>
      <c r="BL127" s="188">
        <f t="shared" si="54"/>
        <v>2404.6104837699363</v>
      </c>
      <c r="BM127" s="188">
        <f t="shared" si="54"/>
        <v>2461.9023365341</v>
      </c>
      <c r="BN127" s="188">
        <f t="shared" si="54"/>
        <v>2520.5592155323684</v>
      </c>
      <c r="BO127" s="188">
        <f t="shared" si="54"/>
        <v>2580.6136436546449</v>
      </c>
      <c r="BP127" s="188">
        <f t="shared" si="54"/>
        <v>2642.0989186758434</v>
      </c>
      <c r="BQ127" s="188">
        <f t="shared" ref="BQ127:CB127" si="55">-(BQ122-BQ114)</f>
        <v>2705.0491317181704</v>
      </c>
      <c r="BR127" s="188">
        <f t="shared" si="55"/>
        <v>2769.4991861532872</v>
      </c>
      <c r="BS127" s="188">
        <f t="shared" si="55"/>
        <v>2835.4848169548304</v>
      </c>
      <c r="BT127" s="188">
        <f t="shared" si="55"/>
        <v>2903.042610512025</v>
      </c>
      <c r="BU127" s="188">
        <f t="shared" si="55"/>
        <v>2972.2100249153709</v>
      </c>
      <c r="BV127" s="188">
        <f t="shared" si="55"/>
        <v>3043.0254107256551</v>
      </c>
      <c r="BW127" s="188">
        <f t="shared" si="55"/>
        <v>3115.5280322377967</v>
      </c>
      <c r="BX127" s="188">
        <f t="shared" si="55"/>
        <v>3189.7580892513333</v>
      </c>
      <c r="BY127" s="188">
        <f t="shared" si="55"/>
        <v>3265.7567393595928</v>
      </c>
      <c r="BZ127" s="188">
        <f t="shared" si="55"/>
        <v>3343.5661207699359</v>
      </c>
      <c r="CA127" s="188">
        <f t="shared" si="55"/>
        <v>3423.2293756676982</v>
      </c>
      <c r="CB127" s="188">
        <f t="shared" si="55"/>
        <v>3504.7906741368079</v>
      </c>
    </row>
    <row r="128" spans="2:80" ht="15" customHeight="1">
      <c r="B128" s="194"/>
      <c r="D128" s="9"/>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row>
    <row r="129" spans="2:80" ht="15" customHeight="1">
      <c r="B129" s="3" t="s">
        <v>400</v>
      </c>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row>
    <row r="130" spans="2:80" ht="15" customHeight="1">
      <c r="B130" s="194" t="s">
        <v>386</v>
      </c>
      <c r="D130" s="9" t="s">
        <v>399</v>
      </c>
      <c r="E130" s="188">
        <f t="shared" ref="E130:AJ130" si="56">E$102*E125</f>
        <v>0</v>
      </c>
      <c r="F130" s="188">
        <f t="shared" si="56"/>
        <v>0</v>
      </c>
      <c r="G130" s="188">
        <f t="shared" si="56"/>
        <v>16.903294690319626</v>
      </c>
      <c r="H130" s="188">
        <f t="shared" si="56"/>
        <v>84.516473451598131</v>
      </c>
      <c r="I130" s="188">
        <f t="shared" si="56"/>
        <v>202.83953628383551</v>
      </c>
      <c r="J130" s="188">
        <f t="shared" si="56"/>
        <v>321.1625991160729</v>
      </c>
      <c r="K130" s="188">
        <f t="shared" si="56"/>
        <v>338.06589380639252</v>
      </c>
      <c r="L130" s="188">
        <f t="shared" si="56"/>
        <v>338.06589380639252</v>
      </c>
      <c r="M130" s="188">
        <f t="shared" si="56"/>
        <v>338.06589380639252</v>
      </c>
      <c r="N130" s="188">
        <f t="shared" si="56"/>
        <v>338.06589380639252</v>
      </c>
      <c r="O130" s="188">
        <f t="shared" si="56"/>
        <v>338.06589380639252</v>
      </c>
      <c r="P130" s="188">
        <f t="shared" si="56"/>
        <v>338.06589380639252</v>
      </c>
      <c r="Q130" s="188">
        <f t="shared" si="56"/>
        <v>338.06589380639252</v>
      </c>
      <c r="R130" s="188">
        <f t="shared" si="56"/>
        <v>338.06589380639252</v>
      </c>
      <c r="S130" s="188">
        <f t="shared" si="56"/>
        <v>338.06589380639252</v>
      </c>
      <c r="T130" s="188">
        <f t="shared" si="56"/>
        <v>338.06589380639252</v>
      </c>
      <c r="U130" s="188">
        <f t="shared" si="56"/>
        <v>338.06589380639252</v>
      </c>
      <c r="V130" s="188">
        <f t="shared" si="56"/>
        <v>338.06589380639252</v>
      </c>
      <c r="W130" s="188">
        <f t="shared" si="56"/>
        <v>338.06589380639252</v>
      </c>
      <c r="X130" s="188">
        <f t="shared" si="56"/>
        <v>338.06589380639252</v>
      </c>
      <c r="Y130" s="188">
        <f t="shared" si="56"/>
        <v>338.06589380639252</v>
      </c>
      <c r="Z130" s="188">
        <f t="shared" si="56"/>
        <v>338.06589380639252</v>
      </c>
      <c r="AA130" s="188">
        <f t="shared" si="56"/>
        <v>338.06589380639252</v>
      </c>
      <c r="AB130" s="188">
        <f t="shared" si="56"/>
        <v>338.06589380639252</v>
      </c>
      <c r="AC130" s="188">
        <f t="shared" si="56"/>
        <v>338.06589380639252</v>
      </c>
      <c r="AD130" s="188">
        <f t="shared" si="56"/>
        <v>338.06589380639252</v>
      </c>
      <c r="AE130" s="188">
        <f t="shared" si="56"/>
        <v>338.06589380639252</v>
      </c>
      <c r="AF130" s="188">
        <f t="shared" si="56"/>
        <v>338.06589380639252</v>
      </c>
      <c r="AG130" s="188">
        <f t="shared" si="56"/>
        <v>338.06589380639252</v>
      </c>
      <c r="AH130" s="188">
        <f t="shared" si="56"/>
        <v>338.06589380639252</v>
      </c>
      <c r="AI130" s="188">
        <f t="shared" si="56"/>
        <v>338.06589380639252</v>
      </c>
      <c r="AJ130" s="188">
        <f t="shared" si="56"/>
        <v>338.06589380639252</v>
      </c>
      <c r="AK130" s="188">
        <f t="shared" ref="AK130:BP130" si="57">AK$102*AK125</f>
        <v>338.06589380639252</v>
      </c>
      <c r="AL130" s="188">
        <f t="shared" si="57"/>
        <v>338.06589380639252</v>
      </c>
      <c r="AM130" s="188">
        <f t="shared" si="57"/>
        <v>338.06589380639252</v>
      </c>
      <c r="AN130" s="188">
        <f t="shared" si="57"/>
        <v>338.06589380639252</v>
      </c>
      <c r="AO130" s="188">
        <f t="shared" si="57"/>
        <v>338.06589380639252</v>
      </c>
      <c r="AP130" s="188">
        <f t="shared" si="57"/>
        <v>338.06589380639252</v>
      </c>
      <c r="AQ130" s="188">
        <f t="shared" si="57"/>
        <v>338.06589380639252</v>
      </c>
      <c r="AR130" s="188">
        <f t="shared" si="57"/>
        <v>338.06589380639252</v>
      </c>
      <c r="AS130" s="188">
        <f t="shared" si="57"/>
        <v>338.06589380639252</v>
      </c>
      <c r="AT130" s="188">
        <f t="shared" si="57"/>
        <v>338.06589380639252</v>
      </c>
      <c r="AU130" s="188">
        <f t="shared" si="57"/>
        <v>338.06589380639252</v>
      </c>
      <c r="AV130" s="188">
        <f t="shared" si="57"/>
        <v>338.06589380639252</v>
      </c>
      <c r="AW130" s="188">
        <f t="shared" si="57"/>
        <v>338.06589380639252</v>
      </c>
      <c r="AX130" s="188">
        <f t="shared" si="57"/>
        <v>338.06589380639252</v>
      </c>
      <c r="AY130" s="188">
        <f t="shared" si="57"/>
        <v>338.06589380639252</v>
      </c>
      <c r="AZ130" s="188">
        <f t="shared" si="57"/>
        <v>338.06589380639252</v>
      </c>
      <c r="BA130" s="188">
        <f t="shared" si="57"/>
        <v>338.06589380639252</v>
      </c>
      <c r="BB130" s="188">
        <f t="shared" si="57"/>
        <v>338.06589380639252</v>
      </c>
      <c r="BC130" s="188">
        <f t="shared" si="57"/>
        <v>338.06589380639252</v>
      </c>
      <c r="BD130" s="188">
        <f t="shared" si="57"/>
        <v>338.06589380639252</v>
      </c>
      <c r="BE130" s="188">
        <f t="shared" si="57"/>
        <v>338.06589380639252</v>
      </c>
      <c r="BF130" s="188">
        <f t="shared" si="57"/>
        <v>338.06589380639252</v>
      </c>
      <c r="BG130" s="188">
        <f t="shared" si="57"/>
        <v>338.06589380639252</v>
      </c>
      <c r="BH130" s="188">
        <f t="shared" si="57"/>
        <v>338.06589380639252</v>
      </c>
      <c r="BI130" s="188">
        <f t="shared" si="57"/>
        <v>338.06589380639252</v>
      </c>
      <c r="BJ130" s="188">
        <f t="shared" si="57"/>
        <v>338.06589380639252</v>
      </c>
      <c r="BK130" s="188">
        <f t="shared" si="57"/>
        <v>338.06589380639252</v>
      </c>
      <c r="BL130" s="188">
        <f t="shared" si="57"/>
        <v>338.06589380639252</v>
      </c>
      <c r="BM130" s="188">
        <f t="shared" si="57"/>
        <v>338.06589380639252</v>
      </c>
      <c r="BN130" s="188">
        <f t="shared" si="57"/>
        <v>338.06589380639252</v>
      </c>
      <c r="BO130" s="188">
        <f t="shared" si="57"/>
        <v>338.06589380639252</v>
      </c>
      <c r="BP130" s="188">
        <f t="shared" si="57"/>
        <v>338.06589380639252</v>
      </c>
      <c r="BQ130" s="188">
        <f t="shared" ref="BQ130:CB130" si="58">BQ$102*BQ125</f>
        <v>338.06589380639252</v>
      </c>
      <c r="BR130" s="188">
        <f t="shared" si="58"/>
        <v>338.06589380639252</v>
      </c>
      <c r="BS130" s="188">
        <f t="shared" si="58"/>
        <v>338.06589380639252</v>
      </c>
      <c r="BT130" s="188">
        <f t="shared" si="58"/>
        <v>338.06589380639252</v>
      </c>
      <c r="BU130" s="188">
        <f t="shared" si="58"/>
        <v>338.06589380639252</v>
      </c>
      <c r="BV130" s="188">
        <f t="shared" si="58"/>
        <v>338.06589380639252</v>
      </c>
      <c r="BW130" s="188">
        <f t="shared" si="58"/>
        <v>338.06589380639252</v>
      </c>
      <c r="BX130" s="188">
        <f t="shared" si="58"/>
        <v>338.06589380639252</v>
      </c>
      <c r="BY130" s="188">
        <f t="shared" si="58"/>
        <v>338.06589380639252</v>
      </c>
      <c r="BZ130" s="188">
        <f t="shared" si="58"/>
        <v>338.06589380639252</v>
      </c>
      <c r="CA130" s="188">
        <f t="shared" si="58"/>
        <v>338.06589380639252</v>
      </c>
      <c r="CB130" s="188">
        <f t="shared" si="58"/>
        <v>338.06589380639252</v>
      </c>
    </row>
    <row r="131" spans="2:80" ht="15" customHeight="1">
      <c r="B131" s="194" t="s">
        <v>387</v>
      </c>
      <c r="D131" s="9" t="s">
        <v>399</v>
      </c>
      <c r="E131" s="188">
        <f t="shared" ref="E131:AJ131" si="59">E$102*E126</f>
        <v>0</v>
      </c>
      <c r="F131" s="188">
        <f t="shared" si="59"/>
        <v>0</v>
      </c>
      <c r="G131" s="188">
        <f t="shared" si="59"/>
        <v>4.1278573230767437</v>
      </c>
      <c r="H131" s="188">
        <f t="shared" si="59"/>
        <v>20.639286615383718</v>
      </c>
      <c r="I131" s="188">
        <f t="shared" si="59"/>
        <v>49.534287876920921</v>
      </c>
      <c r="J131" s="188">
        <f t="shared" si="59"/>
        <v>78.429289138458117</v>
      </c>
      <c r="K131" s="188">
        <f t="shared" si="59"/>
        <v>82.55714646153487</v>
      </c>
      <c r="L131" s="188">
        <f t="shared" si="59"/>
        <v>82.55714646153487</v>
      </c>
      <c r="M131" s="188">
        <f t="shared" si="59"/>
        <v>82.55714646153487</v>
      </c>
      <c r="N131" s="188">
        <f t="shared" si="59"/>
        <v>82.55714646153487</v>
      </c>
      <c r="O131" s="188">
        <f t="shared" si="59"/>
        <v>82.55714646153487</v>
      </c>
      <c r="P131" s="188">
        <f t="shared" si="59"/>
        <v>82.55714646153487</v>
      </c>
      <c r="Q131" s="188">
        <f t="shared" si="59"/>
        <v>82.55714646153487</v>
      </c>
      <c r="R131" s="188">
        <f t="shared" si="59"/>
        <v>82.55714646153487</v>
      </c>
      <c r="S131" s="188">
        <f t="shared" si="59"/>
        <v>82.55714646153487</v>
      </c>
      <c r="T131" s="188">
        <f t="shared" si="59"/>
        <v>82.55714646153487</v>
      </c>
      <c r="U131" s="188">
        <f t="shared" si="59"/>
        <v>82.55714646153487</v>
      </c>
      <c r="V131" s="188">
        <f t="shared" si="59"/>
        <v>82.55714646153487</v>
      </c>
      <c r="W131" s="188">
        <f t="shared" si="59"/>
        <v>82.55714646153487</v>
      </c>
      <c r="X131" s="188">
        <f t="shared" si="59"/>
        <v>82.55714646153487</v>
      </c>
      <c r="Y131" s="188">
        <f t="shared" si="59"/>
        <v>82.55714646153487</v>
      </c>
      <c r="Z131" s="188">
        <f t="shared" si="59"/>
        <v>82.55714646153487</v>
      </c>
      <c r="AA131" s="188">
        <f t="shared" si="59"/>
        <v>82.55714646153487</v>
      </c>
      <c r="AB131" s="188">
        <f t="shared" si="59"/>
        <v>82.55714646153487</v>
      </c>
      <c r="AC131" s="188">
        <f t="shared" si="59"/>
        <v>82.55714646153487</v>
      </c>
      <c r="AD131" s="188">
        <f t="shared" si="59"/>
        <v>82.55714646153487</v>
      </c>
      <c r="AE131" s="188">
        <f t="shared" si="59"/>
        <v>82.55714646153487</v>
      </c>
      <c r="AF131" s="188">
        <f t="shared" si="59"/>
        <v>82.55714646153487</v>
      </c>
      <c r="AG131" s="188">
        <f t="shared" si="59"/>
        <v>82.55714646153487</v>
      </c>
      <c r="AH131" s="188">
        <f t="shared" si="59"/>
        <v>82.55714646153487</v>
      </c>
      <c r="AI131" s="188">
        <f t="shared" si="59"/>
        <v>82.55714646153487</v>
      </c>
      <c r="AJ131" s="188">
        <f t="shared" si="59"/>
        <v>82.55714646153487</v>
      </c>
      <c r="AK131" s="188">
        <f t="shared" ref="AK131:BP131" si="60">AK$102*AK126</f>
        <v>82.55714646153487</v>
      </c>
      <c r="AL131" s="188">
        <f t="shared" si="60"/>
        <v>82.55714646153487</v>
      </c>
      <c r="AM131" s="188">
        <f t="shared" si="60"/>
        <v>82.55714646153487</v>
      </c>
      <c r="AN131" s="188">
        <f t="shared" si="60"/>
        <v>82.55714646153487</v>
      </c>
      <c r="AO131" s="188">
        <f t="shared" si="60"/>
        <v>82.55714646153487</v>
      </c>
      <c r="AP131" s="188">
        <f t="shared" si="60"/>
        <v>82.55714646153487</v>
      </c>
      <c r="AQ131" s="188">
        <f t="shared" si="60"/>
        <v>82.55714646153487</v>
      </c>
      <c r="AR131" s="188">
        <f t="shared" si="60"/>
        <v>82.55714646153487</v>
      </c>
      <c r="AS131" s="188">
        <f t="shared" si="60"/>
        <v>82.55714646153487</v>
      </c>
      <c r="AT131" s="188">
        <f t="shared" si="60"/>
        <v>82.55714646153487</v>
      </c>
      <c r="AU131" s="188">
        <f t="shared" si="60"/>
        <v>82.55714646153487</v>
      </c>
      <c r="AV131" s="188">
        <f t="shared" si="60"/>
        <v>82.55714646153487</v>
      </c>
      <c r="AW131" s="188">
        <f t="shared" si="60"/>
        <v>82.55714646153487</v>
      </c>
      <c r="AX131" s="188">
        <f t="shared" si="60"/>
        <v>82.55714646153487</v>
      </c>
      <c r="AY131" s="188">
        <f t="shared" si="60"/>
        <v>82.55714646153487</v>
      </c>
      <c r="AZ131" s="188">
        <f t="shared" si="60"/>
        <v>82.55714646153487</v>
      </c>
      <c r="BA131" s="188">
        <f t="shared" si="60"/>
        <v>82.55714646153487</v>
      </c>
      <c r="BB131" s="188">
        <f t="shared" si="60"/>
        <v>82.55714646153487</v>
      </c>
      <c r="BC131" s="188">
        <f t="shared" si="60"/>
        <v>82.55714646153487</v>
      </c>
      <c r="BD131" s="188">
        <f t="shared" si="60"/>
        <v>82.55714646153487</v>
      </c>
      <c r="BE131" s="188">
        <f t="shared" si="60"/>
        <v>82.55714646153487</v>
      </c>
      <c r="BF131" s="188">
        <f t="shared" si="60"/>
        <v>82.55714646153487</v>
      </c>
      <c r="BG131" s="188">
        <f t="shared" si="60"/>
        <v>82.55714646153487</v>
      </c>
      <c r="BH131" s="188">
        <f t="shared" si="60"/>
        <v>82.55714646153487</v>
      </c>
      <c r="BI131" s="188">
        <f t="shared" si="60"/>
        <v>82.55714646153487</v>
      </c>
      <c r="BJ131" s="188">
        <f t="shared" si="60"/>
        <v>82.55714646153487</v>
      </c>
      <c r="BK131" s="188">
        <f t="shared" si="60"/>
        <v>82.55714646153487</v>
      </c>
      <c r="BL131" s="188">
        <f t="shared" si="60"/>
        <v>82.55714646153487</v>
      </c>
      <c r="BM131" s="188">
        <f t="shared" si="60"/>
        <v>82.55714646153487</v>
      </c>
      <c r="BN131" s="188">
        <f t="shared" si="60"/>
        <v>82.55714646153487</v>
      </c>
      <c r="BO131" s="188">
        <f t="shared" si="60"/>
        <v>82.55714646153487</v>
      </c>
      <c r="BP131" s="188">
        <f t="shared" si="60"/>
        <v>82.55714646153487</v>
      </c>
      <c r="BQ131" s="188">
        <f t="shared" ref="BQ131:CB131" si="61">BQ$102*BQ126</f>
        <v>82.55714646153487</v>
      </c>
      <c r="BR131" s="188">
        <f t="shared" si="61"/>
        <v>82.55714646153487</v>
      </c>
      <c r="BS131" s="188">
        <f t="shared" si="61"/>
        <v>82.55714646153487</v>
      </c>
      <c r="BT131" s="188">
        <f t="shared" si="61"/>
        <v>82.55714646153487</v>
      </c>
      <c r="BU131" s="188">
        <f t="shared" si="61"/>
        <v>82.55714646153487</v>
      </c>
      <c r="BV131" s="188">
        <f t="shared" si="61"/>
        <v>82.55714646153487</v>
      </c>
      <c r="BW131" s="188">
        <f t="shared" si="61"/>
        <v>82.55714646153487</v>
      </c>
      <c r="BX131" s="188">
        <f t="shared" si="61"/>
        <v>82.55714646153487</v>
      </c>
      <c r="BY131" s="188">
        <f t="shared" si="61"/>
        <v>82.55714646153487</v>
      </c>
      <c r="BZ131" s="188">
        <f t="shared" si="61"/>
        <v>82.55714646153487</v>
      </c>
      <c r="CA131" s="188">
        <f t="shared" si="61"/>
        <v>82.55714646153487</v>
      </c>
      <c r="CB131" s="188">
        <f t="shared" si="61"/>
        <v>82.55714646153487</v>
      </c>
    </row>
    <row r="132" spans="2:80" ht="15" customHeight="1">
      <c r="B132" s="193" t="s">
        <v>13</v>
      </c>
      <c r="D132" s="9" t="s">
        <v>399</v>
      </c>
      <c r="E132" s="188">
        <f t="shared" ref="E132:AJ132" si="62">E$102*E127</f>
        <v>0</v>
      </c>
      <c r="F132" s="188">
        <f t="shared" si="62"/>
        <v>0</v>
      </c>
      <c r="G132" s="188">
        <f>G$102*G127</f>
        <v>31.414339808178045</v>
      </c>
      <c r="H132" s="188">
        <f t="shared" si="62"/>
        <v>160.81406343446105</v>
      </c>
      <c r="I132" s="188">
        <f t="shared" si="62"/>
        <v>395.14942268351666</v>
      </c>
      <c r="J132" s="188">
        <f t="shared" si="62"/>
        <v>640.55996378153225</v>
      </c>
      <c r="K132" s="188">
        <f t="shared" si="62"/>
        <v>690.33877876117458</v>
      </c>
      <c r="L132" s="188">
        <f t="shared" si="62"/>
        <v>706.7866766378279</v>
      </c>
      <c r="M132" s="188">
        <f t="shared" si="62"/>
        <v>723.62645941633491</v>
      </c>
      <c r="N132" s="188">
        <f t="shared" si="62"/>
        <v>740.86746408172894</v>
      </c>
      <c r="O132" s="188">
        <f t="shared" si="62"/>
        <v>758.51925008050853</v>
      </c>
      <c r="P132" s="188">
        <f t="shared" si="62"/>
        <v>776.5916046209677</v>
      </c>
      <c r="Q132" s="188">
        <f t="shared" si="62"/>
        <v>795.09454809981116</v>
      </c>
      <c r="R132" s="188">
        <f t="shared" si="62"/>
        <v>814.03833965806257</v>
      </c>
      <c r="S132" s="188">
        <f t="shared" si="62"/>
        <v>833.43348286934679</v>
      </c>
      <c r="T132" s="188">
        <f t="shared" si="62"/>
        <v>853.29073156370259</v>
      </c>
      <c r="U132" s="188">
        <f t="shared" si="62"/>
        <v>873.62109579014827</v>
      </c>
      <c r="V132" s="188">
        <f t="shared" si="62"/>
        <v>894.43584792131492</v>
      </c>
      <c r="W132" s="188">
        <f t="shared" si="62"/>
        <v>915.74652890352422</v>
      </c>
      <c r="X132" s="188">
        <f t="shared" si="62"/>
        <v>937.56495465578178</v>
      </c>
      <c r="Y132" s="188">
        <f t="shared" si="62"/>
        <v>959.90322262122959</v>
      </c>
      <c r="Z132" s="188">
        <f t="shared" si="62"/>
        <v>982.77371847469567</v>
      </c>
      <c r="AA132" s="188">
        <f t="shared" si="62"/>
        <v>1006.1891229900527</v>
      </c>
      <c r="AB132" s="188">
        <f t="shared" si="62"/>
        <v>1030.1624190712005</v>
      </c>
      <c r="AC132" s="188">
        <f t="shared" si="62"/>
        <v>1054.7068989505656</v>
      </c>
      <c r="AD132" s="188">
        <f t="shared" si="62"/>
        <v>1079.8361715591116</v>
      </c>
      <c r="AE132" s="188">
        <f t="shared" si="62"/>
        <v>1105.564170071947</v>
      </c>
      <c r="AF132" s="188">
        <f t="shared" si="62"/>
        <v>1131.9051596337126</v>
      </c>
      <c r="AG132" s="188">
        <f t="shared" si="62"/>
        <v>1158.8737452680316</v>
      </c>
      <c r="AH132" s="188">
        <f t="shared" si="62"/>
        <v>1186.4848799754116</v>
      </c>
      <c r="AI132" s="188">
        <f t="shared" si="62"/>
        <v>1214.753873024084</v>
      </c>
      <c r="AJ132" s="188">
        <f t="shared" si="62"/>
        <v>1243.6963984383797</v>
      </c>
      <c r="AK132" s="188">
        <f t="shared" ref="AK132:BP132" si="63">AK$102*AK127</f>
        <v>1273.3285036893471</v>
      </c>
      <c r="AL132" s="188">
        <f t="shared" si="63"/>
        <v>1303.666618592435</v>
      </c>
      <c r="AM132" s="188">
        <f t="shared" si="63"/>
        <v>1334.7275644171632</v>
      </c>
      <c r="AN132" s="188">
        <f t="shared" si="63"/>
        <v>1366.5285632138457</v>
      </c>
      <c r="AO132" s="188">
        <f t="shared" si="63"/>
        <v>1399.0872473625259</v>
      </c>
      <c r="AP132" s="188">
        <f t="shared" si="63"/>
        <v>1432.4216693494263</v>
      </c>
      <c r="AQ132" s="188">
        <f t="shared" si="63"/>
        <v>1466.5503117763283</v>
      </c>
      <c r="AR132" s="188">
        <f t="shared" si="63"/>
        <v>1501.4920976084345</v>
      </c>
      <c r="AS132" s="188">
        <f t="shared" si="63"/>
        <v>1537.2664006663958</v>
      </c>
      <c r="AT132" s="188">
        <f t="shared" si="63"/>
        <v>1573.8930563683175</v>
      </c>
      <c r="AU132" s="188">
        <f t="shared" si="63"/>
        <v>1611.3923727277065</v>
      </c>
      <c r="AV132" s="188">
        <f t="shared" si="63"/>
        <v>1649.7851416134481</v>
      </c>
      <c r="AW132" s="188">
        <f t="shared" si="63"/>
        <v>1689.0926502780671</v>
      </c>
      <c r="AX132" s="188">
        <f t="shared" si="63"/>
        <v>1729.3366931606561</v>
      </c>
      <c r="AY132" s="188">
        <f t="shared" si="63"/>
        <v>1770.5395839710186</v>
      </c>
      <c r="AZ132" s="188">
        <f t="shared" si="63"/>
        <v>1812.7241680617262</v>
      </c>
      <c r="BA132" s="188">
        <f t="shared" si="63"/>
        <v>1855.9138350949538</v>
      </c>
      <c r="BB132" s="188">
        <f t="shared" si="63"/>
        <v>1900.1325320111091</v>
      </c>
      <c r="BC132" s="188">
        <f t="shared" si="63"/>
        <v>1945.4047763064527</v>
      </c>
      <c r="BD132" s="188">
        <f t="shared" si="63"/>
        <v>1991.7556696270663</v>
      </c>
      <c r="BE132" s="188">
        <f t="shared" si="63"/>
        <v>2039.2109116867105</v>
      </c>
      <c r="BF132" s="188">
        <f t="shared" si="63"/>
        <v>2087.7968145162881</v>
      </c>
      <c r="BG132" s="188">
        <f t="shared" si="63"/>
        <v>2137.5403170528098</v>
      </c>
      <c r="BH132" s="188">
        <f t="shared" si="63"/>
        <v>2188.4690000759556</v>
      </c>
      <c r="BI132" s="188">
        <f t="shared" si="63"/>
        <v>2240.6111015005135</v>
      </c>
      <c r="BJ132" s="188">
        <f t="shared" si="63"/>
        <v>2293.9955320331715</v>
      </c>
      <c r="BK132" s="188">
        <f t="shared" si="63"/>
        <v>2348.6518912023462</v>
      </c>
      <c r="BL132" s="188">
        <f t="shared" si="63"/>
        <v>2404.6104837699363</v>
      </c>
      <c r="BM132" s="188">
        <f t="shared" si="63"/>
        <v>2461.9023365341</v>
      </c>
      <c r="BN132" s="188">
        <f t="shared" si="63"/>
        <v>2520.5592155323684</v>
      </c>
      <c r="BO132" s="188">
        <f t="shared" si="63"/>
        <v>2580.6136436546449</v>
      </c>
      <c r="BP132" s="188">
        <f t="shared" si="63"/>
        <v>2642.0989186758434</v>
      </c>
      <c r="BQ132" s="188">
        <f t="shared" ref="BQ132:CB132" si="64">BQ$102*BQ127</f>
        <v>2705.0491317181704</v>
      </c>
      <c r="BR132" s="188">
        <f t="shared" si="64"/>
        <v>2769.4991861532872</v>
      </c>
      <c r="BS132" s="188">
        <f t="shared" si="64"/>
        <v>2835.4848169548304</v>
      </c>
      <c r="BT132" s="188">
        <f t="shared" si="64"/>
        <v>2903.042610512025</v>
      </c>
      <c r="BU132" s="188">
        <f t="shared" si="64"/>
        <v>2972.2100249153709</v>
      </c>
      <c r="BV132" s="188">
        <f t="shared" si="64"/>
        <v>3043.0254107256551</v>
      </c>
      <c r="BW132" s="188">
        <f t="shared" si="64"/>
        <v>3115.5280322377967</v>
      </c>
      <c r="BX132" s="188">
        <f t="shared" si="64"/>
        <v>3189.7580892513333</v>
      </c>
      <c r="BY132" s="188">
        <f t="shared" si="64"/>
        <v>3265.7567393595928</v>
      </c>
      <c r="BZ132" s="188">
        <f t="shared" si="64"/>
        <v>3343.5661207699359</v>
      </c>
      <c r="CA132" s="188">
        <f t="shared" si="64"/>
        <v>3423.2293756676982</v>
      </c>
      <c r="CB132" s="188">
        <f t="shared" si="64"/>
        <v>3504.7906741368079</v>
      </c>
    </row>
    <row r="133" spans="2:80" ht="15" customHeight="1">
      <c r="B133" s="193"/>
      <c r="D133" s="9"/>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row>
    <row r="134" spans="2:80" ht="15" customHeight="1">
      <c r="B134" s="193" t="s">
        <v>400</v>
      </c>
      <c r="C134" s="1" t="s">
        <v>386</v>
      </c>
      <c r="D134" s="9" t="s">
        <v>387</v>
      </c>
      <c r="E134" s="1" t="s">
        <v>13</v>
      </c>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row>
    <row r="135" spans="2:80" ht="15" customHeight="1">
      <c r="B135" s="193"/>
      <c r="D135" s="9"/>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row>
    <row r="136" spans="2:80" ht="15" customHeight="1">
      <c r="B136" s="193"/>
      <c r="C136" s="1" t="s">
        <v>399</v>
      </c>
      <c r="D136" s="9" t="s">
        <v>399</v>
      </c>
      <c r="E136" s="1" t="s">
        <v>399</v>
      </c>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row>
    <row r="137" spans="2:80" ht="15" customHeight="1">
      <c r="B137" s="211">
        <v>2012</v>
      </c>
      <c r="C137" s="188">
        <f>E130</f>
        <v>0</v>
      </c>
      <c r="D137" s="529">
        <f>E131</f>
        <v>0</v>
      </c>
      <c r="E137" s="188">
        <f>E132</f>
        <v>0</v>
      </c>
      <c r="F137" s="188"/>
      <c r="G137" s="188"/>
      <c r="H137" s="188"/>
      <c r="I137" s="987">
        <f>0.15*15-0.002*(15)^2+0.1*(5)</f>
        <v>2.2999999999999998</v>
      </c>
      <c r="J137" s="986">
        <f>EXP(I137)</f>
        <v>9.9741824548147182</v>
      </c>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row>
    <row r="138" spans="2:80" ht="15" customHeight="1">
      <c r="B138" s="211">
        <f t="shared" ref="B138:B143" si="65">B137+1</f>
        <v>2013</v>
      </c>
      <c r="C138" s="188">
        <f>F130</f>
        <v>0</v>
      </c>
      <c r="D138" s="529">
        <f>F131</f>
        <v>0</v>
      </c>
      <c r="E138" s="188">
        <f>F132</f>
        <v>0</v>
      </c>
      <c r="F138" s="188"/>
      <c r="G138" s="188"/>
      <c r="H138" s="188"/>
      <c r="I138" s="987">
        <f>0.15*(14)-0.002*(14)^2+0.1*(3.5)</f>
        <v>2.0580000000000003</v>
      </c>
      <c r="J138" s="986">
        <f>EXP(I138)</f>
        <v>7.8302935521813701</v>
      </c>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row>
    <row r="139" spans="2:80" ht="15" customHeight="1">
      <c r="B139" s="211">
        <f t="shared" si="65"/>
        <v>2014</v>
      </c>
      <c r="C139" s="188">
        <f>G130</f>
        <v>16.903294690319626</v>
      </c>
      <c r="D139" s="529">
        <f>G131</f>
        <v>4.1278573230767437</v>
      </c>
      <c r="E139" s="188">
        <f>G132</f>
        <v>31.414339808178045</v>
      </c>
      <c r="F139" s="188"/>
      <c r="G139" s="188"/>
      <c r="H139" s="188"/>
      <c r="I139" s="188"/>
      <c r="J139" s="188">
        <v>1</v>
      </c>
      <c r="K139" s="188">
        <v>2</v>
      </c>
      <c r="L139" s="188">
        <v>3</v>
      </c>
      <c r="M139" s="188">
        <v>4</v>
      </c>
      <c r="N139" s="188">
        <v>5</v>
      </c>
      <c r="O139" s="188">
        <v>6</v>
      </c>
      <c r="P139" s="188">
        <v>7</v>
      </c>
      <c r="Q139" s="188">
        <v>8</v>
      </c>
      <c r="R139" s="188">
        <v>9</v>
      </c>
      <c r="S139" s="188">
        <v>10</v>
      </c>
      <c r="T139" s="188">
        <v>11</v>
      </c>
      <c r="U139" s="188">
        <v>12</v>
      </c>
      <c r="V139" s="188">
        <v>13</v>
      </c>
      <c r="W139" s="188">
        <v>14</v>
      </c>
      <c r="X139" s="188">
        <v>15</v>
      </c>
      <c r="Y139" s="188">
        <v>16</v>
      </c>
      <c r="Z139" s="188">
        <v>17</v>
      </c>
      <c r="AA139" s="188">
        <v>18</v>
      </c>
      <c r="AB139" s="188">
        <v>19</v>
      </c>
      <c r="AC139" s="188">
        <v>20</v>
      </c>
      <c r="AD139" s="188">
        <v>21</v>
      </c>
      <c r="AE139" s="188">
        <v>22</v>
      </c>
      <c r="AF139" s="188">
        <v>23</v>
      </c>
      <c r="AG139" s="188">
        <v>24</v>
      </c>
      <c r="AH139" s="188">
        <v>25</v>
      </c>
      <c r="AI139" s="188">
        <v>26</v>
      </c>
      <c r="AJ139" s="188">
        <v>27</v>
      </c>
      <c r="AK139" s="188">
        <v>28</v>
      </c>
      <c r="AL139" s="188">
        <v>29</v>
      </c>
      <c r="AM139" s="188">
        <v>30</v>
      </c>
      <c r="AN139" s="188">
        <v>31</v>
      </c>
      <c r="AO139" s="188">
        <v>32</v>
      </c>
      <c r="AP139" s="188">
        <v>33</v>
      </c>
      <c r="AQ139" s="188">
        <v>34</v>
      </c>
      <c r="AR139" s="188">
        <v>35</v>
      </c>
      <c r="AS139" s="188">
        <v>36</v>
      </c>
      <c r="AT139" s="188">
        <v>37</v>
      </c>
      <c r="AU139" s="188">
        <v>38</v>
      </c>
      <c r="AV139" s="188">
        <v>39</v>
      </c>
      <c r="AW139" s="188">
        <v>40</v>
      </c>
      <c r="AX139" s="188">
        <v>41</v>
      </c>
      <c r="AY139" s="188">
        <v>42</v>
      </c>
      <c r="AZ139" s="188">
        <v>43</v>
      </c>
      <c r="BA139" s="188">
        <v>44</v>
      </c>
      <c r="BB139" s="188">
        <v>45</v>
      </c>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row>
    <row r="140" spans="2:80" ht="15" customHeight="1">
      <c r="B140" s="211">
        <f t="shared" si="65"/>
        <v>2015</v>
      </c>
      <c r="C140" s="188">
        <f>H130</f>
        <v>84.516473451598131</v>
      </c>
      <c r="D140" s="529">
        <f>H131</f>
        <v>20.639286615383718</v>
      </c>
      <c r="E140" s="188">
        <f>H132</f>
        <v>160.81406343446105</v>
      </c>
      <c r="F140" s="188"/>
      <c r="G140" s="188"/>
      <c r="H140" s="188"/>
      <c r="I140" s="988">
        <f>NPV(0.1,J140:BB140)</f>
        <v>21.144764362283318</v>
      </c>
      <c r="J140" s="988">
        <f>J137-J138</f>
        <v>2.1438889026333481</v>
      </c>
      <c r="K140" s="188">
        <f>J140</f>
        <v>2.1438889026333481</v>
      </c>
      <c r="L140" s="188">
        <f t="shared" ref="L140:BB140" si="66">K140</f>
        <v>2.1438889026333481</v>
      </c>
      <c r="M140" s="188">
        <f t="shared" si="66"/>
        <v>2.1438889026333481</v>
      </c>
      <c r="N140" s="188">
        <f t="shared" si="66"/>
        <v>2.1438889026333481</v>
      </c>
      <c r="O140" s="188">
        <f t="shared" si="66"/>
        <v>2.1438889026333481</v>
      </c>
      <c r="P140" s="188">
        <f t="shared" si="66"/>
        <v>2.1438889026333481</v>
      </c>
      <c r="Q140" s="188">
        <f t="shared" si="66"/>
        <v>2.1438889026333481</v>
      </c>
      <c r="R140" s="188">
        <f t="shared" si="66"/>
        <v>2.1438889026333481</v>
      </c>
      <c r="S140" s="188">
        <f t="shared" si="66"/>
        <v>2.1438889026333481</v>
      </c>
      <c r="T140" s="188">
        <f t="shared" si="66"/>
        <v>2.1438889026333481</v>
      </c>
      <c r="U140" s="188">
        <f t="shared" si="66"/>
        <v>2.1438889026333481</v>
      </c>
      <c r="V140" s="188">
        <f t="shared" si="66"/>
        <v>2.1438889026333481</v>
      </c>
      <c r="W140" s="188">
        <f t="shared" si="66"/>
        <v>2.1438889026333481</v>
      </c>
      <c r="X140" s="188">
        <f t="shared" si="66"/>
        <v>2.1438889026333481</v>
      </c>
      <c r="Y140" s="188">
        <f t="shared" si="66"/>
        <v>2.1438889026333481</v>
      </c>
      <c r="Z140" s="188">
        <f t="shared" si="66"/>
        <v>2.1438889026333481</v>
      </c>
      <c r="AA140" s="188">
        <f t="shared" si="66"/>
        <v>2.1438889026333481</v>
      </c>
      <c r="AB140" s="188">
        <f t="shared" si="66"/>
        <v>2.1438889026333481</v>
      </c>
      <c r="AC140" s="188">
        <f t="shared" si="66"/>
        <v>2.1438889026333481</v>
      </c>
      <c r="AD140" s="188">
        <f t="shared" si="66"/>
        <v>2.1438889026333481</v>
      </c>
      <c r="AE140" s="188">
        <f t="shared" si="66"/>
        <v>2.1438889026333481</v>
      </c>
      <c r="AF140" s="188">
        <f t="shared" si="66"/>
        <v>2.1438889026333481</v>
      </c>
      <c r="AG140" s="188">
        <f t="shared" si="66"/>
        <v>2.1438889026333481</v>
      </c>
      <c r="AH140" s="188">
        <f t="shared" si="66"/>
        <v>2.1438889026333481</v>
      </c>
      <c r="AI140" s="188">
        <f t="shared" si="66"/>
        <v>2.1438889026333481</v>
      </c>
      <c r="AJ140" s="188">
        <f t="shared" si="66"/>
        <v>2.1438889026333481</v>
      </c>
      <c r="AK140" s="188">
        <f t="shared" si="66"/>
        <v>2.1438889026333481</v>
      </c>
      <c r="AL140" s="188">
        <f t="shared" si="66"/>
        <v>2.1438889026333481</v>
      </c>
      <c r="AM140" s="188">
        <f t="shared" si="66"/>
        <v>2.1438889026333481</v>
      </c>
      <c r="AN140" s="188">
        <f t="shared" si="66"/>
        <v>2.1438889026333481</v>
      </c>
      <c r="AO140" s="188">
        <f t="shared" si="66"/>
        <v>2.1438889026333481</v>
      </c>
      <c r="AP140" s="188">
        <f t="shared" si="66"/>
        <v>2.1438889026333481</v>
      </c>
      <c r="AQ140" s="188">
        <f t="shared" si="66"/>
        <v>2.1438889026333481</v>
      </c>
      <c r="AR140" s="188">
        <f t="shared" si="66"/>
        <v>2.1438889026333481</v>
      </c>
      <c r="AS140" s="188">
        <f t="shared" si="66"/>
        <v>2.1438889026333481</v>
      </c>
      <c r="AT140" s="188">
        <f t="shared" si="66"/>
        <v>2.1438889026333481</v>
      </c>
      <c r="AU140" s="188">
        <f t="shared" si="66"/>
        <v>2.1438889026333481</v>
      </c>
      <c r="AV140" s="188">
        <f t="shared" si="66"/>
        <v>2.1438889026333481</v>
      </c>
      <c r="AW140" s="188">
        <f t="shared" si="66"/>
        <v>2.1438889026333481</v>
      </c>
      <c r="AX140" s="188">
        <f t="shared" si="66"/>
        <v>2.1438889026333481</v>
      </c>
      <c r="AY140" s="188">
        <f t="shared" si="66"/>
        <v>2.1438889026333481</v>
      </c>
      <c r="AZ140" s="188">
        <f t="shared" si="66"/>
        <v>2.1438889026333481</v>
      </c>
      <c r="BA140" s="188">
        <f t="shared" si="66"/>
        <v>2.1438889026333481</v>
      </c>
      <c r="BB140" s="188">
        <f t="shared" si="66"/>
        <v>2.1438889026333481</v>
      </c>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row>
    <row r="141" spans="2:80" ht="15" customHeight="1">
      <c r="B141" s="211">
        <f t="shared" si="65"/>
        <v>2016</v>
      </c>
      <c r="C141" s="188">
        <f>I130</f>
        <v>202.83953628383551</v>
      </c>
      <c r="D141" s="529">
        <f>I131</f>
        <v>49.534287876920921</v>
      </c>
      <c r="E141" s="188">
        <f>I132</f>
        <v>395.14942268351666</v>
      </c>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row>
    <row r="142" spans="2:80" ht="15" customHeight="1">
      <c r="B142" s="211">
        <f t="shared" si="65"/>
        <v>2017</v>
      </c>
      <c r="C142" s="188">
        <f>J130</f>
        <v>321.1625991160729</v>
      </c>
      <c r="D142" s="529">
        <f>J131</f>
        <v>78.429289138458117</v>
      </c>
      <c r="E142" s="188">
        <f>J132</f>
        <v>640.55996378153225</v>
      </c>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row>
    <row r="143" spans="2:80" ht="15" customHeight="1">
      <c r="B143" s="211">
        <f t="shared" si="65"/>
        <v>2018</v>
      </c>
      <c r="C143" s="188">
        <f>K130</f>
        <v>338.06589380639252</v>
      </c>
      <c r="D143" s="529">
        <f>K131</f>
        <v>82.55714646153487</v>
      </c>
      <c r="E143" s="188">
        <f>K132</f>
        <v>690.33877876117458</v>
      </c>
      <c r="F143" s="188"/>
      <c r="G143" s="188"/>
      <c r="H143" s="188"/>
      <c r="I143" s="986">
        <f>I140</f>
        <v>21.144764362283318</v>
      </c>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row>
    <row r="144" spans="2:80" ht="15" customHeight="1">
      <c r="B144" s="193" t="s">
        <v>1344</v>
      </c>
      <c r="C144" s="188">
        <f>C143</f>
        <v>338.06589380639252</v>
      </c>
      <c r="D144" s="529">
        <f>D143</f>
        <v>82.55714646153487</v>
      </c>
      <c r="E144" s="188" t="s">
        <v>1343</v>
      </c>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row>
    <row r="145" spans="1:80" ht="15" customHeight="1">
      <c r="B145" s="193"/>
      <c r="D145" s="9"/>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row>
    <row r="146" spans="1:80" ht="15" customHeight="1">
      <c r="B146" s="193"/>
      <c r="D146" s="9"/>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row>
    <row r="147" spans="1:80" ht="15" customHeight="1"/>
    <row r="148" spans="1:80" ht="15.75" customHeight="1">
      <c r="A148" s="192" t="s">
        <v>398</v>
      </c>
    </row>
    <row r="149" spans="1:80" ht="15" customHeight="1">
      <c r="A149" s="192"/>
      <c r="B149" s="3" t="s">
        <v>397</v>
      </c>
      <c r="C149" s="1378" t="s">
        <v>396</v>
      </c>
    </row>
    <row r="150" spans="1:80" ht="15.5">
      <c r="A150" s="192"/>
      <c r="B150" s="191" t="s">
        <v>386</v>
      </c>
      <c r="C150" s="1378"/>
      <c r="D150" s="190" t="str">
        <f t="shared" ref="D150:AI150" si="67">D96</f>
        <v>Units</v>
      </c>
      <c r="E150" s="130">
        <f t="shared" si="67"/>
        <v>2012</v>
      </c>
      <c r="F150" s="130">
        <f t="shared" si="67"/>
        <v>2013</v>
      </c>
      <c r="G150" s="130">
        <f t="shared" si="67"/>
        <v>2014</v>
      </c>
      <c r="H150" s="130">
        <f t="shared" si="67"/>
        <v>2015</v>
      </c>
      <c r="I150" s="130">
        <f t="shared" si="67"/>
        <v>2016</v>
      </c>
      <c r="J150" s="130">
        <f t="shared" si="67"/>
        <v>2017</v>
      </c>
      <c r="K150" s="130">
        <f t="shared" si="67"/>
        <v>2018</v>
      </c>
      <c r="L150" s="130">
        <f t="shared" si="67"/>
        <v>2019</v>
      </c>
      <c r="M150" s="130">
        <f t="shared" si="67"/>
        <v>2020</v>
      </c>
      <c r="N150" s="130">
        <f t="shared" si="67"/>
        <v>2021</v>
      </c>
      <c r="O150" s="130">
        <f t="shared" si="67"/>
        <v>2022</v>
      </c>
      <c r="P150" s="130">
        <f t="shared" si="67"/>
        <v>2023</v>
      </c>
      <c r="Q150" s="130">
        <f t="shared" si="67"/>
        <v>2024</v>
      </c>
      <c r="R150" s="130">
        <f t="shared" si="67"/>
        <v>2025</v>
      </c>
      <c r="S150" s="130">
        <f t="shared" si="67"/>
        <v>2026</v>
      </c>
      <c r="T150" s="130">
        <f t="shared" si="67"/>
        <v>2027</v>
      </c>
      <c r="U150" s="130">
        <f t="shared" si="67"/>
        <v>2028</v>
      </c>
      <c r="V150" s="130">
        <f t="shared" si="67"/>
        <v>2029</v>
      </c>
      <c r="W150" s="130">
        <f t="shared" si="67"/>
        <v>2030</v>
      </c>
      <c r="X150" s="130">
        <f t="shared" si="67"/>
        <v>2031</v>
      </c>
      <c r="Y150" s="130">
        <f t="shared" si="67"/>
        <v>2032</v>
      </c>
      <c r="Z150" s="130">
        <f t="shared" si="67"/>
        <v>2033</v>
      </c>
      <c r="AA150" s="130">
        <f t="shared" si="67"/>
        <v>2034</v>
      </c>
      <c r="AB150" s="130">
        <f t="shared" si="67"/>
        <v>2035</v>
      </c>
      <c r="AC150" s="130">
        <f t="shared" si="67"/>
        <v>2036</v>
      </c>
      <c r="AD150" s="130">
        <f t="shared" si="67"/>
        <v>2037</v>
      </c>
      <c r="AE150" s="130">
        <f t="shared" si="67"/>
        <v>2038</v>
      </c>
      <c r="AF150" s="130">
        <f t="shared" si="67"/>
        <v>2039</v>
      </c>
      <c r="AG150" s="130">
        <f t="shared" si="67"/>
        <v>2040</v>
      </c>
      <c r="AH150" s="130">
        <f t="shared" si="67"/>
        <v>2041</v>
      </c>
      <c r="AI150" s="130">
        <f t="shared" si="67"/>
        <v>2042</v>
      </c>
      <c r="AJ150" s="130">
        <f t="shared" ref="AJ150:BO150" si="68">AJ96</f>
        <v>2043</v>
      </c>
      <c r="AK150" s="130">
        <f t="shared" si="68"/>
        <v>2044</v>
      </c>
      <c r="AL150" s="130">
        <f t="shared" si="68"/>
        <v>2045</v>
      </c>
      <c r="AM150" s="130">
        <f t="shared" si="68"/>
        <v>2046</v>
      </c>
      <c r="AN150" s="130">
        <f t="shared" si="68"/>
        <v>2047</v>
      </c>
      <c r="AO150" s="130">
        <f t="shared" si="68"/>
        <v>2048</v>
      </c>
      <c r="AP150" s="130">
        <f t="shared" si="68"/>
        <v>2049</v>
      </c>
      <c r="AQ150" s="130">
        <f t="shared" si="68"/>
        <v>2050</v>
      </c>
      <c r="AR150" s="130">
        <f t="shared" si="68"/>
        <v>2051</v>
      </c>
      <c r="AS150" s="130">
        <f t="shared" si="68"/>
        <v>2052</v>
      </c>
      <c r="AT150" s="130">
        <f t="shared" si="68"/>
        <v>2053</v>
      </c>
      <c r="AU150" s="130">
        <f t="shared" si="68"/>
        <v>2054</v>
      </c>
      <c r="AV150" s="130">
        <f t="shared" si="68"/>
        <v>2055</v>
      </c>
      <c r="AW150" s="130">
        <f t="shared" si="68"/>
        <v>2056</v>
      </c>
      <c r="AX150" s="130">
        <f t="shared" si="68"/>
        <v>2057</v>
      </c>
      <c r="AY150" s="130">
        <f t="shared" si="68"/>
        <v>2058</v>
      </c>
      <c r="AZ150" s="130">
        <f t="shared" si="68"/>
        <v>2059</v>
      </c>
      <c r="BA150" s="130">
        <f t="shared" si="68"/>
        <v>2060</v>
      </c>
      <c r="BB150" s="130">
        <f t="shared" si="68"/>
        <v>2061</v>
      </c>
      <c r="BC150" s="130">
        <f t="shared" si="68"/>
        <v>2062</v>
      </c>
      <c r="BD150" s="130">
        <f t="shared" si="68"/>
        <v>2063</v>
      </c>
      <c r="BE150" s="130">
        <f t="shared" si="68"/>
        <v>2064</v>
      </c>
      <c r="BF150" s="130">
        <f t="shared" si="68"/>
        <v>2065</v>
      </c>
      <c r="BG150" s="130">
        <f t="shared" si="68"/>
        <v>2066</v>
      </c>
      <c r="BH150" s="130">
        <f t="shared" si="68"/>
        <v>2067</v>
      </c>
      <c r="BI150" s="130">
        <f t="shared" si="68"/>
        <v>2068</v>
      </c>
      <c r="BJ150" s="130">
        <f t="shared" si="68"/>
        <v>2069</v>
      </c>
      <c r="BK150" s="130">
        <f t="shared" si="68"/>
        <v>2070</v>
      </c>
      <c r="BL150" s="130">
        <f t="shared" si="68"/>
        <v>2071</v>
      </c>
      <c r="BM150" s="130">
        <f t="shared" si="68"/>
        <v>2072</v>
      </c>
      <c r="BN150" s="130">
        <f t="shared" si="68"/>
        <v>2073</v>
      </c>
      <c r="BO150" s="130">
        <f t="shared" si="68"/>
        <v>2074</v>
      </c>
      <c r="BP150" s="130">
        <f t="shared" ref="BP150:CB150" si="69">BP96</f>
        <v>2075</v>
      </c>
      <c r="BQ150" s="130">
        <f t="shared" si="69"/>
        <v>2076</v>
      </c>
      <c r="BR150" s="130">
        <f t="shared" si="69"/>
        <v>2077</v>
      </c>
      <c r="BS150" s="130">
        <f t="shared" si="69"/>
        <v>2078</v>
      </c>
      <c r="BT150" s="130">
        <f t="shared" si="69"/>
        <v>2079</v>
      </c>
      <c r="BU150" s="130">
        <f t="shared" si="69"/>
        <v>2080</v>
      </c>
      <c r="BV150" s="130">
        <f t="shared" si="69"/>
        <v>2081</v>
      </c>
      <c r="BW150" s="130">
        <f t="shared" si="69"/>
        <v>2082</v>
      </c>
      <c r="BX150" s="130">
        <f t="shared" si="69"/>
        <v>2083</v>
      </c>
      <c r="BY150" s="130">
        <f t="shared" si="69"/>
        <v>2084</v>
      </c>
      <c r="BZ150" s="130">
        <f t="shared" si="69"/>
        <v>2085</v>
      </c>
      <c r="CA150" s="130">
        <f t="shared" si="69"/>
        <v>2086</v>
      </c>
      <c r="CB150" s="130">
        <f t="shared" si="69"/>
        <v>2087</v>
      </c>
    </row>
    <row r="151" spans="1:80">
      <c r="B151" s="1">
        <v>2013</v>
      </c>
      <c r="C151" s="9">
        <f t="shared" ref="C151:C170" si="70">$B151+$C$33-$C$32</f>
        <v>2026</v>
      </c>
      <c r="E151" s="188">
        <f t="shared" ref="E151:R160" si="71">IF(E$150&gt;=$C151,E$130*HLOOKUP(E$150-$C151+1,$E$47:$CB$49,3)*E$106*$C$30,0)</f>
        <v>0</v>
      </c>
      <c r="F151" s="188">
        <f t="shared" si="71"/>
        <v>0</v>
      </c>
      <c r="G151" s="188">
        <f t="shared" si="71"/>
        <v>0</v>
      </c>
      <c r="H151" s="188">
        <f t="shared" si="71"/>
        <v>0</v>
      </c>
      <c r="I151" s="188">
        <f t="shared" si="71"/>
        <v>0</v>
      </c>
      <c r="J151" s="188">
        <f t="shared" si="71"/>
        <v>0</v>
      </c>
      <c r="K151" s="188">
        <f t="shared" si="71"/>
        <v>0</v>
      </c>
      <c r="L151" s="188">
        <f t="shared" si="71"/>
        <v>0</v>
      </c>
      <c r="M151" s="188">
        <f t="shared" si="71"/>
        <v>0</v>
      </c>
      <c r="N151" s="188">
        <f t="shared" si="71"/>
        <v>0</v>
      </c>
      <c r="O151" s="188">
        <f t="shared" si="71"/>
        <v>0</v>
      </c>
      <c r="P151" s="188">
        <f t="shared" si="71"/>
        <v>0</v>
      </c>
      <c r="Q151" s="188">
        <f t="shared" si="71"/>
        <v>0</v>
      </c>
      <c r="R151" s="188">
        <f t="shared" si="71"/>
        <v>0</v>
      </c>
      <c r="S151" s="188">
        <f t="shared" ref="S151:AX151" si="72">IF(S$150&gt;=$C151,$C138*HLOOKUP(S$150-$C151+1,$E$47:$CB$49,3)*S$106*$C$30,0)</f>
        <v>0</v>
      </c>
      <c r="T151" s="188">
        <f t="shared" si="72"/>
        <v>0</v>
      </c>
      <c r="U151" s="188">
        <f t="shared" si="72"/>
        <v>0</v>
      </c>
      <c r="V151" s="188">
        <f t="shared" si="72"/>
        <v>0</v>
      </c>
      <c r="W151" s="188">
        <f t="shared" si="72"/>
        <v>0</v>
      </c>
      <c r="X151" s="188">
        <f t="shared" si="72"/>
        <v>0</v>
      </c>
      <c r="Y151" s="188">
        <f t="shared" si="72"/>
        <v>0</v>
      </c>
      <c r="Z151" s="188">
        <f t="shared" si="72"/>
        <v>0</v>
      </c>
      <c r="AA151" s="188">
        <f t="shared" si="72"/>
        <v>0</v>
      </c>
      <c r="AB151" s="188">
        <f t="shared" si="72"/>
        <v>0</v>
      </c>
      <c r="AC151" s="188">
        <f t="shared" si="72"/>
        <v>0</v>
      </c>
      <c r="AD151" s="188">
        <f t="shared" si="72"/>
        <v>0</v>
      </c>
      <c r="AE151" s="188">
        <f t="shared" si="72"/>
        <v>0</v>
      </c>
      <c r="AF151" s="188">
        <f t="shared" si="72"/>
        <v>0</v>
      </c>
      <c r="AG151" s="188">
        <f t="shared" si="72"/>
        <v>0</v>
      </c>
      <c r="AH151" s="188">
        <f t="shared" si="72"/>
        <v>0</v>
      </c>
      <c r="AI151" s="188">
        <f t="shared" si="72"/>
        <v>0</v>
      </c>
      <c r="AJ151" s="188">
        <f t="shared" si="72"/>
        <v>0</v>
      </c>
      <c r="AK151" s="188">
        <f t="shared" si="72"/>
        <v>0</v>
      </c>
      <c r="AL151" s="188">
        <f t="shared" si="72"/>
        <v>0</v>
      </c>
      <c r="AM151" s="188">
        <f t="shared" si="72"/>
        <v>0</v>
      </c>
      <c r="AN151" s="188">
        <f t="shared" si="72"/>
        <v>0</v>
      </c>
      <c r="AO151" s="188">
        <f t="shared" si="72"/>
        <v>0</v>
      </c>
      <c r="AP151" s="188">
        <f t="shared" si="72"/>
        <v>0</v>
      </c>
      <c r="AQ151" s="188">
        <f t="shared" si="72"/>
        <v>0</v>
      </c>
      <c r="AR151" s="188">
        <f t="shared" si="72"/>
        <v>0</v>
      </c>
      <c r="AS151" s="188">
        <f t="shared" si="72"/>
        <v>0</v>
      </c>
      <c r="AT151" s="188">
        <f t="shared" si="72"/>
        <v>0</v>
      </c>
      <c r="AU151" s="188">
        <f t="shared" si="72"/>
        <v>0</v>
      </c>
      <c r="AV151" s="188">
        <f t="shared" si="72"/>
        <v>0</v>
      </c>
      <c r="AW151" s="188">
        <f t="shared" si="72"/>
        <v>0</v>
      </c>
      <c r="AX151" s="188">
        <f t="shared" si="72"/>
        <v>0</v>
      </c>
      <c r="AY151" s="188">
        <f t="shared" ref="AY151:CB151" si="73">IF(AY$150&gt;=$C151,$C138*HLOOKUP(AY$150-$C151+1,$E$47:$CB$49,3)*AY$106*$C$30,0)</f>
        <v>0</v>
      </c>
      <c r="AZ151" s="188">
        <f t="shared" si="73"/>
        <v>0</v>
      </c>
      <c r="BA151" s="188">
        <f t="shared" si="73"/>
        <v>0</v>
      </c>
      <c r="BB151" s="188">
        <f t="shared" si="73"/>
        <v>0</v>
      </c>
      <c r="BC151" s="188">
        <f t="shared" si="73"/>
        <v>0</v>
      </c>
      <c r="BD151" s="188">
        <f t="shared" si="73"/>
        <v>0</v>
      </c>
      <c r="BE151" s="188">
        <f t="shared" si="73"/>
        <v>0</v>
      </c>
      <c r="BF151" s="188">
        <f t="shared" si="73"/>
        <v>0</v>
      </c>
      <c r="BG151" s="188">
        <f t="shared" si="73"/>
        <v>0</v>
      </c>
      <c r="BH151" s="188">
        <f t="shared" si="73"/>
        <v>0</v>
      </c>
      <c r="BI151" s="188">
        <f t="shared" si="73"/>
        <v>0</v>
      </c>
      <c r="BJ151" s="188">
        <f t="shared" si="73"/>
        <v>0</v>
      </c>
      <c r="BK151" s="188">
        <f t="shared" si="73"/>
        <v>0</v>
      </c>
      <c r="BL151" s="188">
        <f t="shared" si="73"/>
        <v>0</v>
      </c>
      <c r="BM151" s="188">
        <f t="shared" si="73"/>
        <v>0</v>
      </c>
      <c r="BN151" s="188">
        <f t="shared" si="73"/>
        <v>0</v>
      </c>
      <c r="BO151" s="188">
        <f t="shared" si="73"/>
        <v>0</v>
      </c>
      <c r="BP151" s="188">
        <f t="shared" si="73"/>
        <v>0</v>
      </c>
      <c r="BQ151" s="188">
        <f t="shared" si="73"/>
        <v>0</v>
      </c>
      <c r="BR151" s="188">
        <f t="shared" si="73"/>
        <v>0</v>
      </c>
      <c r="BS151" s="188">
        <f t="shared" si="73"/>
        <v>0</v>
      </c>
      <c r="BT151" s="188">
        <f t="shared" si="73"/>
        <v>0</v>
      </c>
      <c r="BU151" s="188">
        <f t="shared" si="73"/>
        <v>0</v>
      </c>
      <c r="BV151" s="188">
        <f t="shared" si="73"/>
        <v>0</v>
      </c>
      <c r="BW151" s="188">
        <f t="shared" si="73"/>
        <v>0</v>
      </c>
      <c r="BX151" s="188">
        <f t="shared" si="73"/>
        <v>0</v>
      </c>
      <c r="BY151" s="188">
        <f t="shared" si="73"/>
        <v>0</v>
      </c>
      <c r="BZ151" s="188">
        <f t="shared" si="73"/>
        <v>0</v>
      </c>
      <c r="CA151" s="188">
        <f t="shared" si="73"/>
        <v>0</v>
      </c>
      <c r="CB151" s="188">
        <f t="shared" si="73"/>
        <v>0</v>
      </c>
    </row>
    <row r="152" spans="1:80">
      <c r="B152" s="1">
        <v>2014</v>
      </c>
      <c r="C152" s="9">
        <f t="shared" si="70"/>
        <v>2027</v>
      </c>
      <c r="E152" s="188">
        <f t="shared" si="71"/>
        <v>0</v>
      </c>
      <c r="F152" s="188">
        <f t="shared" si="71"/>
        <v>0</v>
      </c>
      <c r="G152" s="188">
        <f t="shared" si="71"/>
        <v>0</v>
      </c>
      <c r="H152" s="188">
        <f t="shared" si="71"/>
        <v>0</v>
      </c>
      <c r="I152" s="188">
        <f t="shared" si="71"/>
        <v>0</v>
      </c>
      <c r="J152" s="188">
        <f t="shared" si="71"/>
        <v>0</v>
      </c>
      <c r="K152" s="188">
        <f t="shared" si="71"/>
        <v>0</v>
      </c>
      <c r="L152" s="188">
        <f t="shared" si="71"/>
        <v>0</v>
      </c>
      <c r="M152" s="188">
        <f t="shared" si="71"/>
        <v>0</v>
      </c>
      <c r="N152" s="188">
        <f t="shared" si="71"/>
        <v>0</v>
      </c>
      <c r="O152" s="188">
        <f t="shared" si="71"/>
        <v>0</v>
      </c>
      <c r="P152" s="188">
        <f t="shared" si="71"/>
        <v>0</v>
      </c>
      <c r="Q152" s="188">
        <f t="shared" si="71"/>
        <v>0</v>
      </c>
      <c r="R152" s="188">
        <f t="shared" si="71"/>
        <v>0</v>
      </c>
      <c r="S152" s="188">
        <f t="shared" ref="S152:AX152" si="74">IF(S$150&gt;=$C152,$C139*HLOOKUP(S$150-$C152+1,$E$47:$CB$49,3)*S$106*$C$30,0)</f>
        <v>0</v>
      </c>
      <c r="T152" s="188">
        <f t="shared" si="74"/>
        <v>4805.9456469576971</v>
      </c>
      <c r="U152" s="188">
        <f t="shared" si="74"/>
        <v>5880.0624124044507</v>
      </c>
      <c r="V152" s="188">
        <f t="shared" si="74"/>
        <v>6824.2557271622354</v>
      </c>
      <c r="W152" s="188">
        <f t="shared" si="74"/>
        <v>7661.8744315114354</v>
      </c>
      <c r="X152" s="188">
        <f t="shared" si="74"/>
        <v>8412.3622967659103</v>
      </c>
      <c r="Y152" s="188">
        <f t="shared" si="74"/>
        <v>9091.9186107316364</v>
      </c>
      <c r="Z152" s="188">
        <f t="shared" si="74"/>
        <v>9714.0472237184968</v>
      </c>
      <c r="AA152" s="188">
        <f t="shared" si="74"/>
        <v>10290.012894083615</v>
      </c>
      <c r="AB152" s="188">
        <f t="shared" si="74"/>
        <v>10829.220590540252</v>
      </c>
      <c r="AC152" s="188">
        <f t="shared" si="74"/>
        <v>11339.530764095749</v>
      </c>
      <c r="AD152" s="188">
        <f t="shared" si="74"/>
        <v>11827.521404727038</v>
      </c>
      <c r="AE152" s="188">
        <f t="shared" si="74"/>
        <v>12298.705871332502</v>
      </c>
      <c r="AF152" s="188">
        <f t="shared" si="74"/>
        <v>12757.713965424307</v>
      </c>
      <c r="AG152" s="188">
        <f t="shared" si="74"/>
        <v>13208.44245734285</v>
      </c>
      <c r="AH152" s="188">
        <f t="shared" si="74"/>
        <v>13654.180225182256</v>
      </c>
      <c r="AI152" s="188">
        <f t="shared" si="74"/>
        <v>14097.712295123401</v>
      </c>
      <c r="AJ152" s="188">
        <f t="shared" si="74"/>
        <v>14541.40634756787</v>
      </c>
      <c r="AK152" s="188">
        <f t="shared" si="74"/>
        <v>14987.28465149349</v>
      </c>
      <c r="AL152" s="188">
        <f t="shared" si="74"/>
        <v>15437.083889148758</v>
      </c>
      <c r="AM152" s="188">
        <f t="shared" si="74"/>
        <v>15892.304917398551</v>
      </c>
      <c r="AN152" s="188">
        <f t="shared" si="74"/>
        <v>16354.254166455852</v>
      </c>
      <c r="AO152" s="188">
        <f t="shared" si="74"/>
        <v>16824.078089522623</v>
      </c>
      <c r="AP152" s="188">
        <f t="shared" si="74"/>
        <v>17302.7918381606</v>
      </c>
      <c r="AQ152" s="188">
        <f t="shared" si="74"/>
        <v>17791.30313982577</v>
      </c>
      <c r="AR152" s="188">
        <f t="shared" si="74"/>
        <v>18290.432189120951</v>
      </c>
      <c r="AS152" s="188">
        <f t="shared" si="74"/>
        <v>18800.928227288605</v>
      </c>
      <c r="AT152" s="188">
        <f t="shared" si="74"/>
        <v>19323.483370579092</v>
      </c>
      <c r="AU152" s="188">
        <f t="shared" si="74"/>
        <v>19858.744153477805</v>
      </c>
      <c r="AV152" s="188">
        <f t="shared" si="74"/>
        <v>20407.321174110046</v>
      </c>
      <c r="AW152" s="188">
        <f t="shared" si="74"/>
        <v>20969.797163764641</v>
      </c>
      <c r="AX152" s="188">
        <f t="shared" si="74"/>
        <v>21546.73374814256</v>
      </c>
      <c r="AY152" s="188">
        <f t="shared" ref="AY152:CB152" si="75">IF(AY$150&gt;=$C152,$C139*HLOOKUP(AY$150-$C152+1,$E$47:$CB$49,3)*AY$106*$C$30,0)</f>
        <v>22138.677122779365</v>
      </c>
      <c r="AZ152" s="188">
        <f t="shared" si="75"/>
        <v>22746.162827561478</v>
      </c>
      <c r="BA152" s="188">
        <f t="shared" si="75"/>
        <v>23369.719774066041</v>
      </c>
      <c r="BB152" s="188">
        <f t="shared" si="75"/>
        <v>24009.873653533432</v>
      </c>
      <c r="BC152" s="188">
        <f t="shared" si="75"/>
        <v>24667.149831739753</v>
      </c>
      <c r="BD152" s="188">
        <f t="shared" si="75"/>
        <v>25342.075819133825</v>
      </c>
      <c r="BE152" s="188">
        <f t="shared" si="75"/>
        <v>26035.183389726102</v>
      </c>
      <c r="BF152" s="188">
        <f t="shared" si="75"/>
        <v>26747.010409852803</v>
      </c>
      <c r="BG152" s="188">
        <f t="shared" si="75"/>
        <v>27478.102427664977</v>
      </c>
      <c r="BH152" s="188">
        <f t="shared" si="75"/>
        <v>28229.014065654002</v>
      </c>
      <c r="BI152" s="188">
        <f t="shared" si="75"/>
        <v>0</v>
      </c>
      <c r="BJ152" s="188">
        <f t="shared" si="75"/>
        <v>0</v>
      </c>
      <c r="BK152" s="188">
        <f t="shared" si="75"/>
        <v>0</v>
      </c>
      <c r="BL152" s="188">
        <f t="shared" si="75"/>
        <v>0</v>
      </c>
      <c r="BM152" s="188">
        <f t="shared" si="75"/>
        <v>0</v>
      </c>
      <c r="BN152" s="188">
        <f t="shared" si="75"/>
        <v>0</v>
      </c>
      <c r="BO152" s="188">
        <f t="shared" si="75"/>
        <v>0</v>
      </c>
      <c r="BP152" s="188">
        <f t="shared" si="75"/>
        <v>0</v>
      </c>
      <c r="BQ152" s="188">
        <f t="shared" si="75"/>
        <v>0</v>
      </c>
      <c r="BR152" s="188">
        <f t="shared" si="75"/>
        <v>0</v>
      </c>
      <c r="BS152" s="188">
        <f t="shared" si="75"/>
        <v>0</v>
      </c>
      <c r="BT152" s="188">
        <f t="shared" si="75"/>
        <v>0</v>
      </c>
      <c r="BU152" s="188">
        <f t="shared" si="75"/>
        <v>0</v>
      </c>
      <c r="BV152" s="188">
        <f t="shared" si="75"/>
        <v>0</v>
      </c>
      <c r="BW152" s="188">
        <f t="shared" si="75"/>
        <v>0</v>
      </c>
      <c r="BX152" s="188">
        <f t="shared" si="75"/>
        <v>0</v>
      </c>
      <c r="BY152" s="188">
        <f t="shared" si="75"/>
        <v>0</v>
      </c>
      <c r="BZ152" s="188">
        <f t="shared" si="75"/>
        <v>0</v>
      </c>
      <c r="CA152" s="188">
        <f t="shared" si="75"/>
        <v>0</v>
      </c>
      <c r="CB152" s="188">
        <f t="shared" si="75"/>
        <v>0</v>
      </c>
    </row>
    <row r="153" spans="1:80">
      <c r="B153" s="1">
        <v>2015</v>
      </c>
      <c r="C153" s="9">
        <f t="shared" si="70"/>
        <v>2028</v>
      </c>
      <c r="E153" s="188">
        <f t="shared" si="71"/>
        <v>0</v>
      </c>
      <c r="F153" s="188">
        <f t="shared" si="71"/>
        <v>0</v>
      </c>
      <c r="G153" s="188">
        <f t="shared" si="71"/>
        <v>0</v>
      </c>
      <c r="H153" s="188">
        <f t="shared" si="71"/>
        <v>0</v>
      </c>
      <c r="I153" s="188">
        <f t="shared" si="71"/>
        <v>0</v>
      </c>
      <c r="J153" s="188">
        <f t="shared" si="71"/>
        <v>0</v>
      </c>
      <c r="K153" s="188">
        <f t="shared" si="71"/>
        <v>0</v>
      </c>
      <c r="L153" s="188">
        <f t="shared" si="71"/>
        <v>0</v>
      </c>
      <c r="M153" s="188">
        <f t="shared" si="71"/>
        <v>0</v>
      </c>
      <c r="N153" s="188">
        <f t="shared" si="71"/>
        <v>0</v>
      </c>
      <c r="O153" s="188">
        <f t="shared" si="71"/>
        <v>0</v>
      </c>
      <c r="P153" s="188">
        <f t="shared" si="71"/>
        <v>0</v>
      </c>
      <c r="Q153" s="188">
        <f t="shared" si="71"/>
        <v>0</v>
      </c>
      <c r="R153" s="188">
        <f t="shared" si="71"/>
        <v>0</v>
      </c>
      <c r="S153" s="188">
        <f t="shared" ref="S153:AX153" si="76">IF(S$150&gt;=$C153,$C140*HLOOKUP(S$150-$C153+1,$E$47:$CB$49,3)*S$106*$C$30,0)</f>
        <v>0</v>
      </c>
      <c r="T153" s="188">
        <f t="shared" si="76"/>
        <v>0</v>
      </c>
      <c r="U153" s="188">
        <f t="shared" si="76"/>
        <v>24685.797415621506</v>
      </c>
      <c r="V153" s="188">
        <f t="shared" si="76"/>
        <v>30203.011054799103</v>
      </c>
      <c r="W153" s="188">
        <f t="shared" si="76"/>
        <v>35052.871332359588</v>
      </c>
      <c r="X153" s="188">
        <f t="shared" si="76"/>
        <v>39355.309846242701</v>
      </c>
      <c r="Y153" s="188">
        <f t="shared" si="76"/>
        <v>43210.199760838797</v>
      </c>
      <c r="Z153" s="188">
        <f t="shared" si="76"/>
        <v>46700.748912114308</v>
      </c>
      <c r="AA153" s="188">
        <f t="shared" si="76"/>
        <v>49896.319989031734</v>
      </c>
      <c r="AB153" s="188">
        <f t="shared" si="76"/>
        <v>52854.774557902361</v>
      </c>
      <c r="AC153" s="188">
        <f t="shared" si="76"/>
        <v>55624.421353241916</v>
      </c>
      <c r="AD153" s="188">
        <f t="shared" si="76"/>
        <v>58245.635675858357</v>
      </c>
      <c r="AE153" s="188">
        <f t="shared" si="76"/>
        <v>60752.205450106456</v>
      </c>
      <c r="AF153" s="188">
        <f t="shared" si="76"/>
        <v>63172.450110046222</v>
      </c>
      <c r="AG153" s="188">
        <f t="shared" si="76"/>
        <v>65530.150686633817</v>
      </c>
      <c r="AH153" s="188">
        <f t="shared" si="76"/>
        <v>67845.322987426116</v>
      </c>
      <c r="AI153" s="188">
        <f t="shared" si="76"/>
        <v>70134.860374171272</v>
      </c>
      <c r="AJ153" s="188">
        <f t="shared" si="76"/>
        <v>72413.068167226418</v>
      </c>
      <c r="AK153" s="188">
        <f t="shared" si="76"/>
        <v>74692.107985351264</v>
      </c>
      <c r="AL153" s="188">
        <f t="shared" si="76"/>
        <v>76982.367237387618</v>
      </c>
      <c r="AM153" s="188">
        <f t="shared" si="76"/>
        <v>79292.766412519341</v>
      </c>
      <c r="AN153" s="188">
        <f t="shared" si="76"/>
        <v>81631.01468002086</v>
      </c>
      <c r="AO153" s="188">
        <f t="shared" si="76"/>
        <v>84003.822534338935</v>
      </c>
      <c r="AP153" s="188">
        <f t="shared" si="76"/>
        <v>86417.078746085899</v>
      </c>
      <c r="AQ153" s="188">
        <f t="shared" si="76"/>
        <v>88875.997653425293</v>
      </c>
      <c r="AR153" s="188">
        <f t="shared" si="76"/>
        <v>91385.241809314117</v>
      </c>
      <c r="AS153" s="188">
        <f t="shared" si="76"/>
        <v>93949.024153159917</v>
      </c>
      <c r="AT153" s="188">
        <f t="shared" si="76"/>
        <v>96571.193171584309</v>
      </c>
      <c r="AU153" s="188">
        <f t="shared" si="76"/>
        <v>99255.303928002453</v>
      </c>
      <c r="AV153" s="188">
        <f t="shared" si="76"/>
        <v>102004.67735454733</v>
      </c>
      <c r="AW153" s="188">
        <f t="shared" si="76"/>
        <v>104822.44979580768</v>
      </c>
      <c r="AX153" s="188">
        <f t="shared" si="76"/>
        <v>107711.6144580328</v>
      </c>
      <c r="AY153" s="188">
        <f t="shared" ref="AY153:CB153" si="77">IF(AY$150&gt;=$C153,$C140*HLOOKUP(AY$150-$C153+1,$E$47:$CB$49,3)*AY$106*$C$30,0)</f>
        <v>110675.05613836671</v>
      </c>
      <c r="AZ153" s="188">
        <f t="shared" si="77"/>
        <v>113715.58037672419</v>
      </c>
      <c r="BA153" s="188">
        <f t="shared" si="77"/>
        <v>116835.9379801504</v>
      </c>
      <c r="BB153" s="188">
        <f t="shared" si="77"/>
        <v>120038.84570930027</v>
      </c>
      <c r="BC153" s="188">
        <f t="shared" si="77"/>
        <v>123327.00378353064</v>
      </c>
      <c r="BD153" s="188">
        <f t="shared" si="77"/>
        <v>126703.110750447</v>
      </c>
      <c r="BE153" s="188">
        <f t="shared" si="77"/>
        <v>130169.87617379201</v>
      </c>
      <c r="BF153" s="188">
        <f t="shared" si="77"/>
        <v>133730.03151714374</v>
      </c>
      <c r="BG153" s="188">
        <f t="shared" si="77"/>
        <v>137386.33953738463</v>
      </c>
      <c r="BH153" s="188">
        <f t="shared" si="77"/>
        <v>141141.60244913105</v>
      </c>
      <c r="BI153" s="188">
        <f t="shared" si="77"/>
        <v>144998.66907745713</v>
      </c>
      <c r="BJ153" s="188">
        <f t="shared" si="77"/>
        <v>0</v>
      </c>
      <c r="BK153" s="188">
        <f t="shared" si="77"/>
        <v>0</v>
      </c>
      <c r="BL153" s="188">
        <f t="shared" si="77"/>
        <v>0</v>
      </c>
      <c r="BM153" s="188">
        <f t="shared" si="77"/>
        <v>0</v>
      </c>
      <c r="BN153" s="188">
        <f t="shared" si="77"/>
        <v>0</v>
      </c>
      <c r="BO153" s="188">
        <f t="shared" si="77"/>
        <v>0</v>
      </c>
      <c r="BP153" s="188">
        <f t="shared" si="77"/>
        <v>0</v>
      </c>
      <c r="BQ153" s="188">
        <f t="shared" si="77"/>
        <v>0</v>
      </c>
      <c r="BR153" s="188">
        <f t="shared" si="77"/>
        <v>0</v>
      </c>
      <c r="BS153" s="188">
        <f t="shared" si="77"/>
        <v>0</v>
      </c>
      <c r="BT153" s="188">
        <f t="shared" si="77"/>
        <v>0</v>
      </c>
      <c r="BU153" s="188">
        <f t="shared" si="77"/>
        <v>0</v>
      </c>
      <c r="BV153" s="188">
        <f t="shared" si="77"/>
        <v>0</v>
      </c>
      <c r="BW153" s="188">
        <f t="shared" si="77"/>
        <v>0</v>
      </c>
      <c r="BX153" s="188">
        <f t="shared" si="77"/>
        <v>0</v>
      </c>
      <c r="BY153" s="188">
        <f t="shared" si="77"/>
        <v>0</v>
      </c>
      <c r="BZ153" s="188">
        <f t="shared" si="77"/>
        <v>0</v>
      </c>
      <c r="CA153" s="188">
        <f t="shared" si="77"/>
        <v>0</v>
      </c>
      <c r="CB153" s="188">
        <f t="shared" si="77"/>
        <v>0</v>
      </c>
    </row>
    <row r="154" spans="1:80">
      <c r="B154" s="1">
        <v>2016</v>
      </c>
      <c r="C154" s="9">
        <f t="shared" si="70"/>
        <v>2029</v>
      </c>
      <c r="E154" s="188">
        <f t="shared" si="71"/>
        <v>0</v>
      </c>
      <c r="F154" s="188">
        <f t="shared" si="71"/>
        <v>0</v>
      </c>
      <c r="G154" s="188">
        <f t="shared" si="71"/>
        <v>0</v>
      </c>
      <c r="H154" s="188">
        <f t="shared" si="71"/>
        <v>0</v>
      </c>
      <c r="I154" s="188">
        <f t="shared" si="71"/>
        <v>0</v>
      </c>
      <c r="J154" s="188">
        <f t="shared" si="71"/>
        <v>0</v>
      </c>
      <c r="K154" s="188">
        <f t="shared" si="71"/>
        <v>0</v>
      </c>
      <c r="L154" s="188">
        <f t="shared" si="71"/>
        <v>0</v>
      </c>
      <c r="M154" s="188">
        <f t="shared" si="71"/>
        <v>0</v>
      </c>
      <c r="N154" s="188">
        <f t="shared" si="71"/>
        <v>0</v>
      </c>
      <c r="O154" s="188">
        <f t="shared" si="71"/>
        <v>0</v>
      </c>
      <c r="P154" s="188">
        <f t="shared" si="71"/>
        <v>0</v>
      </c>
      <c r="Q154" s="188">
        <f t="shared" si="71"/>
        <v>0</v>
      </c>
      <c r="R154" s="188">
        <f t="shared" si="71"/>
        <v>0</v>
      </c>
      <c r="S154" s="188">
        <f t="shared" ref="S154:AX154" si="78">IF(S$150&gt;=$C154,$C141*HLOOKUP(S$150-$C154+1,$E$47:$CB$49,3)*S$106*$C$30,0)</f>
        <v>0</v>
      </c>
      <c r="T154" s="188">
        <f t="shared" si="78"/>
        <v>0</v>
      </c>
      <c r="U154" s="188">
        <f t="shared" si="78"/>
        <v>0</v>
      </c>
      <c r="V154" s="188">
        <f t="shared" si="78"/>
        <v>60863.46925850393</v>
      </c>
      <c r="W154" s="188">
        <f t="shared" si="78"/>
        <v>74466.301570017094</v>
      </c>
      <c r="X154" s="188">
        <f t="shared" si="78"/>
        <v>86423.756982194638</v>
      </c>
      <c r="Y154" s="188">
        <f t="shared" si="78"/>
        <v>97031.529938340624</v>
      </c>
      <c r="Z154" s="188">
        <f t="shared" si="78"/>
        <v>106535.86029728071</v>
      </c>
      <c r="AA154" s="188">
        <f t="shared" si="78"/>
        <v>115141.89912143127</v>
      </c>
      <c r="AB154" s="188">
        <f t="shared" si="78"/>
        <v>123020.66190671807</v>
      </c>
      <c r="AC154" s="188">
        <f t="shared" si="78"/>
        <v>130314.80783498341</v>
      </c>
      <c r="AD154" s="188">
        <f t="shared" si="78"/>
        <v>137143.4433352646</v>
      </c>
      <c r="AE154" s="188">
        <f t="shared" si="78"/>
        <v>143606.11475148384</v>
      </c>
      <c r="AF154" s="188">
        <f t="shared" si="78"/>
        <v>149786.12708127403</v>
      </c>
      <c r="AG154" s="188">
        <f t="shared" si="78"/>
        <v>155753.3026186171</v>
      </c>
      <c r="AH154" s="188">
        <f t="shared" si="78"/>
        <v>161566.27410776529</v>
      </c>
      <c r="AI154" s="188">
        <f t="shared" si="78"/>
        <v>167274.39103771475</v>
      </c>
      <c r="AJ154" s="188">
        <f t="shared" si="78"/>
        <v>172919.30442690823</v>
      </c>
      <c r="AK154" s="188">
        <f t="shared" si="78"/>
        <v>178536.28441108932</v>
      </c>
      <c r="AL154" s="188">
        <f t="shared" si="78"/>
        <v>184155.3157745068</v>
      </c>
      <c r="AM154" s="188">
        <f t="shared" si="78"/>
        <v>189802.0089411659</v>
      </c>
      <c r="AN154" s="188">
        <f t="shared" si="78"/>
        <v>195498.35760687746</v>
      </c>
      <c r="AO154" s="188">
        <f t="shared" si="78"/>
        <v>201263.36892702102</v>
      </c>
      <c r="AP154" s="188">
        <f t="shared" si="78"/>
        <v>207113.58779846955</v>
      </c>
      <c r="AQ154" s="188">
        <f t="shared" si="78"/>
        <v>213063.5331368206</v>
      </c>
      <c r="AR154" s="188">
        <f t="shared" si="78"/>
        <v>219126.06102710048</v>
      </c>
      <c r="AS154" s="188">
        <f t="shared" si="78"/>
        <v>225312.66711369896</v>
      </c>
      <c r="AT154" s="188">
        <f t="shared" si="78"/>
        <v>231633.73850722052</v>
      </c>
      <c r="AU154" s="188">
        <f t="shared" si="78"/>
        <v>238098.7637505405</v>
      </c>
      <c r="AV154" s="188">
        <f t="shared" si="78"/>
        <v>244716.50794406186</v>
      </c>
      <c r="AW154" s="188">
        <f t="shared" si="78"/>
        <v>251495.1589314822</v>
      </c>
      <c r="AX154" s="188">
        <f t="shared" si="78"/>
        <v>258442.449451155</v>
      </c>
      <c r="AY154" s="188">
        <f t="shared" ref="AY154:CB154" si="79">IF(AY$150&gt;=$C154,$C141*HLOOKUP(AY$150-$C154+1,$E$47:$CB$49,3)*AY$106*$C$30,0)</f>
        <v>265565.75933017134</v>
      </c>
      <c r="AZ154" s="188">
        <f t="shared" si="79"/>
        <v>272872.20111018186</v>
      </c>
      <c r="BA154" s="188">
        <f t="shared" si="79"/>
        <v>280368.69192209712</v>
      </c>
      <c r="BB154" s="188">
        <f t="shared" si="79"/>
        <v>288062.013951528</v>
      </c>
      <c r="BC154" s="188">
        <f t="shared" si="79"/>
        <v>295958.86544183386</v>
      </c>
      <c r="BD154" s="188">
        <f t="shared" si="79"/>
        <v>304065.90385337721</v>
      </c>
      <c r="BE154" s="188">
        <f t="shared" si="79"/>
        <v>312389.78252477484</v>
      </c>
      <c r="BF154" s="188">
        <f t="shared" si="79"/>
        <v>320937.18195521337</v>
      </c>
      <c r="BG154" s="188">
        <f t="shared" si="79"/>
        <v>329714.83663848747</v>
      </c>
      <c r="BH154" s="188">
        <f t="shared" si="79"/>
        <v>338729.5582228399</v>
      </c>
      <c r="BI154" s="188">
        <f t="shared" si="79"/>
        <v>347988.25564057211</v>
      </c>
      <c r="BJ154" s="188">
        <f t="shared" si="79"/>
        <v>357497.95274327014</v>
      </c>
      <c r="BK154" s="188">
        <f t="shared" si="79"/>
        <v>0</v>
      </c>
      <c r="BL154" s="188">
        <f t="shared" si="79"/>
        <v>0</v>
      </c>
      <c r="BM154" s="188">
        <f t="shared" si="79"/>
        <v>0</v>
      </c>
      <c r="BN154" s="188">
        <f t="shared" si="79"/>
        <v>0</v>
      </c>
      <c r="BO154" s="188">
        <f t="shared" si="79"/>
        <v>0</v>
      </c>
      <c r="BP154" s="188">
        <f t="shared" si="79"/>
        <v>0</v>
      </c>
      <c r="BQ154" s="188">
        <f t="shared" si="79"/>
        <v>0</v>
      </c>
      <c r="BR154" s="188">
        <f t="shared" si="79"/>
        <v>0</v>
      </c>
      <c r="BS154" s="188">
        <f t="shared" si="79"/>
        <v>0</v>
      </c>
      <c r="BT154" s="188">
        <f t="shared" si="79"/>
        <v>0</v>
      </c>
      <c r="BU154" s="188">
        <f t="shared" si="79"/>
        <v>0</v>
      </c>
      <c r="BV154" s="188">
        <f t="shared" si="79"/>
        <v>0</v>
      </c>
      <c r="BW154" s="188">
        <f t="shared" si="79"/>
        <v>0</v>
      </c>
      <c r="BX154" s="188">
        <f t="shared" si="79"/>
        <v>0</v>
      </c>
      <c r="BY154" s="188">
        <f t="shared" si="79"/>
        <v>0</v>
      </c>
      <c r="BZ154" s="188">
        <f t="shared" si="79"/>
        <v>0</v>
      </c>
      <c r="CA154" s="188">
        <f t="shared" si="79"/>
        <v>0</v>
      </c>
      <c r="CB154" s="188">
        <f t="shared" si="79"/>
        <v>0</v>
      </c>
    </row>
    <row r="155" spans="1:80">
      <c r="B155" s="1">
        <v>2017</v>
      </c>
      <c r="C155" s="9">
        <f t="shared" si="70"/>
        <v>2030</v>
      </c>
      <c r="E155" s="188">
        <f t="shared" si="71"/>
        <v>0</v>
      </c>
      <c r="F155" s="188">
        <f t="shared" si="71"/>
        <v>0</v>
      </c>
      <c r="G155" s="188">
        <f t="shared" si="71"/>
        <v>0</v>
      </c>
      <c r="H155" s="188">
        <f t="shared" si="71"/>
        <v>0</v>
      </c>
      <c r="I155" s="188">
        <f t="shared" si="71"/>
        <v>0</v>
      </c>
      <c r="J155" s="188">
        <f t="shared" si="71"/>
        <v>0</v>
      </c>
      <c r="K155" s="188">
        <f t="shared" si="71"/>
        <v>0</v>
      </c>
      <c r="L155" s="188">
        <f t="shared" si="71"/>
        <v>0</v>
      </c>
      <c r="M155" s="188">
        <f t="shared" si="71"/>
        <v>0</v>
      </c>
      <c r="N155" s="188">
        <f t="shared" si="71"/>
        <v>0</v>
      </c>
      <c r="O155" s="188">
        <f t="shared" si="71"/>
        <v>0</v>
      </c>
      <c r="P155" s="188">
        <f t="shared" si="71"/>
        <v>0</v>
      </c>
      <c r="Q155" s="188">
        <f t="shared" si="71"/>
        <v>0</v>
      </c>
      <c r="R155" s="188">
        <f t="shared" si="71"/>
        <v>0</v>
      </c>
      <c r="S155" s="188">
        <f t="shared" ref="S155:AX155" si="80">IF(S$150&gt;=$C155,$C142*HLOOKUP(S$150-$C155+1,$E$47:$CB$49,3)*S$106*$C$30,0)</f>
        <v>0</v>
      </c>
      <c r="T155" s="188">
        <f t="shared" si="80"/>
        <v>0</v>
      </c>
      <c r="U155" s="188">
        <f t="shared" si="80"/>
        <v>0</v>
      </c>
      <c r="V155" s="188">
        <f t="shared" si="80"/>
        <v>0</v>
      </c>
      <c r="W155" s="188">
        <f t="shared" si="80"/>
        <v>98998.214113145194</v>
      </c>
      <c r="X155" s="188">
        <f t="shared" si="80"/>
        <v>121124.06599320762</v>
      </c>
      <c r="Y155" s="188">
        <f t="shared" si="80"/>
        <v>140573.61012148194</v>
      </c>
      <c r="Z155" s="188">
        <f t="shared" si="80"/>
        <v>157827.81188109398</v>
      </c>
      <c r="AA155" s="188">
        <f t="shared" si="80"/>
        <v>173287.19570096966</v>
      </c>
      <c r="AB155" s="188">
        <f t="shared" si="80"/>
        <v>187285.45252988441</v>
      </c>
      <c r="AC155" s="188">
        <f t="shared" si="80"/>
        <v>200100.74969692068</v>
      </c>
      <c r="AD155" s="188">
        <f t="shared" si="80"/>
        <v>211965.13122456492</v>
      </c>
      <c r="AE155" s="188">
        <f t="shared" si="80"/>
        <v>223072.33111956608</v>
      </c>
      <c r="AF155" s="188">
        <f t="shared" si="80"/>
        <v>233584.26769499193</v>
      </c>
      <c r="AG155" s="188">
        <f t="shared" si="80"/>
        <v>243636.44170511814</v>
      </c>
      <c r="AH155" s="188">
        <f t="shared" si="80"/>
        <v>253342.42344906993</v>
      </c>
      <c r="AI155" s="188">
        <f t="shared" si="80"/>
        <v>262797.58272814599</v>
      </c>
      <c r="AJ155" s="188">
        <f t="shared" si="80"/>
        <v>272082.1895522147</v>
      </c>
      <c r="AK155" s="188">
        <f t="shared" si="80"/>
        <v>281263.99189049425</v>
      </c>
      <c r="AL155" s="188">
        <f t="shared" si="80"/>
        <v>290400.35881005687</v>
      </c>
      <c r="AM155" s="188">
        <f t="shared" si="80"/>
        <v>299540.06242539687</v>
      </c>
      <c r="AN155" s="188">
        <f t="shared" si="80"/>
        <v>308724.75968229934</v>
      </c>
      <c r="AO155" s="188">
        <f t="shared" si="80"/>
        <v>317990.22469343903</v>
      </c>
      <c r="AP155" s="188">
        <f t="shared" si="80"/>
        <v>327367.37377792917</v>
      </c>
      <c r="AQ155" s="188">
        <f t="shared" si="80"/>
        <v>336883.11823844572</v>
      </c>
      <c r="AR155" s="188">
        <f t="shared" si="80"/>
        <v>346561.07399324828</v>
      </c>
      <c r="AS155" s="188">
        <f t="shared" si="80"/>
        <v>356422.15226336324</v>
      </c>
      <c r="AT155" s="188">
        <f t="shared" si="80"/>
        <v>366485.05142859917</v>
      </c>
      <c r="AU155" s="188">
        <f t="shared" si="80"/>
        <v>376766.66676969122</v>
      </c>
      <c r="AV155" s="188">
        <f t="shared" si="80"/>
        <v>387282.43199113657</v>
      </c>
      <c r="AW155" s="188">
        <f t="shared" si="80"/>
        <v>398046.60407330404</v>
      </c>
      <c r="AX155" s="188">
        <f t="shared" si="80"/>
        <v>409072.50105266774</v>
      </c>
      <c r="AY155" s="188">
        <f t="shared" ref="AY155:CB155" si="81">IF(AY$150&gt;=$C155,$C142*HLOOKUP(AY$150-$C155+1,$E$47:$CB$49,3)*AY$106*$C$30,0)</f>
        <v>420372.70070858352</v>
      </c>
      <c r="AZ155" s="188">
        <f t="shared" si="81"/>
        <v>431959.20678831404</v>
      </c>
      <c r="BA155" s="188">
        <f t="shared" si="81"/>
        <v>443843.58828274626</v>
      </c>
      <c r="BB155" s="188">
        <f t="shared" si="81"/>
        <v>456037.09633505822</v>
      </c>
      <c r="BC155" s="188">
        <f t="shared" si="81"/>
        <v>468550.76259151404</v>
      </c>
      <c r="BD155" s="188">
        <f t="shared" si="81"/>
        <v>481395.4821610903</v>
      </c>
      <c r="BE155" s="188">
        <f t="shared" si="81"/>
        <v>494582.0838166856</v>
      </c>
      <c r="BF155" s="188">
        <f t="shared" si="81"/>
        <v>508121.38962692296</v>
      </c>
      <c r="BG155" s="188">
        <f t="shared" si="81"/>
        <v>522024.26583877963</v>
      </c>
      <c r="BH155" s="188">
        <f t="shared" si="81"/>
        <v>536301.6665248177</v>
      </c>
      <c r="BI155" s="188">
        <f t="shared" si="81"/>
        <v>550964.67125410226</v>
      </c>
      <c r="BJ155" s="188">
        <f t="shared" si="81"/>
        <v>566024.51783426444</v>
      </c>
      <c r="BK155" s="188">
        <f t="shared" si="81"/>
        <v>581492.63099629083</v>
      </c>
      <c r="BL155" s="188">
        <f t="shared" si="81"/>
        <v>0</v>
      </c>
      <c r="BM155" s="188">
        <f t="shared" si="81"/>
        <v>0</v>
      </c>
      <c r="BN155" s="188">
        <f t="shared" si="81"/>
        <v>0</v>
      </c>
      <c r="BO155" s="188">
        <f t="shared" si="81"/>
        <v>0</v>
      </c>
      <c r="BP155" s="188">
        <f t="shared" si="81"/>
        <v>0</v>
      </c>
      <c r="BQ155" s="188">
        <f t="shared" si="81"/>
        <v>0</v>
      </c>
      <c r="BR155" s="188">
        <f t="shared" si="81"/>
        <v>0</v>
      </c>
      <c r="BS155" s="188">
        <f t="shared" si="81"/>
        <v>0</v>
      </c>
      <c r="BT155" s="188">
        <f t="shared" si="81"/>
        <v>0</v>
      </c>
      <c r="BU155" s="188">
        <f t="shared" si="81"/>
        <v>0</v>
      </c>
      <c r="BV155" s="188">
        <f t="shared" si="81"/>
        <v>0</v>
      </c>
      <c r="BW155" s="188">
        <f t="shared" si="81"/>
        <v>0</v>
      </c>
      <c r="BX155" s="188">
        <f t="shared" si="81"/>
        <v>0</v>
      </c>
      <c r="BY155" s="188">
        <f t="shared" si="81"/>
        <v>0</v>
      </c>
      <c r="BZ155" s="188">
        <f t="shared" si="81"/>
        <v>0</v>
      </c>
      <c r="CA155" s="188">
        <f t="shared" si="81"/>
        <v>0</v>
      </c>
      <c r="CB155" s="188">
        <f t="shared" si="81"/>
        <v>0</v>
      </c>
    </row>
    <row r="156" spans="1:80">
      <c r="B156" s="1">
        <v>2018</v>
      </c>
      <c r="C156" s="9">
        <f t="shared" si="70"/>
        <v>2031</v>
      </c>
      <c r="E156" s="188">
        <f t="shared" si="71"/>
        <v>0</v>
      </c>
      <c r="F156" s="188">
        <f t="shared" si="71"/>
        <v>0</v>
      </c>
      <c r="G156" s="188">
        <f t="shared" si="71"/>
        <v>0</v>
      </c>
      <c r="H156" s="188">
        <f t="shared" si="71"/>
        <v>0</v>
      </c>
      <c r="I156" s="188">
        <f t="shared" si="71"/>
        <v>0</v>
      </c>
      <c r="J156" s="188">
        <f t="shared" si="71"/>
        <v>0</v>
      </c>
      <c r="K156" s="188">
        <f t="shared" si="71"/>
        <v>0</v>
      </c>
      <c r="L156" s="188">
        <f t="shared" si="71"/>
        <v>0</v>
      </c>
      <c r="M156" s="188">
        <f t="shared" si="71"/>
        <v>0</v>
      </c>
      <c r="N156" s="188">
        <f t="shared" si="71"/>
        <v>0</v>
      </c>
      <c r="O156" s="188">
        <f t="shared" si="71"/>
        <v>0</v>
      </c>
      <c r="P156" s="188">
        <f t="shared" si="71"/>
        <v>0</v>
      </c>
      <c r="Q156" s="188">
        <f t="shared" si="71"/>
        <v>0</v>
      </c>
      <c r="R156" s="188">
        <f t="shared" si="71"/>
        <v>0</v>
      </c>
      <c r="S156" s="188">
        <f t="shared" ref="S156:AX156" si="82">IF(S$150&gt;=$C156,$C143*HLOOKUP(S$150-$C156+1,$E$47:$CB$49,3)*S$106*$C$30,0)</f>
        <v>0</v>
      </c>
      <c r="T156" s="188">
        <f t="shared" si="82"/>
        <v>0</v>
      </c>
      <c r="U156" s="188">
        <f t="shared" si="82"/>
        <v>0</v>
      </c>
      <c r="V156" s="188">
        <f t="shared" si="82"/>
        <v>0</v>
      </c>
      <c r="W156" s="188">
        <f t="shared" si="82"/>
        <v>0</v>
      </c>
      <c r="X156" s="188">
        <f t="shared" si="82"/>
        <v>107053.79227400401</v>
      </c>
      <c r="Y156" s="188">
        <f t="shared" si="82"/>
        <v>130980.04561375054</v>
      </c>
      <c r="Z156" s="188">
        <f t="shared" si="82"/>
        <v>152012.21751285836</v>
      </c>
      <c r="AA156" s="188">
        <f t="shared" si="82"/>
        <v>170670.40996182695</v>
      </c>
      <c r="AB156" s="188">
        <f t="shared" si="82"/>
        <v>187387.73844055671</v>
      </c>
      <c r="AC156" s="188">
        <f t="shared" si="82"/>
        <v>202525.04664541068</v>
      </c>
      <c r="AD156" s="188">
        <f t="shared" si="82"/>
        <v>216383.13664369643</v>
      </c>
      <c r="AE156" s="188">
        <f t="shared" si="82"/>
        <v>229212.93409911642</v>
      </c>
      <c r="AF156" s="188">
        <f t="shared" si="82"/>
        <v>241223.93733748098</v>
      </c>
      <c r="AG156" s="188">
        <f t="shared" si="82"/>
        <v>252591.24011788252</v>
      </c>
      <c r="AH156" s="188">
        <f t="shared" si="82"/>
        <v>263461.36901891796</v>
      </c>
      <c r="AI156" s="188">
        <f t="shared" si="82"/>
        <v>273957.13566219033</v>
      </c>
      <c r="AJ156" s="188">
        <f t="shared" si="82"/>
        <v>284181.67017978244</v>
      </c>
      <c r="AK156" s="188">
        <f t="shared" si="82"/>
        <v>294221.77422806021</v>
      </c>
      <c r="AL156" s="188">
        <f t="shared" si="82"/>
        <v>304150.70849246753</v>
      </c>
      <c r="AM156" s="188">
        <f t="shared" si="82"/>
        <v>314030.51021523483</v>
      </c>
      <c r="AN156" s="188">
        <f t="shared" si="82"/>
        <v>323913.92014386563</v>
      </c>
      <c r="AO156" s="188">
        <f t="shared" si="82"/>
        <v>333845.98488915776</v>
      </c>
      <c r="AP156" s="188">
        <f t="shared" si="82"/>
        <v>343865.38953711384</v>
      </c>
      <c r="AQ156" s="188">
        <f t="shared" si="82"/>
        <v>354005.56609692599</v>
      </c>
      <c r="AR156" s="188">
        <f t="shared" si="82"/>
        <v>364295.61566937953</v>
      </c>
      <c r="AS156" s="188">
        <f t="shared" si="82"/>
        <v>374761.07582230237</v>
      </c>
      <c r="AT156" s="188">
        <f t="shared" si="82"/>
        <v>385424.55934252078</v>
      </c>
      <c r="AU156" s="188">
        <f t="shared" si="82"/>
        <v>396306.28611466434</v>
      </c>
      <c r="AV156" s="188">
        <f t="shared" si="82"/>
        <v>407424.52620441501</v>
      </c>
      <c r="AW156" s="188">
        <f t="shared" si="82"/>
        <v>418795.96917137766</v>
      </c>
      <c r="AX156" s="188">
        <f t="shared" si="82"/>
        <v>430436.03209987644</v>
      </c>
      <c r="AY156" s="188">
        <f t="shared" ref="AY156:CB156" si="83">IF(AY$150&gt;=$C156,$C143*HLOOKUP(AY$150-$C156+1,$E$47:$CB$49,3)*AY$106*$C$30,0)</f>
        <v>442359.11672758823</v>
      </c>
      <c r="AZ156" s="188">
        <f t="shared" si="83"/>
        <v>454578.82429965195</v>
      </c>
      <c r="BA156" s="188">
        <f t="shared" si="83"/>
        <v>467108.13531957922</v>
      </c>
      <c r="BB156" s="188">
        <f t="shared" si="83"/>
        <v>479959.56015796959</v>
      </c>
      <c r="BC156" s="188">
        <f t="shared" si="83"/>
        <v>493145.2654741453</v>
      </c>
      <c r="BD156" s="188">
        <f t="shared" si="83"/>
        <v>506677.18056984356</v>
      </c>
      <c r="BE156" s="188">
        <f t="shared" si="83"/>
        <v>520567.08709934592</v>
      </c>
      <c r="BF156" s="188">
        <f t="shared" si="83"/>
        <v>534826.69498302694</v>
      </c>
      <c r="BG156" s="188">
        <f t="shared" si="83"/>
        <v>549467.70689145185</v>
      </c>
      <c r="BH156" s="188">
        <f t="shared" si="83"/>
        <v>564501.87326837517</v>
      </c>
      <c r="BI156" s="188">
        <f t="shared" si="83"/>
        <v>579941.03952958644</v>
      </c>
      <c r="BJ156" s="188">
        <f t="shared" si="83"/>
        <v>595797.1867991474</v>
      </c>
      <c r="BK156" s="188">
        <f t="shared" si="83"/>
        <v>612082.46731570747</v>
      </c>
      <c r="BL156" s="188">
        <f t="shared" si="83"/>
        <v>628809.23545140144</v>
      </c>
      <c r="BM156" s="188">
        <f t="shared" si="83"/>
        <v>0</v>
      </c>
      <c r="BN156" s="188">
        <f t="shared" si="83"/>
        <v>0</v>
      </c>
      <c r="BO156" s="188">
        <f t="shared" si="83"/>
        <v>0</v>
      </c>
      <c r="BP156" s="188">
        <f t="shared" si="83"/>
        <v>0</v>
      </c>
      <c r="BQ156" s="188">
        <f t="shared" si="83"/>
        <v>0</v>
      </c>
      <c r="BR156" s="188">
        <f t="shared" si="83"/>
        <v>0</v>
      </c>
      <c r="BS156" s="188">
        <f t="shared" si="83"/>
        <v>0</v>
      </c>
      <c r="BT156" s="188">
        <f t="shared" si="83"/>
        <v>0</v>
      </c>
      <c r="BU156" s="188">
        <f t="shared" si="83"/>
        <v>0</v>
      </c>
      <c r="BV156" s="188">
        <f t="shared" si="83"/>
        <v>0</v>
      </c>
      <c r="BW156" s="188">
        <f t="shared" si="83"/>
        <v>0</v>
      </c>
      <c r="BX156" s="188">
        <f t="shared" si="83"/>
        <v>0</v>
      </c>
      <c r="BY156" s="188">
        <f t="shared" si="83"/>
        <v>0</v>
      </c>
      <c r="BZ156" s="188">
        <f t="shared" si="83"/>
        <v>0</v>
      </c>
      <c r="CA156" s="188">
        <f t="shared" si="83"/>
        <v>0</v>
      </c>
      <c r="CB156" s="188">
        <f t="shared" si="83"/>
        <v>0</v>
      </c>
    </row>
    <row r="157" spans="1:80">
      <c r="B157" s="1">
        <v>2019</v>
      </c>
      <c r="C157" s="9">
        <f t="shared" si="70"/>
        <v>2032</v>
      </c>
      <c r="E157" s="188">
        <f t="shared" si="71"/>
        <v>0</v>
      </c>
      <c r="F157" s="188">
        <f t="shared" si="71"/>
        <v>0</v>
      </c>
      <c r="G157" s="188">
        <f t="shared" si="71"/>
        <v>0</v>
      </c>
      <c r="H157" s="188">
        <f t="shared" si="71"/>
        <v>0</v>
      </c>
      <c r="I157" s="188">
        <f t="shared" si="71"/>
        <v>0</v>
      </c>
      <c r="J157" s="188">
        <f t="shared" si="71"/>
        <v>0</v>
      </c>
      <c r="K157" s="188">
        <f t="shared" si="71"/>
        <v>0</v>
      </c>
      <c r="L157" s="188">
        <f t="shared" si="71"/>
        <v>0</v>
      </c>
      <c r="M157" s="188">
        <f t="shared" si="71"/>
        <v>0</v>
      </c>
      <c r="N157" s="188">
        <f t="shared" si="71"/>
        <v>0</v>
      </c>
      <c r="O157" s="188">
        <f t="shared" si="71"/>
        <v>0</v>
      </c>
      <c r="P157" s="188">
        <f t="shared" si="71"/>
        <v>0</v>
      </c>
      <c r="Q157" s="188">
        <f t="shared" si="71"/>
        <v>0</v>
      </c>
      <c r="R157" s="188">
        <f t="shared" si="71"/>
        <v>0</v>
      </c>
      <c r="S157" s="188">
        <f t="shared" ref="S157:AB170" si="84">IF(S$150&gt;=$C157,$C$143*HLOOKUP(S$150-$C157+1,$E$47:$CB$49,3)*S$106*$C$30,0)</f>
        <v>0</v>
      </c>
      <c r="T157" s="188">
        <f t="shared" si="84"/>
        <v>0</v>
      </c>
      <c r="U157" s="188">
        <f t="shared" si="84"/>
        <v>0</v>
      </c>
      <c r="V157" s="188">
        <f t="shared" si="84"/>
        <v>0</v>
      </c>
      <c r="W157" s="188">
        <f t="shared" si="84"/>
        <v>0</v>
      </c>
      <c r="X157" s="188">
        <f t="shared" si="84"/>
        <v>0</v>
      </c>
      <c r="Y157" s="188">
        <f t="shared" si="84"/>
        <v>109976.61741443124</v>
      </c>
      <c r="Z157" s="188">
        <f t="shared" si="84"/>
        <v>134556.11482234354</v>
      </c>
      <c r="AA157" s="188">
        <f t="shared" si="84"/>
        <v>156162.51542908238</v>
      </c>
      <c r="AB157" s="188">
        <f t="shared" si="84"/>
        <v>175330.1212561889</v>
      </c>
      <c r="AC157" s="188">
        <f t="shared" ref="AC157:AL170" si="85">IF(AC$150&gt;=$C157,$C$143*HLOOKUP(AC$150-$C157+1,$E$47:$CB$49,3)*AC$106*$C$30,0)</f>
        <v>192503.87287435637</v>
      </c>
      <c r="AD157" s="188">
        <f t="shared" si="85"/>
        <v>208054.4658778123</v>
      </c>
      <c r="AE157" s="188">
        <f t="shared" si="85"/>
        <v>222290.91495133398</v>
      </c>
      <c r="AF157" s="188">
        <f t="shared" si="85"/>
        <v>235470.99663071975</v>
      </c>
      <c r="AG157" s="188">
        <f t="shared" si="85"/>
        <v>247809.92904824865</v>
      </c>
      <c r="AH157" s="188">
        <f t="shared" si="85"/>
        <v>259487.58644234171</v>
      </c>
      <c r="AI157" s="188">
        <f t="shared" si="85"/>
        <v>270654.49591842032</v>
      </c>
      <c r="AJ157" s="188">
        <f t="shared" si="85"/>
        <v>281436.82214974065</v>
      </c>
      <c r="AK157" s="188">
        <f t="shared" si="85"/>
        <v>291940.51096819766</v>
      </c>
      <c r="AL157" s="188">
        <f t="shared" si="85"/>
        <v>302254.73392344231</v>
      </c>
      <c r="AM157" s="188">
        <f t="shared" ref="AM157:AV170" si="86">IF(AM$150&gt;=$C157,$C$143*HLOOKUP(AM$150-$C157+1,$E$47:$CB$49,3)*AM$106*$C$30,0)</f>
        <v>312454.75189323945</v>
      </c>
      <c r="AN157" s="188">
        <f t="shared" si="86"/>
        <v>322604.2958852374</v>
      </c>
      <c r="AO157" s="188">
        <f t="shared" si="86"/>
        <v>332757.5465957679</v>
      </c>
      <c r="AP157" s="188">
        <f t="shared" si="86"/>
        <v>342960.78051608172</v>
      </c>
      <c r="AQ157" s="188">
        <f t="shared" si="86"/>
        <v>353253.73892775888</v>
      </c>
      <c r="AR157" s="188">
        <f t="shared" si="86"/>
        <v>363670.76661397988</v>
      </c>
      <c r="AS157" s="188">
        <f t="shared" si="86"/>
        <v>374241.75920533773</v>
      </c>
      <c r="AT157" s="188">
        <f t="shared" si="86"/>
        <v>384992.95150647627</v>
      </c>
      <c r="AU157" s="188">
        <f t="shared" si="86"/>
        <v>395947.57368750608</v>
      </c>
      <c r="AV157" s="188">
        <f t="shared" si="86"/>
        <v>407126.39768437447</v>
      </c>
      <c r="AW157" s="188">
        <f t="shared" ref="AW157:BF170" si="87">IF(AW$150&gt;=$C157,$C$143*HLOOKUP(AW$150-$C157+1,$E$47:$CB$49,3)*AW$106*$C$30,0)</f>
        <v>418548.19237935066</v>
      </c>
      <c r="AX157" s="188">
        <f t="shared" si="87"/>
        <v>430230.1029970221</v>
      </c>
      <c r="AY157" s="188">
        <f t="shared" si="87"/>
        <v>442187.96754507016</v>
      </c>
      <c r="AZ157" s="188">
        <f t="shared" si="87"/>
        <v>454436.58096313174</v>
      </c>
      <c r="BA157" s="188">
        <f t="shared" si="87"/>
        <v>466989.91584294068</v>
      </c>
      <c r="BB157" s="188">
        <f t="shared" si="87"/>
        <v>479861.30708686914</v>
      </c>
      <c r="BC157" s="188">
        <f t="shared" si="87"/>
        <v>493063.60662862199</v>
      </c>
      <c r="BD157" s="188">
        <f t="shared" si="87"/>
        <v>506609.3133064846</v>
      </c>
      <c r="BE157" s="188">
        <f t="shared" si="87"/>
        <v>520510.6821207265</v>
      </c>
      <c r="BF157" s="188">
        <f t="shared" si="87"/>
        <v>534779.81639303232</v>
      </c>
      <c r="BG157" s="188">
        <f t="shared" ref="BG157:BP170" si="88">IF(BG$150&gt;=$C157,$C$143*HLOOKUP(BG$150-$C157+1,$E$47:$CB$49,3)*BG$106*$C$30,0)</f>
        <v>549428.74575267162</v>
      </c>
      <c r="BH157" s="188">
        <f t="shared" si="88"/>
        <v>564469.49238116806</v>
      </c>
      <c r="BI157" s="188">
        <f t="shared" si="88"/>
        <v>579914.12753755669</v>
      </c>
      <c r="BJ157" s="188">
        <f t="shared" si="88"/>
        <v>595774.82004587189</v>
      </c>
      <c r="BK157" s="188">
        <f t="shared" si="88"/>
        <v>612063.87814358145</v>
      </c>
      <c r="BL157" s="188">
        <f t="shared" si="88"/>
        <v>628793.7858545793</v>
      </c>
      <c r="BM157" s="188">
        <f t="shared" si="88"/>
        <v>645977.23485497315</v>
      </c>
      <c r="BN157" s="188">
        <f t="shared" si="88"/>
        <v>0</v>
      </c>
      <c r="BO157" s="188">
        <f t="shared" si="88"/>
        <v>0</v>
      </c>
      <c r="BP157" s="188">
        <f t="shared" si="88"/>
        <v>0</v>
      </c>
      <c r="BQ157" s="188">
        <f t="shared" ref="BQ157:CB170" si="89">IF(BQ$150&gt;=$C157,$C$143*HLOOKUP(BQ$150-$C157+1,$E$47:$CB$49,3)*BQ$106*$C$30,0)</f>
        <v>0</v>
      </c>
      <c r="BR157" s="188">
        <f t="shared" si="89"/>
        <v>0</v>
      </c>
      <c r="BS157" s="188">
        <f t="shared" si="89"/>
        <v>0</v>
      </c>
      <c r="BT157" s="188">
        <f t="shared" si="89"/>
        <v>0</v>
      </c>
      <c r="BU157" s="188">
        <f t="shared" si="89"/>
        <v>0</v>
      </c>
      <c r="BV157" s="188">
        <f t="shared" si="89"/>
        <v>0</v>
      </c>
      <c r="BW157" s="188">
        <f t="shared" si="89"/>
        <v>0</v>
      </c>
      <c r="BX157" s="188">
        <f t="shared" si="89"/>
        <v>0</v>
      </c>
      <c r="BY157" s="188">
        <f t="shared" si="89"/>
        <v>0</v>
      </c>
      <c r="BZ157" s="188">
        <f t="shared" si="89"/>
        <v>0</v>
      </c>
      <c r="CA157" s="188">
        <f t="shared" si="89"/>
        <v>0</v>
      </c>
      <c r="CB157" s="188">
        <f t="shared" si="89"/>
        <v>0</v>
      </c>
    </row>
    <row r="158" spans="1:80">
      <c r="B158" s="1">
        <v>2020</v>
      </c>
      <c r="C158" s="9">
        <f t="shared" si="70"/>
        <v>2033</v>
      </c>
      <c r="E158" s="188">
        <f t="shared" si="71"/>
        <v>0</v>
      </c>
      <c r="F158" s="188">
        <f t="shared" si="71"/>
        <v>0</v>
      </c>
      <c r="G158" s="188">
        <f t="shared" si="71"/>
        <v>0</v>
      </c>
      <c r="H158" s="188">
        <f t="shared" si="71"/>
        <v>0</v>
      </c>
      <c r="I158" s="188">
        <f t="shared" si="71"/>
        <v>0</v>
      </c>
      <c r="J158" s="188">
        <f t="shared" si="71"/>
        <v>0</v>
      </c>
      <c r="K158" s="188">
        <f t="shared" si="71"/>
        <v>0</v>
      </c>
      <c r="L158" s="188">
        <f t="shared" si="71"/>
        <v>0</v>
      </c>
      <c r="M158" s="188">
        <f t="shared" si="71"/>
        <v>0</v>
      </c>
      <c r="N158" s="188">
        <f t="shared" si="71"/>
        <v>0</v>
      </c>
      <c r="O158" s="188">
        <f t="shared" si="71"/>
        <v>0</v>
      </c>
      <c r="P158" s="188">
        <f t="shared" si="71"/>
        <v>0</v>
      </c>
      <c r="Q158" s="188">
        <f t="shared" si="71"/>
        <v>0</v>
      </c>
      <c r="R158" s="188">
        <f t="shared" si="71"/>
        <v>0</v>
      </c>
      <c r="S158" s="188">
        <f t="shared" si="84"/>
        <v>0</v>
      </c>
      <c r="T158" s="188">
        <f t="shared" si="84"/>
        <v>0</v>
      </c>
      <c r="U158" s="188">
        <f t="shared" si="84"/>
        <v>0</v>
      </c>
      <c r="V158" s="188">
        <f t="shared" si="84"/>
        <v>0</v>
      </c>
      <c r="W158" s="188">
        <f t="shared" si="84"/>
        <v>0</v>
      </c>
      <c r="X158" s="188">
        <f t="shared" si="84"/>
        <v>0</v>
      </c>
      <c r="Y158" s="188">
        <f t="shared" si="84"/>
        <v>0</v>
      </c>
      <c r="Z158" s="188">
        <f t="shared" si="84"/>
        <v>112979.24268729704</v>
      </c>
      <c r="AA158" s="188">
        <f t="shared" si="84"/>
        <v>138229.81929228286</v>
      </c>
      <c r="AB158" s="188">
        <f t="shared" si="84"/>
        <v>160426.12642681552</v>
      </c>
      <c r="AC158" s="188">
        <f t="shared" si="85"/>
        <v>180117.05383836318</v>
      </c>
      <c r="AD158" s="188">
        <f t="shared" si="85"/>
        <v>197759.69004173577</v>
      </c>
      <c r="AE158" s="188">
        <f t="shared" si="85"/>
        <v>213734.85150945233</v>
      </c>
      <c r="AF158" s="188">
        <f t="shared" si="85"/>
        <v>228359.98976790268</v>
      </c>
      <c r="AG158" s="188">
        <f t="shared" si="85"/>
        <v>241899.91927021087</v>
      </c>
      <c r="AH158" s="188">
        <f t="shared" si="85"/>
        <v>254575.73411955207</v>
      </c>
      <c r="AI158" s="188">
        <f t="shared" si="85"/>
        <v>266572.21955222025</v>
      </c>
      <c r="AJ158" s="188">
        <f t="shared" si="85"/>
        <v>278044.01242443314</v>
      </c>
      <c r="AK158" s="188">
        <f t="shared" si="85"/>
        <v>289120.72200744768</v>
      </c>
      <c r="AL158" s="188">
        <f t="shared" si="85"/>
        <v>299911.18670832494</v>
      </c>
      <c r="AM158" s="188">
        <f t="shared" si="86"/>
        <v>310507.01267376839</v>
      </c>
      <c r="AN158" s="188">
        <f t="shared" si="86"/>
        <v>320985.51558390865</v>
      </c>
      <c r="AO158" s="188">
        <f t="shared" si="86"/>
        <v>331412.16645566816</v>
      </c>
      <c r="AP158" s="188">
        <f t="shared" si="86"/>
        <v>341842.62524826115</v>
      </c>
      <c r="AQ158" s="188">
        <f t="shared" si="86"/>
        <v>352324.43191207596</v>
      </c>
      <c r="AR158" s="188">
        <f t="shared" si="86"/>
        <v>362898.41276094079</v>
      </c>
      <c r="AS158" s="188">
        <f t="shared" si="86"/>
        <v>373599.85027294245</v>
      </c>
      <c r="AT158" s="188">
        <f t="shared" si="86"/>
        <v>384459.45630105003</v>
      </c>
      <c r="AU158" s="188">
        <f t="shared" si="86"/>
        <v>395504.18192295975</v>
      </c>
      <c r="AV158" s="188">
        <f t="shared" si="86"/>
        <v>406757.89154810965</v>
      </c>
      <c r="AW158" s="188">
        <f t="shared" si="87"/>
        <v>418241.9242360894</v>
      </c>
      <c r="AX158" s="188">
        <f t="shared" si="87"/>
        <v>429975.56130464392</v>
      </c>
      <c r="AY158" s="188">
        <f t="shared" si="87"/>
        <v>441976.41608408926</v>
      </c>
      <c r="AZ158" s="188">
        <f t="shared" si="87"/>
        <v>454260.75899768091</v>
      </c>
      <c r="BA158" s="188">
        <f t="shared" si="87"/>
        <v>466843.78892237175</v>
      </c>
      <c r="BB158" s="188">
        <f t="shared" si="87"/>
        <v>479739.85993514262</v>
      </c>
      <c r="BC158" s="188">
        <f t="shared" si="87"/>
        <v>492962.6710131648</v>
      </c>
      <c r="BD158" s="188">
        <f t="shared" si="87"/>
        <v>506525.42497873964</v>
      </c>
      <c r="BE158" s="188">
        <f t="shared" si="87"/>
        <v>520440.96191839786</v>
      </c>
      <c r="BF158" s="188">
        <f t="shared" si="87"/>
        <v>534721.87142329209</v>
      </c>
      <c r="BG158" s="188">
        <f t="shared" si="88"/>
        <v>549380.58726480068</v>
      </c>
      <c r="BH158" s="188">
        <f t="shared" si="88"/>
        <v>564429.46750990802</v>
      </c>
      <c r="BI158" s="188">
        <f t="shared" si="88"/>
        <v>579880.86257451074</v>
      </c>
      <c r="BJ158" s="188">
        <f t="shared" si="88"/>
        <v>595747.17329195072</v>
      </c>
      <c r="BK158" s="188">
        <f t="shared" si="88"/>
        <v>612040.90072432754</v>
      </c>
      <c r="BL158" s="188">
        <f t="shared" si="88"/>
        <v>628774.68915349536</v>
      </c>
      <c r="BM158" s="188">
        <f t="shared" si="88"/>
        <v>645961.3634471246</v>
      </c>
      <c r="BN158" s="188">
        <f t="shared" si="88"/>
        <v>663613.96179450338</v>
      </c>
      <c r="BO158" s="188">
        <f t="shared" si="88"/>
        <v>0</v>
      </c>
      <c r="BP158" s="188">
        <f t="shared" si="88"/>
        <v>0</v>
      </c>
      <c r="BQ158" s="188">
        <f t="shared" si="89"/>
        <v>0</v>
      </c>
      <c r="BR158" s="188">
        <f t="shared" si="89"/>
        <v>0</v>
      </c>
      <c r="BS158" s="188">
        <f t="shared" si="89"/>
        <v>0</v>
      </c>
      <c r="BT158" s="188">
        <f t="shared" si="89"/>
        <v>0</v>
      </c>
      <c r="BU158" s="188">
        <f t="shared" si="89"/>
        <v>0</v>
      </c>
      <c r="BV158" s="188">
        <f t="shared" si="89"/>
        <v>0</v>
      </c>
      <c r="BW158" s="188">
        <f t="shared" si="89"/>
        <v>0</v>
      </c>
      <c r="BX158" s="188">
        <f t="shared" si="89"/>
        <v>0</v>
      </c>
      <c r="BY158" s="188">
        <f t="shared" si="89"/>
        <v>0</v>
      </c>
      <c r="BZ158" s="188">
        <f t="shared" si="89"/>
        <v>0</v>
      </c>
      <c r="CA158" s="188">
        <f t="shared" si="89"/>
        <v>0</v>
      </c>
      <c r="CB158" s="188">
        <f t="shared" si="89"/>
        <v>0</v>
      </c>
    </row>
    <row r="159" spans="1:80">
      <c r="B159" s="1">
        <v>2021</v>
      </c>
      <c r="C159" s="9">
        <f t="shared" si="70"/>
        <v>2034</v>
      </c>
      <c r="E159" s="188">
        <f t="shared" si="71"/>
        <v>0</v>
      </c>
      <c r="F159" s="188">
        <f t="shared" si="71"/>
        <v>0</v>
      </c>
      <c r="G159" s="188">
        <f t="shared" si="71"/>
        <v>0</v>
      </c>
      <c r="H159" s="188">
        <f t="shared" si="71"/>
        <v>0</v>
      </c>
      <c r="I159" s="188">
        <f t="shared" si="71"/>
        <v>0</v>
      </c>
      <c r="J159" s="188">
        <f t="shared" si="71"/>
        <v>0</v>
      </c>
      <c r="K159" s="188">
        <f t="shared" si="71"/>
        <v>0</v>
      </c>
      <c r="L159" s="188">
        <f t="shared" si="71"/>
        <v>0</v>
      </c>
      <c r="M159" s="188">
        <f t="shared" si="71"/>
        <v>0</v>
      </c>
      <c r="N159" s="188">
        <f t="shared" si="71"/>
        <v>0</v>
      </c>
      <c r="O159" s="188">
        <f t="shared" si="71"/>
        <v>0</v>
      </c>
      <c r="P159" s="188">
        <f t="shared" si="71"/>
        <v>0</v>
      </c>
      <c r="Q159" s="188">
        <f t="shared" si="71"/>
        <v>0</v>
      </c>
      <c r="R159" s="188">
        <f t="shared" si="71"/>
        <v>0</v>
      </c>
      <c r="S159" s="188">
        <f t="shared" si="84"/>
        <v>0</v>
      </c>
      <c r="T159" s="188">
        <f t="shared" si="84"/>
        <v>0</v>
      </c>
      <c r="U159" s="188">
        <f t="shared" si="84"/>
        <v>0</v>
      </c>
      <c r="V159" s="188">
        <f t="shared" si="84"/>
        <v>0</v>
      </c>
      <c r="W159" s="188">
        <f t="shared" si="84"/>
        <v>0</v>
      </c>
      <c r="X159" s="188">
        <f t="shared" si="84"/>
        <v>0</v>
      </c>
      <c r="Y159" s="188">
        <f t="shared" si="84"/>
        <v>0</v>
      </c>
      <c r="Z159" s="188">
        <f t="shared" si="84"/>
        <v>0</v>
      </c>
      <c r="AA159" s="188">
        <f t="shared" si="84"/>
        <v>116063.8468275004</v>
      </c>
      <c r="AB159" s="188">
        <f t="shared" si="84"/>
        <v>142003.82470023801</v>
      </c>
      <c r="AC159" s="188">
        <f t="shared" si="85"/>
        <v>164806.14422479799</v>
      </c>
      <c r="AD159" s="188">
        <f t="shared" si="85"/>
        <v>185034.68115446053</v>
      </c>
      <c r="AE159" s="188">
        <f t="shared" si="85"/>
        <v>203159.00361614564</v>
      </c>
      <c r="AF159" s="188">
        <f t="shared" si="85"/>
        <v>219570.32528490128</v>
      </c>
      <c r="AG159" s="188">
        <f t="shared" si="85"/>
        <v>234594.76487472915</v>
      </c>
      <c r="AH159" s="188">
        <f t="shared" si="85"/>
        <v>248504.36690809234</v>
      </c>
      <c r="AI159" s="188">
        <f t="shared" si="85"/>
        <v>261526.26188715207</v>
      </c>
      <c r="AJ159" s="188">
        <f t="shared" si="85"/>
        <v>273850.28012808942</v>
      </c>
      <c r="AK159" s="188">
        <f t="shared" si="85"/>
        <v>285635.28044396633</v>
      </c>
      <c r="AL159" s="188">
        <f t="shared" si="85"/>
        <v>297014.41074982256</v>
      </c>
      <c r="AM159" s="188">
        <f t="shared" si="86"/>
        <v>308099.481002121</v>
      </c>
      <c r="AN159" s="188">
        <f t="shared" si="86"/>
        <v>318984.59841495316</v>
      </c>
      <c r="AO159" s="188">
        <f t="shared" si="86"/>
        <v>329749.18957184517</v>
      </c>
      <c r="AP159" s="188">
        <f t="shared" si="86"/>
        <v>340460.51300541766</v>
      </c>
      <c r="AQ159" s="188">
        <f t="shared" si="86"/>
        <v>351175.74832519016</v>
      </c>
      <c r="AR159" s="188">
        <f t="shared" si="86"/>
        <v>361943.73343615123</v>
      </c>
      <c r="AS159" s="188">
        <f t="shared" si="86"/>
        <v>372806.40930835862</v>
      </c>
      <c r="AT159" s="188">
        <f t="shared" si="86"/>
        <v>383800.02171612426</v>
      </c>
      <c r="AU159" s="188">
        <f t="shared" si="86"/>
        <v>394956.12101962039</v>
      </c>
      <c r="AV159" s="188">
        <f t="shared" si="86"/>
        <v>406302.39412556705</v>
      </c>
      <c r="AW159" s="188">
        <f t="shared" si="87"/>
        <v>417863.35699898365</v>
      </c>
      <c r="AX159" s="188">
        <f t="shared" si="87"/>
        <v>429660.93130693713</v>
      </c>
      <c r="AY159" s="188">
        <f t="shared" si="87"/>
        <v>441714.9247933646</v>
      </c>
      <c r="AZ159" s="188">
        <f t="shared" si="87"/>
        <v>454043.43167471961</v>
      </c>
      <c r="BA159" s="188">
        <f t="shared" si="87"/>
        <v>466663.16659581324</v>
      </c>
      <c r="BB159" s="188">
        <f t="shared" si="87"/>
        <v>479589.74339937128</v>
      </c>
      <c r="BC159" s="188">
        <f t="shared" si="87"/>
        <v>492837.90806308342</v>
      </c>
      <c r="BD159" s="188">
        <f t="shared" si="87"/>
        <v>506421.73357903463</v>
      </c>
      <c r="BE159" s="188">
        <f t="shared" si="87"/>
        <v>520354.78323822253</v>
      </c>
      <c r="BF159" s="188">
        <f t="shared" si="87"/>
        <v>534650.24769231828</v>
      </c>
      <c r="BG159" s="188">
        <f t="shared" si="88"/>
        <v>549321.06025849062</v>
      </c>
      <c r="BH159" s="188">
        <f t="shared" si="88"/>
        <v>564379.99417988083</v>
      </c>
      <c r="BI159" s="188">
        <f t="shared" si="88"/>
        <v>579839.74492832448</v>
      </c>
      <c r="BJ159" s="188">
        <f t="shared" si="88"/>
        <v>595713.00011567643</v>
      </c>
      <c r="BK159" s="188">
        <f t="shared" si="88"/>
        <v>612012.49914775428</v>
      </c>
      <c r="BL159" s="188">
        <f t="shared" si="88"/>
        <v>628751.08439561829</v>
      </c>
      <c r="BM159" s="188">
        <f t="shared" si="88"/>
        <v>645941.74536032567</v>
      </c>
      <c r="BN159" s="188">
        <f t="shared" si="88"/>
        <v>663597.65705917624</v>
      </c>
      <c r="BO159" s="188">
        <f t="shared" si="88"/>
        <v>681732.21365527832</v>
      </c>
      <c r="BP159" s="188">
        <f t="shared" si="88"/>
        <v>0</v>
      </c>
      <c r="BQ159" s="188">
        <f t="shared" si="89"/>
        <v>0</v>
      </c>
      <c r="BR159" s="188">
        <f t="shared" si="89"/>
        <v>0</v>
      </c>
      <c r="BS159" s="188">
        <f t="shared" si="89"/>
        <v>0</v>
      </c>
      <c r="BT159" s="188">
        <f t="shared" si="89"/>
        <v>0</v>
      </c>
      <c r="BU159" s="188">
        <f t="shared" si="89"/>
        <v>0</v>
      </c>
      <c r="BV159" s="188">
        <f t="shared" si="89"/>
        <v>0</v>
      </c>
      <c r="BW159" s="188">
        <f t="shared" si="89"/>
        <v>0</v>
      </c>
      <c r="BX159" s="188">
        <f t="shared" si="89"/>
        <v>0</v>
      </c>
      <c r="BY159" s="188">
        <f t="shared" si="89"/>
        <v>0</v>
      </c>
      <c r="BZ159" s="188">
        <f t="shared" si="89"/>
        <v>0</v>
      </c>
      <c r="CA159" s="188">
        <f t="shared" si="89"/>
        <v>0</v>
      </c>
      <c r="CB159" s="188">
        <f t="shared" si="89"/>
        <v>0</v>
      </c>
    </row>
    <row r="160" spans="1:80">
      <c r="B160" s="1">
        <v>2022</v>
      </c>
      <c r="C160" s="9">
        <f t="shared" si="70"/>
        <v>2035</v>
      </c>
      <c r="E160" s="188">
        <f t="shared" si="71"/>
        <v>0</v>
      </c>
      <c r="F160" s="188">
        <f t="shared" si="71"/>
        <v>0</v>
      </c>
      <c r="G160" s="188">
        <f t="shared" si="71"/>
        <v>0</v>
      </c>
      <c r="H160" s="188">
        <f t="shared" si="71"/>
        <v>0</v>
      </c>
      <c r="I160" s="188">
        <f t="shared" si="71"/>
        <v>0</v>
      </c>
      <c r="J160" s="188">
        <f t="shared" si="71"/>
        <v>0</v>
      </c>
      <c r="K160" s="188">
        <f t="shared" si="71"/>
        <v>0</v>
      </c>
      <c r="L160" s="188">
        <f t="shared" si="71"/>
        <v>0</v>
      </c>
      <c r="M160" s="188">
        <f t="shared" si="71"/>
        <v>0</v>
      </c>
      <c r="N160" s="188">
        <f t="shared" si="71"/>
        <v>0</v>
      </c>
      <c r="O160" s="188">
        <f t="shared" si="71"/>
        <v>0</v>
      </c>
      <c r="P160" s="188">
        <f t="shared" si="71"/>
        <v>0</v>
      </c>
      <c r="Q160" s="188">
        <f t="shared" si="71"/>
        <v>0</v>
      </c>
      <c r="R160" s="188">
        <f t="shared" si="71"/>
        <v>0</v>
      </c>
      <c r="S160" s="188">
        <f t="shared" si="84"/>
        <v>0</v>
      </c>
      <c r="T160" s="188">
        <f t="shared" si="84"/>
        <v>0</v>
      </c>
      <c r="U160" s="188">
        <f t="shared" si="84"/>
        <v>0</v>
      </c>
      <c r="V160" s="188">
        <f t="shared" si="84"/>
        <v>0</v>
      </c>
      <c r="W160" s="188">
        <f t="shared" si="84"/>
        <v>0</v>
      </c>
      <c r="X160" s="188">
        <f t="shared" si="84"/>
        <v>0</v>
      </c>
      <c r="Y160" s="188">
        <f t="shared" si="84"/>
        <v>0</v>
      </c>
      <c r="Z160" s="188">
        <f t="shared" si="84"/>
        <v>0</v>
      </c>
      <c r="AA160" s="188">
        <f t="shared" si="84"/>
        <v>0</v>
      </c>
      <c r="AB160" s="188">
        <f t="shared" si="84"/>
        <v>119232.6680546256</v>
      </c>
      <c r="AC160" s="188">
        <f t="shared" si="85"/>
        <v>145880.86950224143</v>
      </c>
      <c r="AD160" s="188">
        <f t="shared" si="85"/>
        <v>169305.74700770742</v>
      </c>
      <c r="AE160" s="188">
        <f t="shared" si="85"/>
        <v>190086.57148399655</v>
      </c>
      <c r="AF160" s="188">
        <f t="shared" si="85"/>
        <v>208705.73139346336</v>
      </c>
      <c r="AG160" s="188">
        <f t="shared" si="85"/>
        <v>225565.12148223637</v>
      </c>
      <c r="AH160" s="188">
        <f t="shared" si="85"/>
        <v>240999.76428692639</v>
      </c>
      <c r="AI160" s="188">
        <f t="shared" si="85"/>
        <v>255289.13179755909</v>
      </c>
      <c r="AJ160" s="188">
        <f t="shared" si="85"/>
        <v>268666.5557234438</v>
      </c>
      <c r="AK160" s="188">
        <f t="shared" si="85"/>
        <v>281327.04920342268</v>
      </c>
      <c r="AL160" s="188">
        <f t="shared" si="85"/>
        <v>293433.8082769438</v>
      </c>
      <c r="AM160" s="188">
        <f t="shared" si="86"/>
        <v>305123.61611628742</v>
      </c>
      <c r="AN160" s="188">
        <f t="shared" si="86"/>
        <v>316511.33535773976</v>
      </c>
      <c r="AO160" s="188">
        <f t="shared" si="86"/>
        <v>327693.64256791509</v>
      </c>
      <c r="AP160" s="188">
        <f t="shared" si="86"/>
        <v>338752.1328664578</v>
      </c>
      <c r="AQ160" s="188">
        <f t="shared" si="86"/>
        <v>349755.90110515</v>
      </c>
      <c r="AR160" s="188">
        <f t="shared" si="86"/>
        <v>360763.68803391233</v>
      </c>
      <c r="AS160" s="188">
        <f t="shared" si="86"/>
        <v>371825.66494960565</v>
      </c>
      <c r="AT160" s="188">
        <f t="shared" si="86"/>
        <v>382984.9179113041</v>
      </c>
      <c r="AU160" s="188">
        <f t="shared" si="86"/>
        <v>394278.68228984048</v>
      </c>
      <c r="AV160" s="188">
        <f t="shared" si="86"/>
        <v>405739.36984584713</v>
      </c>
      <c r="AW160" s="188">
        <f t="shared" si="87"/>
        <v>417395.42340496386</v>
      </c>
      <c r="AX160" s="188">
        <f t="shared" si="87"/>
        <v>429272.02827682067</v>
      </c>
      <c r="AY160" s="188">
        <f t="shared" si="87"/>
        <v>441391.70464254229</v>
      </c>
      <c r="AZ160" s="188">
        <f t="shared" si="87"/>
        <v>453774.80104495527</v>
      </c>
      <c r="BA160" s="188">
        <f t="shared" si="87"/>
        <v>466439.9057159946</v>
      </c>
      <c r="BB160" s="188">
        <f t="shared" si="87"/>
        <v>479404.18965034024</v>
      </c>
      <c r="BC160" s="188">
        <f t="shared" si="87"/>
        <v>492683.69298605138</v>
      </c>
      <c r="BD160" s="188">
        <f t="shared" si="87"/>
        <v>506293.56430135522</v>
      </c>
      <c r="BE160" s="188">
        <f t="shared" si="87"/>
        <v>520248.26081475394</v>
      </c>
      <c r="BF160" s="188">
        <f t="shared" si="87"/>
        <v>534561.7161276011</v>
      </c>
      <c r="BG160" s="188">
        <f t="shared" si="88"/>
        <v>549247.48102797684</v>
      </c>
      <c r="BH160" s="188">
        <f t="shared" si="88"/>
        <v>564318.84194361034</v>
      </c>
      <c r="BI160" s="188">
        <f t="shared" si="88"/>
        <v>579788.92085779831</v>
      </c>
      <c r="BJ160" s="188">
        <f t="shared" si="88"/>
        <v>595670.75985918904</v>
      </c>
      <c r="BK160" s="188">
        <f t="shared" si="88"/>
        <v>611977.39296185365</v>
      </c>
      <c r="BL160" s="188">
        <f t="shared" si="88"/>
        <v>628721.90738792496</v>
      </c>
      <c r="BM160" s="188">
        <f t="shared" si="88"/>
        <v>645917.49613597721</v>
      </c>
      <c r="BN160" s="188">
        <f t="shared" si="88"/>
        <v>663577.50335158245</v>
      </c>
      <c r="BO160" s="188">
        <f t="shared" si="88"/>
        <v>681715.46376159391</v>
      </c>
      <c r="BP160" s="188">
        <f t="shared" si="88"/>
        <v>700345.13722187886</v>
      </c>
      <c r="BQ160" s="188">
        <f t="shared" si="89"/>
        <v>0</v>
      </c>
      <c r="BR160" s="188">
        <f t="shared" si="89"/>
        <v>0</v>
      </c>
      <c r="BS160" s="188">
        <f t="shared" si="89"/>
        <v>0</v>
      </c>
      <c r="BT160" s="188">
        <f t="shared" si="89"/>
        <v>0</v>
      </c>
      <c r="BU160" s="188">
        <f t="shared" si="89"/>
        <v>0</v>
      </c>
      <c r="BV160" s="188">
        <f t="shared" si="89"/>
        <v>0</v>
      </c>
      <c r="BW160" s="188">
        <f t="shared" si="89"/>
        <v>0</v>
      </c>
      <c r="BX160" s="188">
        <f t="shared" si="89"/>
        <v>0</v>
      </c>
      <c r="BY160" s="188">
        <f t="shared" si="89"/>
        <v>0</v>
      </c>
      <c r="BZ160" s="188">
        <f t="shared" si="89"/>
        <v>0</v>
      </c>
      <c r="CA160" s="188">
        <f t="shared" si="89"/>
        <v>0</v>
      </c>
      <c r="CB160" s="188">
        <f t="shared" si="89"/>
        <v>0</v>
      </c>
    </row>
    <row r="161" spans="2:80">
      <c r="B161" s="1">
        <v>2023</v>
      </c>
      <c r="C161" s="9">
        <f t="shared" si="70"/>
        <v>2036</v>
      </c>
      <c r="E161" s="188">
        <f t="shared" ref="E161:R170" si="90">IF(E$150&gt;=$C161,E$130*HLOOKUP(E$150-$C161+1,$E$47:$CB$49,3)*E$106*$C$30,0)</f>
        <v>0</v>
      </c>
      <c r="F161" s="188">
        <f t="shared" si="90"/>
        <v>0</v>
      </c>
      <c r="G161" s="188">
        <f t="shared" si="90"/>
        <v>0</v>
      </c>
      <c r="H161" s="188">
        <f t="shared" si="90"/>
        <v>0</v>
      </c>
      <c r="I161" s="188">
        <f t="shared" si="90"/>
        <v>0</v>
      </c>
      <c r="J161" s="188">
        <f t="shared" si="90"/>
        <v>0</v>
      </c>
      <c r="K161" s="188">
        <f t="shared" si="90"/>
        <v>0</v>
      </c>
      <c r="L161" s="188">
        <f t="shared" si="90"/>
        <v>0</v>
      </c>
      <c r="M161" s="188">
        <f t="shared" si="90"/>
        <v>0</v>
      </c>
      <c r="N161" s="188">
        <f t="shared" si="90"/>
        <v>0</v>
      </c>
      <c r="O161" s="188">
        <f t="shared" si="90"/>
        <v>0</v>
      </c>
      <c r="P161" s="188">
        <f t="shared" si="90"/>
        <v>0</v>
      </c>
      <c r="Q161" s="188">
        <f t="shared" si="90"/>
        <v>0</v>
      </c>
      <c r="R161" s="188">
        <f t="shared" si="90"/>
        <v>0</v>
      </c>
      <c r="S161" s="188">
        <f t="shared" si="84"/>
        <v>0</v>
      </c>
      <c r="T161" s="188">
        <f t="shared" si="84"/>
        <v>0</v>
      </c>
      <c r="U161" s="188">
        <f t="shared" si="84"/>
        <v>0</v>
      </c>
      <c r="V161" s="188">
        <f t="shared" si="84"/>
        <v>0</v>
      </c>
      <c r="W161" s="188">
        <f t="shared" si="84"/>
        <v>0</v>
      </c>
      <c r="X161" s="188">
        <f t="shared" si="84"/>
        <v>0</v>
      </c>
      <c r="Y161" s="188">
        <f t="shared" si="84"/>
        <v>0</v>
      </c>
      <c r="Z161" s="188">
        <f t="shared" si="84"/>
        <v>0</v>
      </c>
      <c r="AA161" s="188">
        <f t="shared" si="84"/>
        <v>0</v>
      </c>
      <c r="AB161" s="188">
        <f t="shared" si="84"/>
        <v>0</v>
      </c>
      <c r="AC161" s="188">
        <f t="shared" si="85"/>
        <v>122488.00569701666</v>
      </c>
      <c r="AD161" s="188">
        <f t="shared" si="85"/>
        <v>149863.76692073929</v>
      </c>
      <c r="AE161" s="188">
        <f t="shared" si="85"/>
        <v>173928.19973228135</v>
      </c>
      <c r="AF161" s="188">
        <f t="shared" si="85"/>
        <v>195276.39052907078</v>
      </c>
      <c r="AG161" s="188">
        <f t="shared" si="85"/>
        <v>214403.89813478486</v>
      </c>
      <c r="AH161" s="188">
        <f t="shared" si="85"/>
        <v>231723.58998547599</v>
      </c>
      <c r="AI161" s="188">
        <f t="shared" si="85"/>
        <v>247579.63553606402</v>
      </c>
      <c r="AJ161" s="188">
        <f t="shared" si="85"/>
        <v>262259.13703180564</v>
      </c>
      <c r="AK161" s="188">
        <f t="shared" si="85"/>
        <v>276001.79669697786</v>
      </c>
      <c r="AL161" s="188">
        <f t="shared" si="85"/>
        <v>289007.95199656591</v>
      </c>
      <c r="AM161" s="188">
        <f t="shared" si="86"/>
        <v>301445.25461308099</v>
      </c>
      <c r="AN161" s="188">
        <f t="shared" si="86"/>
        <v>313454.22222728009</v>
      </c>
      <c r="AO161" s="188">
        <f t="shared" si="86"/>
        <v>325152.85350074951</v>
      </c>
      <c r="AP161" s="188">
        <f t="shared" si="86"/>
        <v>336640.46450210887</v>
      </c>
      <c r="AQ161" s="188">
        <f t="shared" si="86"/>
        <v>348000.87809335499</v>
      </c>
      <c r="AR161" s="188">
        <f t="shared" si="86"/>
        <v>359305.075581346</v>
      </c>
      <c r="AS161" s="188">
        <f t="shared" si="86"/>
        <v>370613.40147927921</v>
      </c>
      <c r="AT161" s="188">
        <f t="shared" si="86"/>
        <v>381977.39688068168</v>
      </c>
      <c r="AU161" s="188">
        <f t="shared" si="86"/>
        <v>393441.32419731893</v>
      </c>
      <c r="AV161" s="188">
        <f t="shared" si="86"/>
        <v>405043.43541490199</v>
      </c>
      <c r="AW161" s="188">
        <f t="shared" si="87"/>
        <v>416817.02721282042</v>
      </c>
      <c r="AX161" s="188">
        <f t="shared" si="87"/>
        <v>428791.31897403236</v>
      </c>
      <c r="AY161" s="188">
        <f t="shared" si="87"/>
        <v>440992.18362749065</v>
      </c>
      <c r="AZ161" s="188">
        <f t="shared" si="87"/>
        <v>453442.75620924652</v>
      </c>
      <c r="BA161" s="188">
        <f t="shared" si="87"/>
        <v>466163.94082612143</v>
      </c>
      <c r="BB161" s="188">
        <f t="shared" si="87"/>
        <v>479174.83321333915</v>
      </c>
      <c r="BC161" s="188">
        <f t="shared" si="87"/>
        <v>492493.07317489357</v>
      </c>
      <c r="BD161" s="188">
        <f t="shared" si="87"/>
        <v>506135.13878306176</v>
      </c>
      <c r="BE161" s="188">
        <f t="shared" si="87"/>
        <v>520116.59220856801</v>
      </c>
      <c r="BF161" s="188">
        <f t="shared" si="87"/>
        <v>534452.28538663418</v>
      </c>
      <c r="BG161" s="188">
        <f t="shared" si="88"/>
        <v>549156.53233932995</v>
      </c>
      <c r="BH161" s="188">
        <f t="shared" si="88"/>
        <v>564243.25382373191</v>
      </c>
      <c r="BI161" s="188">
        <f t="shared" si="88"/>
        <v>579726.09901889379</v>
      </c>
      <c r="BJ161" s="188">
        <f t="shared" si="88"/>
        <v>595618.54816971056</v>
      </c>
      <c r="BK161" s="188">
        <f t="shared" si="88"/>
        <v>611933.99944511265</v>
      </c>
      <c r="BL161" s="188">
        <f t="shared" si="88"/>
        <v>628685.84271899855</v>
      </c>
      <c r="BM161" s="188">
        <f t="shared" si="88"/>
        <v>645887.52252603567</v>
      </c>
      <c r="BN161" s="188">
        <f t="shared" si="88"/>
        <v>663552.5920652831</v>
      </c>
      <c r="BO161" s="188">
        <f t="shared" si="88"/>
        <v>681694.75980947376</v>
      </c>
      <c r="BP161" s="188">
        <f t="shared" si="88"/>
        <v>700327.93001594685</v>
      </c>
      <c r="BQ161" s="188">
        <f t="shared" si="89"/>
        <v>719466.23821761785</v>
      </c>
      <c r="BR161" s="188">
        <f t="shared" si="89"/>
        <v>0</v>
      </c>
      <c r="BS161" s="188">
        <f t="shared" si="89"/>
        <v>0</v>
      </c>
      <c r="BT161" s="188">
        <f t="shared" si="89"/>
        <v>0</v>
      </c>
      <c r="BU161" s="188">
        <f t="shared" si="89"/>
        <v>0</v>
      </c>
      <c r="BV161" s="188">
        <f t="shared" si="89"/>
        <v>0</v>
      </c>
      <c r="BW161" s="188">
        <f t="shared" si="89"/>
        <v>0</v>
      </c>
      <c r="BX161" s="188">
        <f t="shared" si="89"/>
        <v>0</v>
      </c>
      <c r="BY161" s="188">
        <f t="shared" si="89"/>
        <v>0</v>
      </c>
      <c r="BZ161" s="188">
        <f t="shared" si="89"/>
        <v>0</v>
      </c>
      <c r="CA161" s="188">
        <f t="shared" si="89"/>
        <v>0</v>
      </c>
      <c r="CB161" s="188">
        <f t="shared" si="89"/>
        <v>0</v>
      </c>
    </row>
    <row r="162" spans="2:80">
      <c r="B162" s="1">
        <v>2024</v>
      </c>
      <c r="C162" s="9">
        <f t="shared" si="70"/>
        <v>2037</v>
      </c>
      <c r="E162" s="188">
        <f t="shared" si="90"/>
        <v>0</v>
      </c>
      <c r="F162" s="188">
        <f t="shared" si="90"/>
        <v>0</v>
      </c>
      <c r="G162" s="188">
        <f t="shared" si="90"/>
        <v>0</v>
      </c>
      <c r="H162" s="188">
        <f t="shared" si="90"/>
        <v>0</v>
      </c>
      <c r="I162" s="188">
        <f t="shared" si="90"/>
        <v>0</v>
      </c>
      <c r="J162" s="188">
        <f t="shared" si="90"/>
        <v>0</v>
      </c>
      <c r="K162" s="188">
        <f t="shared" si="90"/>
        <v>0</v>
      </c>
      <c r="L162" s="188">
        <f t="shared" si="90"/>
        <v>0</v>
      </c>
      <c r="M162" s="188">
        <f t="shared" si="90"/>
        <v>0</v>
      </c>
      <c r="N162" s="188">
        <f t="shared" si="90"/>
        <v>0</v>
      </c>
      <c r="O162" s="188">
        <f t="shared" si="90"/>
        <v>0</v>
      </c>
      <c r="P162" s="188">
        <f t="shared" si="90"/>
        <v>0</v>
      </c>
      <c r="Q162" s="188">
        <f t="shared" si="90"/>
        <v>0</v>
      </c>
      <c r="R162" s="188">
        <f t="shared" si="90"/>
        <v>0</v>
      </c>
      <c r="S162" s="188">
        <f t="shared" si="84"/>
        <v>0</v>
      </c>
      <c r="T162" s="188">
        <f t="shared" si="84"/>
        <v>0</v>
      </c>
      <c r="U162" s="188">
        <f t="shared" si="84"/>
        <v>0</v>
      </c>
      <c r="V162" s="188">
        <f t="shared" si="84"/>
        <v>0</v>
      </c>
      <c r="W162" s="188">
        <f t="shared" si="84"/>
        <v>0</v>
      </c>
      <c r="X162" s="188">
        <f t="shared" si="84"/>
        <v>0</v>
      </c>
      <c r="Y162" s="188">
        <f t="shared" si="84"/>
        <v>0</v>
      </c>
      <c r="Z162" s="188">
        <f t="shared" si="84"/>
        <v>0</v>
      </c>
      <c r="AA162" s="188">
        <f t="shared" si="84"/>
        <v>0</v>
      </c>
      <c r="AB162" s="188">
        <f t="shared" si="84"/>
        <v>0</v>
      </c>
      <c r="AC162" s="188">
        <f t="shared" si="85"/>
        <v>0</v>
      </c>
      <c r="AD162" s="188">
        <f t="shared" si="85"/>
        <v>125832.22186019289</v>
      </c>
      <c r="AE162" s="188">
        <f t="shared" si="85"/>
        <v>153955.40698589402</v>
      </c>
      <c r="AF162" s="188">
        <f t="shared" si="85"/>
        <v>178676.85649640244</v>
      </c>
      <c r="AG162" s="188">
        <f t="shared" si="85"/>
        <v>200607.90407423693</v>
      </c>
      <c r="AH162" s="188">
        <f t="shared" si="85"/>
        <v>220257.63848683148</v>
      </c>
      <c r="AI162" s="188">
        <f t="shared" si="85"/>
        <v>238050.19944089898</v>
      </c>
      <c r="AJ162" s="188">
        <f t="shared" si="85"/>
        <v>254339.15304246385</v>
      </c>
      <c r="AK162" s="188">
        <f t="shared" si="85"/>
        <v>269419.44011627143</v>
      </c>
      <c r="AL162" s="188">
        <f t="shared" si="85"/>
        <v>283537.30733189546</v>
      </c>
      <c r="AM162" s="188">
        <f t="shared" si="86"/>
        <v>296898.56184733042</v>
      </c>
      <c r="AN162" s="188">
        <f t="shared" si="86"/>
        <v>309675.43263788655</v>
      </c>
      <c r="AO162" s="188">
        <f t="shared" si="86"/>
        <v>322012.27385383082</v>
      </c>
      <c r="AP162" s="188">
        <f t="shared" si="86"/>
        <v>334030.30580305739</v>
      </c>
      <c r="AQ162" s="188">
        <f t="shared" si="86"/>
        <v>345831.55612092302</v>
      </c>
      <c r="AR162" s="188">
        <f t="shared" si="86"/>
        <v>357502.13623448304</v>
      </c>
      <c r="AS162" s="188">
        <f t="shared" si="86"/>
        <v>369114.96541041741</v>
      </c>
      <c r="AT162" s="188">
        <f t="shared" si="86"/>
        <v>380732.03571178118</v>
      </c>
      <c r="AU162" s="188">
        <f t="shared" si="86"/>
        <v>392406.29542750062</v>
      </c>
      <c r="AV162" s="188">
        <f t="shared" si="86"/>
        <v>404183.21543928061</v>
      </c>
      <c r="AW162" s="188">
        <f t="shared" si="87"/>
        <v>416102.09210373351</v>
      </c>
      <c r="AX162" s="188">
        <f t="shared" si="87"/>
        <v>428197.13117940933</v>
      </c>
      <c r="AY162" s="188">
        <f t="shared" si="87"/>
        <v>440498.3498084608</v>
      </c>
      <c r="AZ162" s="188">
        <f t="shared" si="87"/>
        <v>453032.32731281943</v>
      </c>
      <c r="BA162" s="188">
        <f t="shared" si="87"/>
        <v>465822.83037047589</v>
      </c>
      <c r="BB162" s="188">
        <f t="shared" si="87"/>
        <v>478891.33382047579</v>
      </c>
      <c r="BC162" s="188">
        <f t="shared" si="87"/>
        <v>492257.45475738763</v>
      </c>
      <c r="BD162" s="188">
        <f t="shared" si="87"/>
        <v>505939.3145941376</v>
      </c>
      <c r="BE162" s="188">
        <f t="shared" si="87"/>
        <v>519953.84129387414</v>
      </c>
      <c r="BF162" s="188">
        <f t="shared" si="87"/>
        <v>534317.02191188559</v>
      </c>
      <c r="BG162" s="188">
        <f t="shared" si="88"/>
        <v>549044.11387682566</v>
      </c>
      <c r="BH162" s="188">
        <f t="shared" si="88"/>
        <v>564149.82201787794</v>
      </c>
      <c r="BI162" s="188">
        <f t="shared" si="88"/>
        <v>579648.44716215553</v>
      </c>
      <c r="BJ162" s="188">
        <f t="shared" si="88"/>
        <v>595554.01114401803</v>
      </c>
      <c r="BK162" s="188">
        <f t="shared" si="88"/>
        <v>611880.36225135857</v>
      </c>
      <c r="BL162" s="188">
        <f t="shared" si="88"/>
        <v>628641.2644552351</v>
      </c>
      <c r="BM162" s="188">
        <f t="shared" si="88"/>
        <v>645850.47320519947</v>
      </c>
      <c r="BN162" s="188">
        <f t="shared" si="88"/>
        <v>663521.80010394251</v>
      </c>
      <c r="BO162" s="188">
        <f t="shared" si="88"/>
        <v>681669.16838534514</v>
      </c>
      <c r="BP162" s="188">
        <f t="shared" si="88"/>
        <v>700306.66079630575</v>
      </c>
      <c r="BQ162" s="188">
        <f t="shared" si="89"/>
        <v>719448.56121371756</v>
      </c>
      <c r="BR162" s="188">
        <f t="shared" si="89"/>
        <v>739109.39110442798</v>
      </c>
      <c r="BS162" s="188">
        <f t="shared" si="89"/>
        <v>0</v>
      </c>
      <c r="BT162" s="188">
        <f t="shared" si="89"/>
        <v>0</v>
      </c>
      <c r="BU162" s="188">
        <f t="shared" si="89"/>
        <v>0</v>
      </c>
      <c r="BV162" s="188">
        <f t="shared" si="89"/>
        <v>0</v>
      </c>
      <c r="BW162" s="188">
        <f t="shared" si="89"/>
        <v>0</v>
      </c>
      <c r="BX162" s="188">
        <f t="shared" si="89"/>
        <v>0</v>
      </c>
      <c r="BY162" s="188">
        <f t="shared" si="89"/>
        <v>0</v>
      </c>
      <c r="BZ162" s="188">
        <f t="shared" si="89"/>
        <v>0</v>
      </c>
      <c r="CA162" s="188">
        <f t="shared" si="89"/>
        <v>0</v>
      </c>
      <c r="CB162" s="188">
        <f t="shared" si="89"/>
        <v>0</v>
      </c>
    </row>
    <row r="163" spans="2:80">
      <c r="B163" s="1">
        <v>2025</v>
      </c>
      <c r="C163" s="9">
        <f t="shared" si="70"/>
        <v>2038</v>
      </c>
      <c r="E163" s="188">
        <f t="shared" si="90"/>
        <v>0</v>
      </c>
      <c r="F163" s="188">
        <f t="shared" si="90"/>
        <v>0</v>
      </c>
      <c r="G163" s="188">
        <f t="shared" si="90"/>
        <v>0</v>
      </c>
      <c r="H163" s="188">
        <f t="shared" si="90"/>
        <v>0</v>
      </c>
      <c r="I163" s="188">
        <f t="shared" si="90"/>
        <v>0</v>
      </c>
      <c r="J163" s="188">
        <f t="shared" si="90"/>
        <v>0</v>
      </c>
      <c r="K163" s="188">
        <f t="shared" si="90"/>
        <v>0</v>
      </c>
      <c r="L163" s="188">
        <f t="shared" si="90"/>
        <v>0</v>
      </c>
      <c r="M163" s="188">
        <f t="shared" si="90"/>
        <v>0</v>
      </c>
      <c r="N163" s="188">
        <f t="shared" si="90"/>
        <v>0</v>
      </c>
      <c r="O163" s="188">
        <f t="shared" si="90"/>
        <v>0</v>
      </c>
      <c r="P163" s="188">
        <f t="shared" si="90"/>
        <v>0</v>
      </c>
      <c r="Q163" s="188">
        <f t="shared" si="90"/>
        <v>0</v>
      </c>
      <c r="R163" s="188">
        <f t="shared" si="90"/>
        <v>0</v>
      </c>
      <c r="S163" s="188">
        <f t="shared" si="84"/>
        <v>0</v>
      </c>
      <c r="T163" s="188">
        <f t="shared" si="84"/>
        <v>0</v>
      </c>
      <c r="U163" s="188">
        <f t="shared" si="84"/>
        <v>0</v>
      </c>
      <c r="V163" s="188">
        <f t="shared" si="84"/>
        <v>0</v>
      </c>
      <c r="W163" s="188">
        <f t="shared" si="84"/>
        <v>0</v>
      </c>
      <c r="X163" s="188">
        <f t="shared" si="84"/>
        <v>0</v>
      </c>
      <c r="Y163" s="188">
        <f t="shared" si="84"/>
        <v>0</v>
      </c>
      <c r="Z163" s="188">
        <f t="shared" si="84"/>
        <v>0</v>
      </c>
      <c r="AA163" s="188">
        <f t="shared" si="84"/>
        <v>0</v>
      </c>
      <c r="AB163" s="188">
        <f t="shared" si="84"/>
        <v>0</v>
      </c>
      <c r="AC163" s="188">
        <f t="shared" si="85"/>
        <v>0</v>
      </c>
      <c r="AD163" s="188">
        <f t="shared" si="85"/>
        <v>0</v>
      </c>
      <c r="AE163" s="188">
        <f t="shared" si="85"/>
        <v>129267.74314081641</v>
      </c>
      <c r="AF163" s="188">
        <f t="shared" si="85"/>
        <v>158158.7586326189</v>
      </c>
      <c r="AG163" s="188">
        <f t="shared" si="85"/>
        <v>183555.16297286542</v>
      </c>
      <c r="AH163" s="188">
        <f t="shared" si="85"/>
        <v>206084.98071899379</v>
      </c>
      <c r="AI163" s="188">
        <f t="shared" si="85"/>
        <v>226271.19998209085</v>
      </c>
      <c r="AJ163" s="188">
        <f t="shared" si="85"/>
        <v>244549.5404995392</v>
      </c>
      <c r="AK163" s="188">
        <f t="shared" si="85"/>
        <v>261283.22157956698</v>
      </c>
      <c r="AL163" s="188">
        <f t="shared" si="85"/>
        <v>276775.23663841758</v>
      </c>
      <c r="AM163" s="188">
        <f t="shared" si="86"/>
        <v>291278.55547000509</v>
      </c>
      <c r="AN163" s="188">
        <f t="shared" si="86"/>
        <v>305004.60426106374</v>
      </c>
      <c r="AO163" s="188">
        <f t="shared" si="86"/>
        <v>318130.31425076793</v>
      </c>
      <c r="AP163" s="188">
        <f t="shared" si="86"/>
        <v>330803.98080370843</v>
      </c>
      <c r="AQ163" s="188">
        <f t="shared" si="86"/>
        <v>343150.13383275404</v>
      </c>
      <c r="AR163" s="188">
        <f t="shared" si="86"/>
        <v>355273.58657226985</v>
      </c>
      <c r="AS163" s="188">
        <f t="shared" si="86"/>
        <v>367262.80149768206</v>
      </c>
      <c r="AT163" s="188">
        <f t="shared" si="86"/>
        <v>379192.68874644057</v>
      </c>
      <c r="AU163" s="188">
        <f t="shared" si="86"/>
        <v>391126.9329135188</v>
      </c>
      <c r="AV163" s="188">
        <f t="shared" si="86"/>
        <v>403119.92790304939</v>
      </c>
      <c r="AW163" s="188">
        <f t="shared" si="87"/>
        <v>415218.38606080302</v>
      </c>
      <c r="AX163" s="188">
        <f t="shared" si="87"/>
        <v>427462.67662812216</v>
      </c>
      <c r="AY163" s="188">
        <f t="shared" si="87"/>
        <v>439887.93926275754</v>
      </c>
      <c r="AZ163" s="188">
        <f t="shared" si="87"/>
        <v>452525.01064679457</v>
      </c>
      <c r="BA163" s="188">
        <f t="shared" si="87"/>
        <v>465401.19578136515</v>
      </c>
      <c r="BB163" s="188">
        <f t="shared" si="87"/>
        <v>478540.91023173847</v>
      </c>
      <c r="BC163" s="188">
        <f t="shared" si="87"/>
        <v>491966.21515154204</v>
      </c>
      <c r="BD163" s="188">
        <f t="shared" si="87"/>
        <v>505697.26322904893</v>
      </c>
      <c r="BE163" s="188">
        <f t="shared" si="87"/>
        <v>519752.67063519557</v>
      </c>
      <c r="BF163" s="188">
        <f t="shared" si="87"/>
        <v>534149.82750710147</v>
      </c>
      <c r="BG163" s="188">
        <f t="shared" si="88"/>
        <v>548905.15738498559</v>
      </c>
      <c r="BH163" s="188">
        <f t="shared" si="88"/>
        <v>564034.33426187665</v>
      </c>
      <c r="BI163" s="188">
        <f t="shared" si="88"/>
        <v>579552.46444404277</v>
      </c>
      <c r="BJ163" s="188">
        <f t="shared" si="88"/>
        <v>595474.23920545669</v>
      </c>
      <c r="BK163" s="188">
        <f t="shared" si="88"/>
        <v>611814.06321016722</v>
      </c>
      <c r="BL163" s="188">
        <f t="shared" si="88"/>
        <v>628586.16283752129</v>
      </c>
      <c r="BM163" s="188">
        <f t="shared" si="88"/>
        <v>645804.67784797959</v>
      </c>
      <c r="BN163" s="188">
        <f t="shared" si="88"/>
        <v>663483.73924783897</v>
      </c>
      <c r="BO163" s="188">
        <f t="shared" si="88"/>
        <v>681637.53572965076</v>
      </c>
      <c r="BP163" s="188">
        <f t="shared" si="88"/>
        <v>700280.37066495512</v>
      </c>
      <c r="BQ163" s="188">
        <f t="shared" si="89"/>
        <v>719426.71129339735</v>
      </c>
      <c r="BR163" s="188">
        <f t="shared" si="89"/>
        <v>739091.23147594882</v>
      </c>
      <c r="BS163" s="188">
        <f t="shared" si="89"/>
        <v>759288.84915031062</v>
      </c>
      <c r="BT163" s="188">
        <f t="shared" si="89"/>
        <v>0</v>
      </c>
      <c r="BU163" s="188">
        <f t="shared" si="89"/>
        <v>0</v>
      </c>
      <c r="BV163" s="188">
        <f t="shared" si="89"/>
        <v>0</v>
      </c>
      <c r="BW163" s="188">
        <f t="shared" si="89"/>
        <v>0</v>
      </c>
      <c r="BX163" s="188">
        <f t="shared" si="89"/>
        <v>0</v>
      </c>
      <c r="BY163" s="188">
        <f t="shared" si="89"/>
        <v>0</v>
      </c>
      <c r="BZ163" s="188">
        <f t="shared" si="89"/>
        <v>0</v>
      </c>
      <c r="CA163" s="188">
        <f t="shared" si="89"/>
        <v>0</v>
      </c>
      <c r="CB163" s="188">
        <f t="shared" si="89"/>
        <v>0</v>
      </c>
    </row>
    <row r="164" spans="2:80">
      <c r="B164" s="1">
        <v>2026</v>
      </c>
      <c r="C164" s="9">
        <f t="shared" si="70"/>
        <v>2039</v>
      </c>
      <c r="E164" s="188">
        <f t="shared" si="90"/>
        <v>0</v>
      </c>
      <c r="F164" s="188">
        <f t="shared" si="90"/>
        <v>0</v>
      </c>
      <c r="G164" s="188">
        <f t="shared" si="90"/>
        <v>0</v>
      </c>
      <c r="H164" s="188">
        <f t="shared" si="90"/>
        <v>0</v>
      </c>
      <c r="I164" s="188">
        <f t="shared" si="90"/>
        <v>0</v>
      </c>
      <c r="J164" s="188">
        <f t="shared" si="90"/>
        <v>0</v>
      </c>
      <c r="K164" s="188">
        <f t="shared" si="90"/>
        <v>0</v>
      </c>
      <c r="L164" s="188">
        <f t="shared" si="90"/>
        <v>0</v>
      </c>
      <c r="M164" s="188">
        <f t="shared" si="90"/>
        <v>0</v>
      </c>
      <c r="N164" s="188">
        <f t="shared" si="90"/>
        <v>0</v>
      </c>
      <c r="O164" s="188">
        <f t="shared" si="90"/>
        <v>0</v>
      </c>
      <c r="P164" s="188">
        <f t="shared" si="90"/>
        <v>0</v>
      </c>
      <c r="Q164" s="188">
        <f t="shared" si="90"/>
        <v>0</v>
      </c>
      <c r="R164" s="188">
        <f t="shared" si="90"/>
        <v>0</v>
      </c>
      <c r="S164" s="188">
        <f t="shared" si="84"/>
        <v>0</v>
      </c>
      <c r="T164" s="188">
        <f t="shared" si="84"/>
        <v>0</v>
      </c>
      <c r="U164" s="188">
        <f t="shared" si="84"/>
        <v>0</v>
      </c>
      <c r="V164" s="188">
        <f t="shared" si="84"/>
        <v>0</v>
      </c>
      <c r="W164" s="188">
        <f t="shared" si="84"/>
        <v>0</v>
      </c>
      <c r="X164" s="188">
        <f t="shared" si="84"/>
        <v>0</v>
      </c>
      <c r="Y164" s="188">
        <f t="shared" si="84"/>
        <v>0</v>
      </c>
      <c r="Z164" s="188">
        <f t="shared" si="84"/>
        <v>0</v>
      </c>
      <c r="AA164" s="188">
        <f t="shared" si="84"/>
        <v>0</v>
      </c>
      <c r="AB164" s="188">
        <f t="shared" si="84"/>
        <v>0</v>
      </c>
      <c r="AC164" s="188">
        <f t="shared" si="85"/>
        <v>0</v>
      </c>
      <c r="AD164" s="188">
        <f t="shared" si="85"/>
        <v>0</v>
      </c>
      <c r="AE164" s="188">
        <f t="shared" si="85"/>
        <v>0</v>
      </c>
      <c r="AF164" s="188">
        <f t="shared" si="85"/>
        <v>132797.06238745479</v>
      </c>
      <c r="AG164" s="188">
        <f t="shared" si="85"/>
        <v>162476.87185486706</v>
      </c>
      <c r="AH164" s="188">
        <f t="shared" si="85"/>
        <v>188566.65890959173</v>
      </c>
      <c r="AI164" s="188">
        <f t="shared" si="85"/>
        <v>211711.59468487947</v>
      </c>
      <c r="AJ164" s="188">
        <f t="shared" si="85"/>
        <v>232448.94612086911</v>
      </c>
      <c r="AK164" s="188">
        <f t="shared" si="85"/>
        <v>251226.3291482077</v>
      </c>
      <c r="AL164" s="188">
        <f t="shared" si="85"/>
        <v>268416.87983288628</v>
      </c>
      <c r="AM164" s="188">
        <f t="shared" si="86"/>
        <v>284331.86403769656</v>
      </c>
      <c r="AN164" s="188">
        <f t="shared" si="86"/>
        <v>299231.15823830332</v>
      </c>
      <c r="AO164" s="188">
        <f t="shared" si="86"/>
        <v>313331.96106313361</v>
      </c>
      <c r="AP164" s="188">
        <f t="shared" si="86"/>
        <v>326816.03439830127</v>
      </c>
      <c r="AQ164" s="188">
        <f t="shared" si="86"/>
        <v>339835.7224273191</v>
      </c>
      <c r="AR164" s="188">
        <f t="shared" si="86"/>
        <v>352518.95502817933</v>
      </c>
      <c r="AS164" s="188">
        <f t="shared" si="86"/>
        <v>364973.40708778606</v>
      </c>
      <c r="AT164" s="188">
        <f t="shared" si="86"/>
        <v>377289.95631919173</v>
      </c>
      <c r="AU164" s="188">
        <f t="shared" si="86"/>
        <v>389545.55808616069</v>
      </c>
      <c r="AV164" s="188">
        <f t="shared" si="86"/>
        <v>401805.63572576316</v>
      </c>
      <c r="AW164" s="188">
        <f t="shared" si="87"/>
        <v>414126.06822609861</v>
      </c>
      <c r="AX164" s="188">
        <f t="shared" si="87"/>
        <v>426554.8432919482</v>
      </c>
      <c r="AY164" s="188">
        <f t="shared" si="87"/>
        <v>439133.43234170933</v>
      </c>
      <c r="AZ164" s="188">
        <f t="shared" si="87"/>
        <v>451897.9344300201</v>
      </c>
      <c r="BA164" s="188">
        <f t="shared" si="87"/>
        <v>464880.02815430373</v>
      </c>
      <c r="BB164" s="188">
        <f t="shared" si="87"/>
        <v>478107.76400767354</v>
      </c>
      <c r="BC164" s="188">
        <f t="shared" si="87"/>
        <v>491606.22415885574</v>
      </c>
      <c r="BD164" s="188">
        <f t="shared" si="87"/>
        <v>505398.07208385319</v>
      </c>
      <c r="BE164" s="188">
        <f t="shared" si="87"/>
        <v>519504.01068763516</v>
      </c>
      <c r="BF164" s="188">
        <f t="shared" si="87"/>
        <v>533943.16440722835</v>
      </c>
      <c r="BG164" s="188">
        <f t="shared" si="88"/>
        <v>548733.39817218052</v>
      </c>
      <c r="BH164" s="188">
        <f t="shared" si="88"/>
        <v>563891.58392472623</v>
      </c>
      <c r="BI164" s="188">
        <f t="shared" si="88"/>
        <v>579433.82359547482</v>
      </c>
      <c r="BJ164" s="188">
        <f t="shared" si="88"/>
        <v>595375.63592906599</v>
      </c>
      <c r="BK164" s="188">
        <f t="shared" si="88"/>
        <v>611732.11330646742</v>
      </c>
      <c r="BL164" s="188">
        <f t="shared" si="88"/>
        <v>628518.0536735846</v>
      </c>
      <c r="BM164" s="188">
        <f t="shared" si="88"/>
        <v>645748.07182402187</v>
      </c>
      <c r="BN164" s="188">
        <f t="shared" si="88"/>
        <v>663436.69356759416</v>
      </c>
      <c r="BO164" s="188">
        <f t="shared" si="88"/>
        <v>681598.43572094257</v>
      </c>
      <c r="BP164" s="188">
        <f t="shared" si="88"/>
        <v>700247.87436193565</v>
      </c>
      <c r="BQ164" s="188">
        <f t="shared" si="89"/>
        <v>719399.70337844244</v>
      </c>
      <c r="BR164" s="188">
        <f t="shared" si="89"/>
        <v>739068.78500042891</v>
      </c>
      <c r="BS164" s="188">
        <f t="shared" si="89"/>
        <v>759270.19372044469</v>
      </c>
      <c r="BT164" s="188">
        <f t="shared" si="89"/>
        <v>780019.25477164902</v>
      </c>
      <c r="BU164" s="188">
        <f t="shared" si="89"/>
        <v>0</v>
      </c>
      <c r="BV164" s="188">
        <f t="shared" si="89"/>
        <v>0</v>
      </c>
      <c r="BW164" s="188">
        <f t="shared" si="89"/>
        <v>0</v>
      </c>
      <c r="BX164" s="188">
        <f t="shared" si="89"/>
        <v>0</v>
      </c>
      <c r="BY164" s="188">
        <f t="shared" si="89"/>
        <v>0</v>
      </c>
      <c r="BZ164" s="188">
        <f t="shared" si="89"/>
        <v>0</v>
      </c>
      <c r="CA164" s="188">
        <f t="shared" si="89"/>
        <v>0</v>
      </c>
      <c r="CB164" s="188">
        <f t="shared" si="89"/>
        <v>0</v>
      </c>
    </row>
    <row r="165" spans="2:80">
      <c r="B165" s="1">
        <v>2027</v>
      </c>
      <c r="C165" s="9">
        <f t="shared" si="70"/>
        <v>2040</v>
      </c>
      <c r="E165" s="188">
        <f t="shared" si="90"/>
        <v>0</v>
      </c>
      <c r="F165" s="188">
        <f t="shared" si="90"/>
        <v>0</v>
      </c>
      <c r="G165" s="188">
        <f t="shared" si="90"/>
        <v>0</v>
      </c>
      <c r="H165" s="188">
        <f t="shared" si="90"/>
        <v>0</v>
      </c>
      <c r="I165" s="188">
        <f t="shared" si="90"/>
        <v>0</v>
      </c>
      <c r="J165" s="188">
        <f t="shared" si="90"/>
        <v>0</v>
      </c>
      <c r="K165" s="188">
        <f t="shared" si="90"/>
        <v>0</v>
      </c>
      <c r="L165" s="188">
        <f t="shared" si="90"/>
        <v>0</v>
      </c>
      <c r="M165" s="188">
        <f t="shared" si="90"/>
        <v>0</v>
      </c>
      <c r="N165" s="188">
        <f t="shared" si="90"/>
        <v>0</v>
      </c>
      <c r="O165" s="188">
        <f t="shared" si="90"/>
        <v>0</v>
      </c>
      <c r="P165" s="188">
        <f t="shared" si="90"/>
        <v>0</v>
      </c>
      <c r="Q165" s="188">
        <f t="shared" si="90"/>
        <v>0</v>
      </c>
      <c r="R165" s="188">
        <f t="shared" si="90"/>
        <v>0</v>
      </c>
      <c r="S165" s="188">
        <f t="shared" si="84"/>
        <v>0</v>
      </c>
      <c r="T165" s="188">
        <f t="shared" si="84"/>
        <v>0</v>
      </c>
      <c r="U165" s="188">
        <f t="shared" si="84"/>
        <v>0</v>
      </c>
      <c r="V165" s="188">
        <f t="shared" si="84"/>
        <v>0</v>
      </c>
      <c r="W165" s="188">
        <f t="shared" si="84"/>
        <v>0</v>
      </c>
      <c r="X165" s="188">
        <f t="shared" si="84"/>
        <v>0</v>
      </c>
      <c r="Y165" s="188">
        <f t="shared" si="84"/>
        <v>0</v>
      </c>
      <c r="Z165" s="188">
        <f t="shared" si="84"/>
        <v>0</v>
      </c>
      <c r="AA165" s="188">
        <f t="shared" si="84"/>
        <v>0</v>
      </c>
      <c r="AB165" s="188">
        <f t="shared" si="84"/>
        <v>0</v>
      </c>
      <c r="AC165" s="188">
        <f t="shared" si="85"/>
        <v>0</v>
      </c>
      <c r="AD165" s="188">
        <f t="shared" si="85"/>
        <v>0</v>
      </c>
      <c r="AE165" s="188">
        <f t="shared" si="85"/>
        <v>0</v>
      </c>
      <c r="AF165" s="188">
        <f t="shared" si="85"/>
        <v>0</v>
      </c>
      <c r="AG165" s="188">
        <f t="shared" si="85"/>
        <v>136422.74050941694</v>
      </c>
      <c r="AH165" s="188">
        <f t="shared" si="85"/>
        <v>166912.8799187374</v>
      </c>
      <c r="AI165" s="188">
        <f t="shared" si="85"/>
        <v>193714.98069810591</v>
      </c>
      <c r="AJ165" s="188">
        <f t="shared" si="85"/>
        <v>217491.82869920661</v>
      </c>
      <c r="AK165" s="188">
        <f t="shared" si="85"/>
        <v>238795.35953749006</v>
      </c>
      <c r="AL165" s="188">
        <f t="shared" si="85"/>
        <v>258085.41013145971</v>
      </c>
      <c r="AM165" s="188">
        <f t="shared" si="86"/>
        <v>275745.30405612709</v>
      </c>
      <c r="AN165" s="188">
        <f t="shared" si="86"/>
        <v>292094.80547845236</v>
      </c>
      <c r="AO165" s="188">
        <f t="shared" si="86"/>
        <v>307400.88612481795</v>
      </c>
      <c r="AP165" s="188">
        <f t="shared" si="86"/>
        <v>321886.67466683924</v>
      </c>
      <c r="AQ165" s="188">
        <f t="shared" si="86"/>
        <v>335738.89552580984</v>
      </c>
      <c r="AR165" s="188">
        <f t="shared" si="86"/>
        <v>349114.05224662641</v>
      </c>
      <c r="AS165" s="188">
        <f t="shared" si="86"/>
        <v>362143.56749960233</v>
      </c>
      <c r="AT165" s="188">
        <f t="shared" si="86"/>
        <v>374938.05595415429</v>
      </c>
      <c r="AU165" s="188">
        <f t="shared" si="86"/>
        <v>387590.87650273775</v>
      </c>
      <c r="AV165" s="188">
        <f t="shared" si="86"/>
        <v>400181.08557501243</v>
      </c>
      <c r="AW165" s="188">
        <f t="shared" si="87"/>
        <v>412775.89272197231</v>
      </c>
      <c r="AX165" s="188">
        <f t="shared" si="87"/>
        <v>425432.7025620357</v>
      </c>
      <c r="AY165" s="188">
        <f t="shared" si="87"/>
        <v>438200.81297935231</v>
      </c>
      <c r="AZ165" s="188">
        <f t="shared" si="87"/>
        <v>451122.8276614502</v>
      </c>
      <c r="BA165" s="188">
        <f t="shared" si="87"/>
        <v>464235.8312536896</v>
      </c>
      <c r="BB165" s="188">
        <f t="shared" si="87"/>
        <v>477572.36725513788</v>
      </c>
      <c r="BC165" s="188">
        <f t="shared" si="87"/>
        <v>491161.25200460851</v>
      </c>
      <c r="BD165" s="188">
        <f t="shared" si="87"/>
        <v>505028.25247415667</v>
      </c>
      <c r="BE165" s="188">
        <f t="shared" si="87"/>
        <v>519196.65090700489</v>
      </c>
      <c r="BF165" s="188">
        <f t="shared" si="87"/>
        <v>533687.71544705378</v>
      </c>
      <c r="BG165" s="188">
        <f t="shared" si="88"/>
        <v>548521.09267430298</v>
      </c>
      <c r="BH165" s="188">
        <f t="shared" si="88"/>
        <v>563715.1352736993</v>
      </c>
      <c r="BI165" s="188">
        <f t="shared" si="88"/>
        <v>579287.17583194317</v>
      </c>
      <c r="BJ165" s="188">
        <f t="shared" si="88"/>
        <v>595253.75590094621</v>
      </c>
      <c r="BK165" s="188">
        <f t="shared" si="88"/>
        <v>611630.81792427599</v>
      </c>
      <c r="BL165" s="188">
        <f t="shared" si="88"/>
        <v>628433.86634107726</v>
      </c>
      <c r="BM165" s="188">
        <f t="shared" si="88"/>
        <v>645678.1031166499</v>
      </c>
      <c r="BN165" s="188">
        <f t="shared" si="88"/>
        <v>663378.54206349596</v>
      </c>
      <c r="BO165" s="188">
        <f t="shared" si="88"/>
        <v>681550.10558085702</v>
      </c>
      <c r="BP165" s="188">
        <f t="shared" si="88"/>
        <v>700207.70682926569</v>
      </c>
      <c r="BQ165" s="188">
        <f t="shared" si="89"/>
        <v>719366.31984845584</v>
      </c>
      <c r="BR165" s="188">
        <f t="shared" si="89"/>
        <v>739041.03970465693</v>
      </c>
      <c r="BS165" s="188">
        <f t="shared" si="89"/>
        <v>759247.13440233818</v>
      </c>
      <c r="BT165" s="188">
        <f t="shared" si="89"/>
        <v>780000.09000383015</v>
      </c>
      <c r="BU165" s="188">
        <f t="shared" si="89"/>
        <v>801315.6501578918</v>
      </c>
      <c r="BV165" s="188">
        <f t="shared" si="89"/>
        <v>0</v>
      </c>
      <c r="BW165" s="188">
        <f t="shared" si="89"/>
        <v>0</v>
      </c>
      <c r="BX165" s="188">
        <f t="shared" si="89"/>
        <v>0</v>
      </c>
      <c r="BY165" s="188">
        <f t="shared" si="89"/>
        <v>0</v>
      </c>
      <c r="BZ165" s="188">
        <f t="shared" si="89"/>
        <v>0</v>
      </c>
      <c r="CA165" s="188">
        <f t="shared" si="89"/>
        <v>0</v>
      </c>
      <c r="CB165" s="188">
        <f t="shared" si="89"/>
        <v>0</v>
      </c>
    </row>
    <row r="166" spans="2:80">
      <c r="B166" s="1">
        <v>2028</v>
      </c>
      <c r="C166" s="9">
        <f t="shared" si="70"/>
        <v>2041</v>
      </c>
      <c r="E166" s="188">
        <f t="shared" si="90"/>
        <v>0</v>
      </c>
      <c r="F166" s="188">
        <f t="shared" si="90"/>
        <v>0</v>
      </c>
      <c r="G166" s="188">
        <f t="shared" si="90"/>
        <v>0</v>
      </c>
      <c r="H166" s="188">
        <f t="shared" si="90"/>
        <v>0</v>
      </c>
      <c r="I166" s="188">
        <f t="shared" si="90"/>
        <v>0</v>
      </c>
      <c r="J166" s="188">
        <f t="shared" si="90"/>
        <v>0</v>
      </c>
      <c r="K166" s="188">
        <f t="shared" si="90"/>
        <v>0</v>
      </c>
      <c r="L166" s="188">
        <f t="shared" si="90"/>
        <v>0</v>
      </c>
      <c r="M166" s="188">
        <f t="shared" si="90"/>
        <v>0</v>
      </c>
      <c r="N166" s="188">
        <f t="shared" si="90"/>
        <v>0</v>
      </c>
      <c r="O166" s="188">
        <f t="shared" si="90"/>
        <v>0</v>
      </c>
      <c r="P166" s="188">
        <f t="shared" si="90"/>
        <v>0</v>
      </c>
      <c r="Q166" s="188">
        <f t="shared" si="90"/>
        <v>0</v>
      </c>
      <c r="R166" s="188">
        <f t="shared" si="90"/>
        <v>0</v>
      </c>
      <c r="S166" s="188">
        <f t="shared" si="84"/>
        <v>0</v>
      </c>
      <c r="T166" s="188">
        <f t="shared" si="84"/>
        <v>0</v>
      </c>
      <c r="U166" s="188">
        <f t="shared" si="84"/>
        <v>0</v>
      </c>
      <c r="V166" s="188">
        <f t="shared" si="84"/>
        <v>0</v>
      </c>
      <c r="W166" s="188">
        <f t="shared" si="84"/>
        <v>0</v>
      </c>
      <c r="X166" s="188">
        <f t="shared" si="84"/>
        <v>0</v>
      </c>
      <c r="Y166" s="188">
        <f t="shared" si="84"/>
        <v>0</v>
      </c>
      <c r="Z166" s="188">
        <f t="shared" si="84"/>
        <v>0</v>
      </c>
      <c r="AA166" s="188">
        <f t="shared" si="84"/>
        <v>0</v>
      </c>
      <c r="AB166" s="188">
        <f t="shared" si="84"/>
        <v>0</v>
      </c>
      <c r="AC166" s="188">
        <f t="shared" si="85"/>
        <v>0</v>
      </c>
      <c r="AD166" s="188">
        <f t="shared" si="85"/>
        <v>0</v>
      </c>
      <c r="AE166" s="188">
        <f t="shared" si="85"/>
        <v>0</v>
      </c>
      <c r="AF166" s="188">
        <f t="shared" si="85"/>
        <v>0</v>
      </c>
      <c r="AG166" s="188">
        <f t="shared" si="85"/>
        <v>0</v>
      </c>
      <c r="AH166" s="188">
        <f t="shared" si="85"/>
        <v>140147.40833497452</v>
      </c>
      <c r="AI166" s="188">
        <f t="shared" si="85"/>
        <v>171470.00163600387</v>
      </c>
      <c r="AJ166" s="188">
        <f t="shared" si="85"/>
        <v>199003.86401213767</v>
      </c>
      <c r="AK166" s="188">
        <f t="shared" si="85"/>
        <v>223429.87695752972</v>
      </c>
      <c r="AL166" s="188">
        <f t="shared" si="85"/>
        <v>245315.04525293974</v>
      </c>
      <c r="AM166" s="188">
        <f t="shared" si="86"/>
        <v>265131.76046698989</v>
      </c>
      <c r="AN166" s="188">
        <f t="shared" si="86"/>
        <v>283273.81182712846</v>
      </c>
      <c r="AO166" s="188">
        <f t="shared" si="86"/>
        <v>300069.69382855837</v>
      </c>
      <c r="AP166" s="188">
        <f t="shared" si="86"/>
        <v>315793.66716573219</v>
      </c>
      <c r="AQ166" s="188">
        <f t="shared" si="86"/>
        <v>330674.95245784678</v>
      </c>
      <c r="AR166" s="188">
        <f t="shared" si="86"/>
        <v>344905.3721504815</v>
      </c>
      <c r="AS166" s="188">
        <f t="shared" si="86"/>
        <v>358645.70271045272</v>
      </c>
      <c r="AT166" s="188">
        <f t="shared" si="86"/>
        <v>372030.95496199757</v>
      </c>
      <c r="AU166" s="188">
        <f t="shared" si="86"/>
        <v>385174.76362015476</v>
      </c>
      <c r="AV166" s="188">
        <f t="shared" si="86"/>
        <v>398173.03649892809</v>
      </c>
      <c r="AW166" s="188">
        <f t="shared" si="87"/>
        <v>411106.98845800763</v>
      </c>
      <c r="AX166" s="188">
        <f t="shared" si="87"/>
        <v>424045.66403023317</v>
      </c>
      <c r="AY166" s="188">
        <f t="shared" si="87"/>
        <v>437048.03511770617</v>
      </c>
      <c r="AZ166" s="188">
        <f t="shared" si="87"/>
        <v>450164.74555498257</v>
      </c>
      <c r="BA166" s="188">
        <f t="shared" si="87"/>
        <v>463439.56221238215</v>
      </c>
      <c r="BB166" s="188">
        <f t="shared" si="87"/>
        <v>476910.58223497658</v>
      </c>
      <c r="BC166" s="188">
        <f t="shared" si="87"/>
        <v>490611.23763736564</v>
      </c>
      <c r="BD166" s="188">
        <f t="shared" si="87"/>
        <v>504571.13151348609</v>
      </c>
      <c r="BE166" s="188">
        <f t="shared" si="87"/>
        <v>518816.73433549423</v>
      </c>
      <c r="BF166" s="188">
        <f t="shared" si="87"/>
        <v>533371.9640076611</v>
      </c>
      <c r="BG166" s="188">
        <f t="shared" si="88"/>
        <v>548258.66934519622</v>
      </c>
      <c r="BH166" s="188">
        <f t="shared" si="88"/>
        <v>563497.03332682664</v>
      </c>
      <c r="BI166" s="188">
        <f t="shared" si="88"/>
        <v>579105.90970979002</v>
      </c>
      <c r="BJ166" s="188">
        <f t="shared" si="88"/>
        <v>595103.10430195066</v>
      </c>
      <c r="BK166" s="188">
        <f t="shared" si="88"/>
        <v>611505.6102792382</v>
      </c>
      <c r="BL166" s="188">
        <f t="shared" si="88"/>
        <v>628329.80535214371</v>
      </c>
      <c r="BM166" s="188">
        <f t="shared" si="88"/>
        <v>645591.61726816534</v>
      </c>
      <c r="BN166" s="188">
        <f t="shared" si="88"/>
        <v>663306.66304269549</v>
      </c>
      <c r="BO166" s="188">
        <f t="shared" si="88"/>
        <v>681490.366401306</v>
      </c>
      <c r="BP166" s="188">
        <f t="shared" si="88"/>
        <v>700158.05716050696</v>
      </c>
      <c r="BQ166" s="188">
        <f t="shared" si="89"/>
        <v>719325.05564586131</v>
      </c>
      <c r="BR166" s="188">
        <f t="shared" si="89"/>
        <v>739006.74472428043</v>
      </c>
      <c r="BS166" s="188">
        <f t="shared" si="89"/>
        <v>759218.63159348536</v>
      </c>
      <c r="BT166" s="188">
        <f t="shared" si="89"/>
        <v>779976.40111106541</v>
      </c>
      <c r="BU166" s="188">
        <f t="shared" si="89"/>
        <v>801295.962145973</v>
      </c>
      <c r="BV166" s="188">
        <f t="shared" si="89"/>
        <v>823193.48818631656</v>
      </c>
      <c r="BW166" s="188">
        <f t="shared" si="89"/>
        <v>0</v>
      </c>
      <c r="BX166" s="188">
        <f t="shared" si="89"/>
        <v>0</v>
      </c>
      <c r="BY166" s="188">
        <f t="shared" si="89"/>
        <v>0</v>
      </c>
      <c r="BZ166" s="188">
        <f t="shared" si="89"/>
        <v>0</v>
      </c>
      <c r="CA166" s="188">
        <f t="shared" si="89"/>
        <v>0</v>
      </c>
      <c r="CB166" s="188">
        <f t="shared" si="89"/>
        <v>0</v>
      </c>
    </row>
    <row r="167" spans="2:80">
      <c r="B167" s="1">
        <v>2029</v>
      </c>
      <c r="C167" s="9">
        <f t="shared" si="70"/>
        <v>2042</v>
      </c>
      <c r="E167" s="188">
        <f t="shared" si="90"/>
        <v>0</v>
      </c>
      <c r="F167" s="188">
        <f t="shared" si="90"/>
        <v>0</v>
      </c>
      <c r="G167" s="188">
        <f t="shared" si="90"/>
        <v>0</v>
      </c>
      <c r="H167" s="188">
        <f t="shared" si="90"/>
        <v>0</v>
      </c>
      <c r="I167" s="188">
        <f t="shared" si="90"/>
        <v>0</v>
      </c>
      <c r="J167" s="188">
        <f t="shared" si="90"/>
        <v>0</v>
      </c>
      <c r="K167" s="188">
        <f t="shared" si="90"/>
        <v>0</v>
      </c>
      <c r="L167" s="188">
        <f t="shared" si="90"/>
        <v>0</v>
      </c>
      <c r="M167" s="188">
        <f t="shared" si="90"/>
        <v>0</v>
      </c>
      <c r="N167" s="188">
        <f t="shared" si="90"/>
        <v>0</v>
      </c>
      <c r="O167" s="188">
        <f t="shared" si="90"/>
        <v>0</v>
      </c>
      <c r="P167" s="188">
        <f t="shared" si="90"/>
        <v>0</v>
      </c>
      <c r="Q167" s="188">
        <f t="shared" si="90"/>
        <v>0</v>
      </c>
      <c r="R167" s="188">
        <f t="shared" si="90"/>
        <v>0</v>
      </c>
      <c r="S167" s="188">
        <f t="shared" si="84"/>
        <v>0</v>
      </c>
      <c r="T167" s="188">
        <f t="shared" si="84"/>
        <v>0</v>
      </c>
      <c r="U167" s="188">
        <f t="shared" si="84"/>
        <v>0</v>
      </c>
      <c r="V167" s="188">
        <f t="shared" si="84"/>
        <v>0</v>
      </c>
      <c r="W167" s="188">
        <f t="shared" si="84"/>
        <v>0</v>
      </c>
      <c r="X167" s="188">
        <f t="shared" si="84"/>
        <v>0</v>
      </c>
      <c r="Y167" s="188">
        <f t="shared" si="84"/>
        <v>0</v>
      </c>
      <c r="Z167" s="188">
        <f t="shared" si="84"/>
        <v>0</v>
      </c>
      <c r="AA167" s="188">
        <f t="shared" si="84"/>
        <v>0</v>
      </c>
      <c r="AB167" s="188">
        <f t="shared" si="84"/>
        <v>0</v>
      </c>
      <c r="AC167" s="188">
        <f t="shared" si="85"/>
        <v>0</v>
      </c>
      <c r="AD167" s="188">
        <f t="shared" si="85"/>
        <v>0</v>
      </c>
      <c r="AE167" s="188">
        <f t="shared" si="85"/>
        <v>0</v>
      </c>
      <c r="AF167" s="188">
        <f t="shared" si="85"/>
        <v>0</v>
      </c>
      <c r="AG167" s="188">
        <f t="shared" si="85"/>
        <v>0</v>
      </c>
      <c r="AH167" s="188">
        <f t="shared" si="85"/>
        <v>0</v>
      </c>
      <c r="AI167" s="188">
        <f t="shared" si="85"/>
        <v>143973.76852031713</v>
      </c>
      <c r="AJ167" s="188">
        <f t="shared" si="85"/>
        <v>176151.54369971753</v>
      </c>
      <c r="AK167" s="188">
        <f t="shared" si="85"/>
        <v>204437.14651826408</v>
      </c>
      <c r="AL167" s="188">
        <f t="shared" si="85"/>
        <v>229530.04816699575</v>
      </c>
      <c r="AM167" s="188">
        <f t="shared" si="86"/>
        <v>252012.73401631531</v>
      </c>
      <c r="AN167" s="188">
        <f t="shared" si="86"/>
        <v>272370.49305700604</v>
      </c>
      <c r="AO167" s="188">
        <f t="shared" si="86"/>
        <v>291007.86590635084</v>
      </c>
      <c r="AP167" s="188">
        <f t="shared" si="86"/>
        <v>308262.31574668345</v>
      </c>
      <c r="AQ167" s="188">
        <f t="shared" si="86"/>
        <v>324415.59124682663</v>
      </c>
      <c r="AR167" s="188">
        <f t="shared" si="86"/>
        <v>339703.17129833036</v>
      </c>
      <c r="AS167" s="188">
        <f t="shared" si="86"/>
        <v>354322.11555934296</v>
      </c>
      <c r="AT167" s="188">
        <f t="shared" si="86"/>
        <v>368437.59007961093</v>
      </c>
      <c r="AU167" s="188">
        <f t="shared" si="86"/>
        <v>382188.29180249857</v>
      </c>
      <c r="AV167" s="188">
        <f t="shared" si="86"/>
        <v>395690.95794315106</v>
      </c>
      <c r="AW167" s="188">
        <f t="shared" si="87"/>
        <v>409044.11482878862</v>
      </c>
      <c r="AX167" s="188">
        <f t="shared" si="87"/>
        <v>422331.19467944559</v>
      </c>
      <c r="AY167" s="188">
        <f t="shared" si="87"/>
        <v>435623.12710920995</v>
      </c>
      <c r="AZ167" s="188">
        <f t="shared" si="87"/>
        <v>448980.4940944683</v>
      </c>
      <c r="BA167" s="188">
        <f t="shared" si="87"/>
        <v>462455.3221678547</v>
      </c>
      <c r="BB167" s="188">
        <f t="shared" si="87"/>
        <v>476092.57314015919</v>
      </c>
      <c r="BC167" s="188">
        <f t="shared" si="87"/>
        <v>489931.3842998342</v>
      </c>
      <c r="BD167" s="188">
        <f t="shared" si="87"/>
        <v>504006.10043561552</v>
      </c>
      <c r="BE167" s="188">
        <f t="shared" si="87"/>
        <v>518347.13287686382</v>
      </c>
      <c r="BF167" s="188">
        <f t="shared" si="87"/>
        <v>532981.6748030762</v>
      </c>
      <c r="BG167" s="188">
        <f t="shared" si="88"/>
        <v>547934.29713464202</v>
      </c>
      <c r="BH167" s="188">
        <f t="shared" si="88"/>
        <v>563227.4452117983</v>
      </c>
      <c r="BI167" s="188">
        <f t="shared" si="88"/>
        <v>578881.8530569704</v>
      </c>
      <c r="BJ167" s="188">
        <f t="shared" si="88"/>
        <v>594916.88918016222</v>
      </c>
      <c r="BK167" s="188">
        <f t="shared" si="88"/>
        <v>611350.84553047339</v>
      </c>
      <c r="BL167" s="188">
        <f t="shared" si="88"/>
        <v>628201.17923826969</v>
      </c>
      <c r="BM167" s="188">
        <f t="shared" si="88"/>
        <v>645484.71516479645</v>
      </c>
      <c r="BN167" s="188">
        <f t="shared" si="88"/>
        <v>663217.81592323806</v>
      </c>
      <c r="BO167" s="188">
        <f t="shared" si="88"/>
        <v>681416.52491094137</v>
      </c>
      <c r="BP167" s="188">
        <f t="shared" si="88"/>
        <v>700096.68695815746</v>
      </c>
      <c r="BQ167" s="188">
        <f t="shared" si="89"/>
        <v>719274.05042213365</v>
      </c>
      <c r="BR167" s="188">
        <f t="shared" si="89"/>
        <v>738964.35391004325</v>
      </c>
      <c r="BS167" s="188">
        <f t="shared" si="89"/>
        <v>759183.40027793834</v>
      </c>
      <c r="BT167" s="188">
        <f t="shared" si="89"/>
        <v>779947.12010720861</v>
      </c>
      <c r="BU167" s="188">
        <f t="shared" si="89"/>
        <v>801271.62648965279</v>
      </c>
      <c r="BV167" s="188">
        <f t="shared" si="89"/>
        <v>823173.26264447963</v>
      </c>
      <c r="BW167" s="188">
        <f t="shared" si="89"/>
        <v>845668.64363479125</v>
      </c>
      <c r="BX167" s="188">
        <f t="shared" si="89"/>
        <v>0</v>
      </c>
      <c r="BY167" s="188">
        <f t="shared" si="89"/>
        <v>0</v>
      </c>
      <c r="BZ167" s="188">
        <f t="shared" si="89"/>
        <v>0</v>
      </c>
      <c r="CA167" s="188">
        <f t="shared" si="89"/>
        <v>0</v>
      </c>
      <c r="CB167" s="188">
        <f t="shared" si="89"/>
        <v>0</v>
      </c>
    </row>
    <row r="168" spans="2:80">
      <c r="B168" s="1">
        <v>2030</v>
      </c>
      <c r="C168" s="9">
        <f t="shared" si="70"/>
        <v>2043</v>
      </c>
      <c r="E168" s="188">
        <f t="shared" si="90"/>
        <v>0</v>
      </c>
      <c r="F168" s="188">
        <f t="shared" si="90"/>
        <v>0</v>
      </c>
      <c r="G168" s="188">
        <f t="shared" si="90"/>
        <v>0</v>
      </c>
      <c r="H168" s="188">
        <f t="shared" si="90"/>
        <v>0</v>
      </c>
      <c r="I168" s="188">
        <f t="shared" si="90"/>
        <v>0</v>
      </c>
      <c r="J168" s="188">
        <f t="shared" si="90"/>
        <v>0</v>
      </c>
      <c r="K168" s="188">
        <f t="shared" si="90"/>
        <v>0</v>
      </c>
      <c r="L168" s="188">
        <f t="shared" si="90"/>
        <v>0</v>
      </c>
      <c r="M168" s="188">
        <f t="shared" si="90"/>
        <v>0</v>
      </c>
      <c r="N168" s="188">
        <f t="shared" si="90"/>
        <v>0</v>
      </c>
      <c r="O168" s="188">
        <f t="shared" si="90"/>
        <v>0</v>
      </c>
      <c r="P168" s="188">
        <f t="shared" si="90"/>
        <v>0</v>
      </c>
      <c r="Q168" s="188">
        <f t="shared" si="90"/>
        <v>0</v>
      </c>
      <c r="R168" s="188">
        <f t="shared" si="90"/>
        <v>0</v>
      </c>
      <c r="S168" s="188">
        <f t="shared" si="84"/>
        <v>0</v>
      </c>
      <c r="T168" s="188">
        <f t="shared" si="84"/>
        <v>0</v>
      </c>
      <c r="U168" s="188">
        <f t="shared" si="84"/>
        <v>0</v>
      </c>
      <c r="V168" s="188">
        <f t="shared" si="84"/>
        <v>0</v>
      </c>
      <c r="W168" s="188">
        <f t="shared" si="84"/>
        <v>0</v>
      </c>
      <c r="X168" s="188">
        <f t="shared" si="84"/>
        <v>0</v>
      </c>
      <c r="Y168" s="188">
        <f t="shared" si="84"/>
        <v>0</v>
      </c>
      <c r="Z168" s="188">
        <f t="shared" si="84"/>
        <v>0</v>
      </c>
      <c r="AA168" s="188">
        <f t="shared" si="84"/>
        <v>0</v>
      </c>
      <c r="AB168" s="188">
        <f t="shared" si="84"/>
        <v>0</v>
      </c>
      <c r="AC168" s="188">
        <f t="shared" si="85"/>
        <v>0</v>
      </c>
      <c r="AD168" s="188">
        <f t="shared" si="85"/>
        <v>0</v>
      </c>
      <c r="AE168" s="188">
        <f t="shared" si="85"/>
        <v>0</v>
      </c>
      <c r="AF168" s="188">
        <f t="shared" si="85"/>
        <v>0</v>
      </c>
      <c r="AG168" s="188">
        <f t="shared" si="85"/>
        <v>0</v>
      </c>
      <c r="AH168" s="188">
        <f t="shared" si="85"/>
        <v>0</v>
      </c>
      <c r="AI168" s="188">
        <f t="shared" si="85"/>
        <v>0</v>
      </c>
      <c r="AJ168" s="188">
        <f t="shared" si="85"/>
        <v>147904.59751062671</v>
      </c>
      <c r="AK168" s="188">
        <f t="shared" si="85"/>
        <v>180960.90308357589</v>
      </c>
      <c r="AL168" s="188">
        <f t="shared" si="85"/>
        <v>210018.77066055886</v>
      </c>
      <c r="AM168" s="188">
        <f t="shared" si="86"/>
        <v>235796.7686727847</v>
      </c>
      <c r="AN168" s="188">
        <f t="shared" si="86"/>
        <v>258893.28573750413</v>
      </c>
      <c r="AO168" s="188">
        <f t="shared" si="86"/>
        <v>279806.86039820209</v>
      </c>
      <c r="AP168" s="188">
        <f t="shared" si="86"/>
        <v>298953.07820070977</v>
      </c>
      <c r="AQ168" s="188">
        <f t="shared" si="86"/>
        <v>316678.61588114884</v>
      </c>
      <c r="AR168" s="188">
        <f t="shared" si="86"/>
        <v>333272.9145223613</v>
      </c>
      <c r="AS168" s="188">
        <f t="shared" si="86"/>
        <v>348977.88215408707</v>
      </c>
      <c r="AT168" s="188">
        <f t="shared" si="86"/>
        <v>363995.95863549993</v>
      </c>
      <c r="AU168" s="188">
        <f t="shared" si="86"/>
        <v>378496.81944541284</v>
      </c>
      <c r="AV168" s="188">
        <f t="shared" si="86"/>
        <v>392622.94828620495</v>
      </c>
      <c r="AW168" s="188">
        <f t="shared" si="87"/>
        <v>406494.26957881765</v>
      </c>
      <c r="AX168" s="188">
        <f t="shared" si="87"/>
        <v>420211.99965537514</v>
      </c>
      <c r="AY168" s="188">
        <f t="shared" si="87"/>
        <v>433861.84863550827</v>
      </c>
      <c r="AZ168" s="188">
        <f t="shared" si="87"/>
        <v>447516.6826817902</v>
      </c>
      <c r="BA168" s="188">
        <f t="shared" si="87"/>
        <v>461238.73780377989</v>
      </c>
      <c r="BB168" s="188">
        <f t="shared" si="87"/>
        <v>475081.46098316141</v>
      </c>
      <c r="BC168" s="188">
        <f t="shared" si="87"/>
        <v>489091.04159593437</v>
      </c>
      <c r="BD168" s="188">
        <f t="shared" si="87"/>
        <v>503307.68547233933</v>
      </c>
      <c r="BE168" s="188">
        <f t="shared" si="87"/>
        <v>517766.67509616993</v>
      </c>
      <c r="BF168" s="188">
        <f t="shared" si="87"/>
        <v>532499.25209897559</v>
      </c>
      <c r="BG168" s="188">
        <f t="shared" si="88"/>
        <v>547533.3520992361</v>
      </c>
      <c r="BH168" s="188">
        <f t="shared" si="88"/>
        <v>562894.21686236525</v>
      </c>
      <c r="BI168" s="188">
        <f t="shared" si="88"/>
        <v>578604.90454019047</v>
      </c>
      <c r="BJ168" s="188">
        <f t="shared" si="88"/>
        <v>594686.71524364979</v>
      </c>
      <c r="BK168" s="188">
        <f t="shared" si="88"/>
        <v>611159.54628949659</v>
      </c>
      <c r="BL168" s="188">
        <f t="shared" si="88"/>
        <v>628042.18904088752</v>
      </c>
      <c r="BM168" s="188">
        <f t="shared" si="88"/>
        <v>645352.57724969287</v>
      </c>
      <c r="BN168" s="188">
        <f t="shared" si="88"/>
        <v>663107.9951361994</v>
      </c>
      <c r="BO168" s="188">
        <f t="shared" si="88"/>
        <v>681325.25205215323</v>
      </c>
      <c r="BP168" s="188">
        <f t="shared" si="88"/>
        <v>700020.82941810554</v>
      </c>
      <c r="BQ168" s="188">
        <f t="shared" si="89"/>
        <v>719211.00466615369</v>
      </c>
      <c r="BR168" s="188">
        <f t="shared" si="89"/>
        <v>738911.95612144668</v>
      </c>
      <c r="BS168" s="188">
        <f t="shared" si="89"/>
        <v>759139.8520928605</v>
      </c>
      <c r="BT168" s="188">
        <f t="shared" si="89"/>
        <v>779910.92689229664</v>
      </c>
      <c r="BU168" s="188">
        <f t="shared" si="89"/>
        <v>801241.54604420322</v>
      </c>
      <c r="BV168" s="188">
        <f t="shared" si="89"/>
        <v>823148.26256640849</v>
      </c>
      <c r="BW168" s="188">
        <f t="shared" si="89"/>
        <v>845647.8658871809</v>
      </c>
      <c r="BX168" s="188">
        <f t="shared" si="89"/>
        <v>868757.42470067227</v>
      </c>
      <c r="BY168" s="188">
        <f t="shared" si="89"/>
        <v>0</v>
      </c>
      <c r="BZ168" s="188">
        <f t="shared" si="89"/>
        <v>0</v>
      </c>
      <c r="CA168" s="188">
        <f t="shared" si="89"/>
        <v>0</v>
      </c>
      <c r="CB168" s="188">
        <f t="shared" si="89"/>
        <v>0</v>
      </c>
    </row>
    <row r="169" spans="2:80">
      <c r="B169" s="1">
        <v>2031</v>
      </c>
      <c r="C169" s="9">
        <f t="shared" si="70"/>
        <v>2044</v>
      </c>
      <c r="E169" s="188">
        <f t="shared" si="90"/>
        <v>0</v>
      </c>
      <c r="F169" s="188">
        <f t="shared" si="90"/>
        <v>0</v>
      </c>
      <c r="G169" s="188">
        <f t="shared" si="90"/>
        <v>0</v>
      </c>
      <c r="H169" s="188">
        <f t="shared" si="90"/>
        <v>0</v>
      </c>
      <c r="I169" s="188">
        <f t="shared" si="90"/>
        <v>0</v>
      </c>
      <c r="J169" s="188">
        <f t="shared" si="90"/>
        <v>0</v>
      </c>
      <c r="K169" s="188">
        <f t="shared" si="90"/>
        <v>0</v>
      </c>
      <c r="L169" s="188">
        <f t="shared" si="90"/>
        <v>0</v>
      </c>
      <c r="M169" s="188">
        <f t="shared" si="90"/>
        <v>0</v>
      </c>
      <c r="N169" s="188">
        <f t="shared" si="90"/>
        <v>0</v>
      </c>
      <c r="O169" s="188">
        <f t="shared" si="90"/>
        <v>0</v>
      </c>
      <c r="P169" s="188">
        <f t="shared" si="90"/>
        <v>0</v>
      </c>
      <c r="Q169" s="188">
        <f t="shared" si="90"/>
        <v>0</v>
      </c>
      <c r="R169" s="188">
        <f t="shared" si="90"/>
        <v>0</v>
      </c>
      <c r="S169" s="188">
        <f t="shared" si="84"/>
        <v>0</v>
      </c>
      <c r="T169" s="188">
        <f t="shared" si="84"/>
        <v>0</v>
      </c>
      <c r="U169" s="188">
        <f t="shared" si="84"/>
        <v>0</v>
      </c>
      <c r="V169" s="188">
        <f t="shared" si="84"/>
        <v>0</v>
      </c>
      <c r="W169" s="188">
        <f t="shared" si="84"/>
        <v>0</v>
      </c>
      <c r="X169" s="188">
        <f t="shared" si="84"/>
        <v>0</v>
      </c>
      <c r="Y169" s="188">
        <f t="shared" si="84"/>
        <v>0</v>
      </c>
      <c r="Z169" s="188">
        <f t="shared" si="84"/>
        <v>0</v>
      </c>
      <c r="AA169" s="188">
        <f t="shared" si="84"/>
        <v>0</v>
      </c>
      <c r="AB169" s="188">
        <f t="shared" si="84"/>
        <v>0</v>
      </c>
      <c r="AC169" s="188">
        <f t="shared" si="85"/>
        <v>0</v>
      </c>
      <c r="AD169" s="188">
        <f t="shared" si="85"/>
        <v>0</v>
      </c>
      <c r="AE169" s="188">
        <f t="shared" si="85"/>
        <v>0</v>
      </c>
      <c r="AF169" s="188">
        <f t="shared" si="85"/>
        <v>0</v>
      </c>
      <c r="AG169" s="188">
        <f t="shared" si="85"/>
        <v>0</v>
      </c>
      <c r="AH169" s="188">
        <f t="shared" si="85"/>
        <v>0</v>
      </c>
      <c r="AI169" s="188">
        <f t="shared" si="85"/>
        <v>0</v>
      </c>
      <c r="AJ169" s="188">
        <f t="shared" si="85"/>
        <v>0</v>
      </c>
      <c r="AK169" s="188">
        <f t="shared" si="85"/>
        <v>151942.74755469392</v>
      </c>
      <c r="AL169" s="188">
        <f t="shared" si="85"/>
        <v>185901.56950680102</v>
      </c>
      <c r="AM169" s="188">
        <f t="shared" si="86"/>
        <v>215752.78652126898</v>
      </c>
      <c r="AN169" s="188">
        <f t="shared" si="86"/>
        <v>242234.58566991022</v>
      </c>
      <c r="AO169" s="188">
        <f t="shared" si="86"/>
        <v>265961.6930135829</v>
      </c>
      <c r="AP169" s="188">
        <f t="shared" si="86"/>
        <v>287446.25839302182</v>
      </c>
      <c r="AQ169" s="188">
        <f t="shared" si="86"/>
        <v>307115.21383563144</v>
      </c>
      <c r="AR169" s="188">
        <f t="shared" si="86"/>
        <v>325324.70118342445</v>
      </c>
      <c r="AS169" s="188">
        <f t="shared" si="86"/>
        <v>342372.06395460392</v>
      </c>
      <c r="AT169" s="188">
        <f t="shared" si="86"/>
        <v>358505.81484798295</v>
      </c>
      <c r="AU169" s="188">
        <f t="shared" si="86"/>
        <v>373933.9208161456</v>
      </c>
      <c r="AV169" s="188">
        <f t="shared" si="86"/>
        <v>388830.68988519401</v>
      </c>
      <c r="AW169" s="188">
        <f t="shared" si="87"/>
        <v>403342.49590412009</v>
      </c>
      <c r="AX169" s="188">
        <f t="shared" si="87"/>
        <v>417592.53751801979</v>
      </c>
      <c r="AY169" s="188">
        <f t="shared" si="87"/>
        <v>431684.79450750281</v>
      </c>
      <c r="AZ169" s="188">
        <f t="shared" si="87"/>
        <v>445707.31708391599</v>
      </c>
      <c r="BA169" s="188">
        <f t="shared" si="87"/>
        <v>459734.96083073318</v>
      </c>
      <c r="BB169" s="188">
        <f t="shared" si="87"/>
        <v>473831.66094975593</v>
      </c>
      <c r="BC169" s="188">
        <f t="shared" si="87"/>
        <v>488052.3236533826</v>
      </c>
      <c r="BD169" s="188">
        <f t="shared" si="87"/>
        <v>502444.39939829486</v>
      </c>
      <c r="BE169" s="188">
        <f t="shared" si="87"/>
        <v>517049.19173027348</v>
      </c>
      <c r="BF169" s="188">
        <f t="shared" si="87"/>
        <v>531902.94642949291</v>
      </c>
      <c r="BG169" s="188">
        <f t="shared" si="88"/>
        <v>547037.75809893105</v>
      </c>
      <c r="BH169" s="188">
        <f t="shared" si="88"/>
        <v>562482.32506641489</v>
      </c>
      <c r="BI169" s="188">
        <f t="shared" si="88"/>
        <v>578262.5782580591</v>
      </c>
      <c r="BJ169" s="188">
        <f t="shared" si="88"/>
        <v>594402.20536850742</v>
      </c>
      <c r="BK169" s="188">
        <f t="shared" si="88"/>
        <v>610923.08805278304</v>
      </c>
      <c r="BL169" s="188">
        <f t="shared" si="88"/>
        <v>627845.6668720817</v>
      </c>
      <c r="BM169" s="188">
        <f t="shared" si="88"/>
        <v>645189.24623881769</v>
      </c>
      <c r="BN169" s="188">
        <f t="shared" si="88"/>
        <v>662972.24953927461</v>
      </c>
      <c r="BO169" s="188">
        <f t="shared" si="88"/>
        <v>681212.4328943846</v>
      </c>
      <c r="BP169" s="188">
        <f t="shared" si="88"/>
        <v>699927.06459148868</v>
      </c>
      <c r="BQ169" s="188">
        <f t="shared" si="89"/>
        <v>719133.07603342528</v>
      </c>
      <c r="BR169" s="188">
        <f t="shared" si="89"/>
        <v>738847.18906520586</v>
      </c>
      <c r="BS169" s="188">
        <f t="shared" si="89"/>
        <v>759086.02371903602</v>
      </c>
      <c r="BT169" s="188">
        <f t="shared" si="89"/>
        <v>779866.18973737978</v>
      </c>
      <c r="BU169" s="188">
        <f t="shared" si="89"/>
        <v>801204.36466776789</v>
      </c>
      <c r="BV169" s="188">
        <f t="shared" si="89"/>
        <v>823117.36085269437</v>
      </c>
      <c r="BW169" s="188">
        <f t="shared" si="89"/>
        <v>845622.18324705237</v>
      </c>
      <c r="BX169" s="188">
        <f t="shared" si="89"/>
        <v>868736.07967074716</v>
      </c>
      <c r="BY169" s="188">
        <f t="shared" si="89"/>
        <v>892476.58483419474</v>
      </c>
      <c r="BZ169" s="188">
        <f t="shared" si="89"/>
        <v>0</v>
      </c>
      <c r="CA169" s="188">
        <f t="shared" si="89"/>
        <v>0</v>
      </c>
      <c r="CB169" s="188">
        <f t="shared" si="89"/>
        <v>0</v>
      </c>
    </row>
    <row r="170" spans="2:80">
      <c r="B170" s="1">
        <v>2032</v>
      </c>
      <c r="C170" s="9">
        <f t="shared" si="70"/>
        <v>2045</v>
      </c>
      <c r="E170" s="189">
        <f t="shared" si="90"/>
        <v>0</v>
      </c>
      <c r="F170" s="189">
        <f t="shared" si="90"/>
        <v>0</v>
      </c>
      <c r="G170" s="189">
        <f t="shared" si="90"/>
        <v>0</v>
      </c>
      <c r="H170" s="189">
        <f t="shared" si="90"/>
        <v>0</v>
      </c>
      <c r="I170" s="189">
        <f t="shared" si="90"/>
        <v>0</v>
      </c>
      <c r="J170" s="189">
        <f t="shared" si="90"/>
        <v>0</v>
      </c>
      <c r="K170" s="189">
        <f t="shared" si="90"/>
        <v>0</v>
      </c>
      <c r="L170" s="189">
        <f t="shared" si="90"/>
        <v>0</v>
      </c>
      <c r="M170" s="189">
        <f t="shared" si="90"/>
        <v>0</v>
      </c>
      <c r="N170" s="189">
        <f t="shared" si="90"/>
        <v>0</v>
      </c>
      <c r="O170" s="189">
        <f t="shared" si="90"/>
        <v>0</v>
      </c>
      <c r="P170" s="189">
        <f t="shared" si="90"/>
        <v>0</v>
      </c>
      <c r="Q170" s="189">
        <f t="shared" si="90"/>
        <v>0</v>
      </c>
      <c r="R170" s="189">
        <f t="shared" si="90"/>
        <v>0</v>
      </c>
      <c r="S170" s="188">
        <f t="shared" si="84"/>
        <v>0</v>
      </c>
      <c r="T170" s="188">
        <f t="shared" si="84"/>
        <v>0</v>
      </c>
      <c r="U170" s="188">
        <f t="shared" si="84"/>
        <v>0</v>
      </c>
      <c r="V170" s="188">
        <f t="shared" si="84"/>
        <v>0</v>
      </c>
      <c r="W170" s="188">
        <f t="shared" si="84"/>
        <v>0</v>
      </c>
      <c r="X170" s="188">
        <f t="shared" si="84"/>
        <v>0</v>
      </c>
      <c r="Y170" s="188">
        <f t="shared" si="84"/>
        <v>0</v>
      </c>
      <c r="Z170" s="188">
        <f t="shared" si="84"/>
        <v>0</v>
      </c>
      <c r="AA170" s="188">
        <f t="shared" si="84"/>
        <v>0</v>
      </c>
      <c r="AB170" s="188">
        <f t="shared" si="84"/>
        <v>0</v>
      </c>
      <c r="AC170" s="188">
        <f t="shared" si="85"/>
        <v>0</v>
      </c>
      <c r="AD170" s="188">
        <f t="shared" si="85"/>
        <v>0</v>
      </c>
      <c r="AE170" s="188">
        <f t="shared" si="85"/>
        <v>0</v>
      </c>
      <c r="AF170" s="188">
        <f t="shared" si="85"/>
        <v>0</v>
      </c>
      <c r="AG170" s="188">
        <f t="shared" si="85"/>
        <v>0</v>
      </c>
      <c r="AH170" s="188">
        <f t="shared" si="85"/>
        <v>0</v>
      </c>
      <c r="AI170" s="188">
        <f t="shared" si="85"/>
        <v>0</v>
      </c>
      <c r="AJ170" s="188">
        <f t="shared" si="85"/>
        <v>0</v>
      </c>
      <c r="AK170" s="188">
        <f t="shared" si="85"/>
        <v>0</v>
      </c>
      <c r="AL170" s="188">
        <f t="shared" si="85"/>
        <v>156091.14877453833</v>
      </c>
      <c r="AM170" s="188">
        <f t="shared" si="86"/>
        <v>190977.1279663149</v>
      </c>
      <c r="AN170" s="188">
        <f t="shared" si="86"/>
        <v>221643.35475959501</v>
      </c>
      <c r="AO170" s="188">
        <f t="shared" si="86"/>
        <v>248848.1705027094</v>
      </c>
      <c r="AP170" s="188">
        <f t="shared" si="86"/>
        <v>273223.08475149574</v>
      </c>
      <c r="AQ170" s="188">
        <f t="shared" si="86"/>
        <v>295294.23026498035</v>
      </c>
      <c r="AR170" s="188">
        <f t="shared" si="86"/>
        <v>315500.1953382853</v>
      </c>
      <c r="AS170" s="188">
        <f t="shared" si="86"/>
        <v>334206.84533939371</v>
      </c>
      <c r="AT170" s="188">
        <f t="shared" si="86"/>
        <v>351719.64197729749</v>
      </c>
      <c r="AU170" s="188">
        <f t="shared" si="86"/>
        <v>368293.8829431801</v>
      </c>
      <c r="AV170" s="188">
        <f t="shared" si="86"/>
        <v>384143.21318593458</v>
      </c>
      <c r="AW170" s="188">
        <f t="shared" si="87"/>
        <v>399446.69975859753</v>
      </c>
      <c r="AX170" s="188">
        <f t="shared" si="87"/>
        <v>414354.71286710119</v>
      </c>
      <c r="AY170" s="188">
        <f t="shared" si="87"/>
        <v>428993.81477486348</v>
      </c>
      <c r="AZ170" s="188">
        <f t="shared" si="87"/>
        <v>443470.82415974798</v>
      </c>
      <c r="BA170" s="188">
        <f t="shared" si="87"/>
        <v>457876.19521493005</v>
      </c>
      <c r="BB170" s="188">
        <f t="shared" si="87"/>
        <v>472286.82726074377</v>
      </c>
      <c r="BC170" s="188">
        <f t="shared" si="87"/>
        <v>486768.40108325472</v>
      </c>
      <c r="BD170" s="188">
        <f t="shared" si="87"/>
        <v>501377.3219660715</v>
      </c>
      <c r="BE170" s="188">
        <f t="shared" si="87"/>
        <v>516162.33587708342</v>
      </c>
      <c r="BF170" s="188">
        <f t="shared" si="87"/>
        <v>531165.87404787703</v>
      </c>
      <c r="BG170" s="188">
        <f t="shared" si="88"/>
        <v>546425.17185530788</v>
      </c>
      <c r="BH170" s="188">
        <f t="shared" si="88"/>
        <v>561973.20016194682</v>
      </c>
      <c r="BI170" s="188">
        <f t="shared" si="88"/>
        <v>577839.44082876155</v>
      </c>
      <c r="BJ170" s="188">
        <f t="shared" si="88"/>
        <v>594050.5327583066</v>
      </c>
      <c r="BK170" s="188">
        <f t="shared" si="88"/>
        <v>610630.81037606997</v>
      </c>
      <c r="BL170" s="188">
        <f t="shared" si="88"/>
        <v>627602.75275870797</v>
      </c>
      <c r="BM170" s="188">
        <f t="shared" si="88"/>
        <v>644987.35854373337</v>
      </c>
      <c r="BN170" s="188">
        <f t="shared" si="88"/>
        <v>662804.45920029294</v>
      </c>
      <c r="BO170" s="188">
        <f t="shared" si="88"/>
        <v>681072.98111727729</v>
      </c>
      <c r="BP170" s="188">
        <f t="shared" si="88"/>
        <v>699811.16520028166</v>
      </c>
      <c r="BQ170" s="188">
        <f t="shared" si="89"/>
        <v>719036.75120228447</v>
      </c>
      <c r="BR170" s="188">
        <f t="shared" si="89"/>
        <v>738767.13279400661</v>
      </c>
      <c r="BS170" s="188">
        <f t="shared" si="89"/>
        <v>759019.48836691107</v>
      </c>
      <c r="BT170" s="188">
        <f t="shared" si="89"/>
        <v>779810.89171992161</v>
      </c>
      <c r="BU170" s="188">
        <f t="shared" si="89"/>
        <v>801158.40608128533</v>
      </c>
      <c r="BV170" s="188">
        <f t="shared" si="89"/>
        <v>823079.16433555738</v>
      </c>
      <c r="BW170" s="188">
        <f t="shared" si="89"/>
        <v>845590.43784248154</v>
      </c>
      <c r="BX170" s="188">
        <f t="shared" si="89"/>
        <v>868709.69583298115</v>
      </c>
      <c r="BY170" s="188">
        <f t="shared" si="89"/>
        <v>892454.65703378792</v>
      </c>
      <c r="BZ170" s="188">
        <f t="shared" si="89"/>
        <v>916843.3348949441</v>
      </c>
      <c r="CA170" s="188">
        <f t="shared" si="89"/>
        <v>0</v>
      </c>
      <c r="CB170" s="188">
        <f t="shared" si="89"/>
        <v>0</v>
      </c>
    </row>
    <row r="171" spans="2:80" ht="15" thickBot="1">
      <c r="B171" s="111" t="s">
        <v>395</v>
      </c>
      <c r="C171" s="9"/>
      <c r="E171" s="188">
        <f t="shared" ref="E171:AJ171" si="91">SUM(E151:E170)</f>
        <v>0</v>
      </c>
      <c r="F171" s="188">
        <f t="shared" si="91"/>
        <v>0</v>
      </c>
      <c r="G171" s="188">
        <f t="shared" si="91"/>
        <v>0</v>
      </c>
      <c r="H171" s="188">
        <f t="shared" si="91"/>
        <v>0</v>
      </c>
      <c r="I171" s="188">
        <f t="shared" si="91"/>
        <v>0</v>
      </c>
      <c r="J171" s="188">
        <f t="shared" si="91"/>
        <v>0</v>
      </c>
      <c r="K171" s="188">
        <f t="shared" si="91"/>
        <v>0</v>
      </c>
      <c r="L171" s="188">
        <f t="shared" si="91"/>
        <v>0</v>
      </c>
      <c r="M171" s="188">
        <f t="shared" si="91"/>
        <v>0</v>
      </c>
      <c r="N171" s="188">
        <f t="shared" si="91"/>
        <v>0</v>
      </c>
      <c r="O171" s="188">
        <f t="shared" si="91"/>
        <v>0</v>
      </c>
      <c r="P171" s="188">
        <f t="shared" si="91"/>
        <v>0</v>
      </c>
      <c r="Q171" s="188">
        <f t="shared" si="91"/>
        <v>0</v>
      </c>
      <c r="R171" s="188">
        <f t="shared" si="91"/>
        <v>0</v>
      </c>
      <c r="S171" s="188">
        <f t="shared" si="91"/>
        <v>0</v>
      </c>
      <c r="T171" s="188">
        <f t="shared" si="91"/>
        <v>4805.9456469576971</v>
      </c>
      <c r="U171" s="188">
        <f t="shared" si="91"/>
        <v>30565.859828025958</v>
      </c>
      <c r="V171" s="188">
        <f t="shared" si="91"/>
        <v>97890.736040465272</v>
      </c>
      <c r="W171" s="188">
        <f t="shared" si="91"/>
        <v>216179.26144703332</v>
      </c>
      <c r="X171" s="188">
        <f t="shared" si="91"/>
        <v>362369.28739241487</v>
      </c>
      <c r="Y171" s="188">
        <f t="shared" si="91"/>
        <v>530863.92145957472</v>
      </c>
      <c r="Z171" s="188">
        <f t="shared" si="91"/>
        <v>720326.04333670647</v>
      </c>
      <c r="AA171" s="188">
        <f t="shared" si="91"/>
        <v>929742.01921620884</v>
      </c>
      <c r="AB171" s="188">
        <f t="shared" si="91"/>
        <v>1158370.5884634699</v>
      </c>
      <c r="AC171" s="188">
        <f t="shared" si="91"/>
        <v>1405700.5024314281</v>
      </c>
      <c r="AD171" s="188">
        <f t="shared" si="91"/>
        <v>1671415.4411467598</v>
      </c>
      <c r="AE171" s="188">
        <f t="shared" si="91"/>
        <v>1955364.9827115254</v>
      </c>
      <c r="AF171" s="188">
        <f t="shared" si="91"/>
        <v>2257540.6073117517</v>
      </c>
      <c r="AG171" s="188">
        <f t="shared" si="91"/>
        <v>2578055.8898071903</v>
      </c>
      <c r="AH171" s="188">
        <f t="shared" si="91"/>
        <v>2917130.1778998789</v>
      </c>
      <c r="AI171" s="188">
        <f t="shared" si="91"/>
        <v>3275075.1717510577</v>
      </c>
      <c r="AJ171" s="188">
        <f t="shared" si="91"/>
        <v>3652283.9197157728</v>
      </c>
      <c r="AK171" s="188">
        <f t="shared" ref="AK171:BP171" si="92">SUM(AK151:AK170)</f>
        <v>4049221.8269821005</v>
      </c>
      <c r="AL171" s="188">
        <f t="shared" si="92"/>
        <v>4466419.3421551595</v>
      </c>
      <c r="AM171" s="188">
        <f t="shared" si="92"/>
        <v>4744113.2322650459</v>
      </c>
      <c r="AN171" s="188">
        <f t="shared" si="92"/>
        <v>5003083.8054154888</v>
      </c>
      <c r="AO171" s="188">
        <f t="shared" si="92"/>
        <v>5247262.5967673799</v>
      </c>
      <c r="AP171" s="188">
        <f t="shared" si="92"/>
        <v>5479938.1377656376</v>
      </c>
      <c r="AQ171" s="188">
        <f t="shared" si="92"/>
        <v>5703865.1282222131</v>
      </c>
      <c r="AR171" s="188">
        <f t="shared" si="92"/>
        <v>5921355.1856889362</v>
      </c>
      <c r="AS171" s="188">
        <f t="shared" si="92"/>
        <v>6134352.284008706</v>
      </c>
      <c r="AT171" s="188">
        <f t="shared" si="92"/>
        <v>6344495.4673700966</v>
      </c>
      <c r="AU171" s="188">
        <f t="shared" si="92"/>
        <v>6553170.989390932</v>
      </c>
      <c r="AV171" s="188">
        <f t="shared" si="92"/>
        <v>6761555.6637295894</v>
      </c>
      <c r="AW171" s="188">
        <f t="shared" si="92"/>
        <v>6970652.9110088833</v>
      </c>
      <c r="AX171" s="188">
        <f t="shared" si="92"/>
        <v>7181322.7360810228</v>
      </c>
      <c r="AY171" s="188">
        <f t="shared" si="92"/>
        <v>7394306.661257118</v>
      </c>
      <c r="AZ171" s="188">
        <f t="shared" si="92"/>
        <v>7610248.4679181576</v>
      </c>
      <c r="BA171" s="188">
        <f t="shared" si="92"/>
        <v>7829711.4549713945</v>
      </c>
      <c r="BB171" s="188">
        <f t="shared" si="92"/>
        <v>8053192.8029762749</v>
      </c>
      <c r="BC171" s="188">
        <f t="shared" si="92"/>
        <v>8281135.5333307423</v>
      </c>
      <c r="BD171" s="188">
        <f t="shared" si="92"/>
        <v>8513938.4692695718</v>
      </c>
      <c r="BE171" s="188">
        <f t="shared" si="92"/>
        <v>8751964.536744589</v>
      </c>
      <c r="BF171" s="188">
        <f t="shared" si="92"/>
        <v>8995547.6861753892</v>
      </c>
      <c r="BG171" s="188">
        <f t="shared" si="92"/>
        <v>9244998.6686186455</v>
      </c>
      <c r="BH171" s="188">
        <f t="shared" si="92"/>
        <v>9500609.8604766503</v>
      </c>
      <c r="BI171" s="188">
        <f t="shared" si="92"/>
        <v>9733658.9878461901</v>
      </c>
      <c r="BJ171" s="188">
        <f t="shared" si="92"/>
        <v>9852661.0478911437</v>
      </c>
      <c r="BK171" s="188">
        <f t="shared" si="92"/>
        <v>9756231.0259549581</v>
      </c>
      <c r="BL171" s="188">
        <f t="shared" si="92"/>
        <v>9426737.4855315275</v>
      </c>
      <c r="BM171" s="188">
        <f t="shared" si="92"/>
        <v>9039372.2027834933</v>
      </c>
      <c r="BN171" s="188">
        <f t="shared" si="92"/>
        <v>8623571.6720951181</v>
      </c>
      <c r="BO171" s="188">
        <f t="shared" si="92"/>
        <v>8178115.240019205</v>
      </c>
      <c r="BP171" s="188">
        <f t="shared" si="92"/>
        <v>7701729.4832188291</v>
      </c>
      <c r="BQ171" s="188">
        <f t="shared" ref="BQ171:CB171" si="93">SUM(BQ151:BQ170)</f>
        <v>7193087.4719214896</v>
      </c>
      <c r="BR171" s="188">
        <f t="shared" si="93"/>
        <v>6650807.8239004454</v>
      </c>
      <c r="BS171" s="188">
        <f t="shared" si="93"/>
        <v>6073453.5733233253</v>
      </c>
      <c r="BT171" s="188">
        <f t="shared" si="93"/>
        <v>5459530.8743433505</v>
      </c>
      <c r="BU171" s="188">
        <f t="shared" si="93"/>
        <v>4807487.5555867739</v>
      </c>
      <c r="BV171" s="188">
        <f t="shared" si="93"/>
        <v>4115711.5385854561</v>
      </c>
      <c r="BW171" s="188">
        <f t="shared" si="93"/>
        <v>3382529.1306115063</v>
      </c>
      <c r="BX171" s="188">
        <f t="shared" si="93"/>
        <v>2606203.2002044008</v>
      </c>
      <c r="BY171" s="188">
        <f t="shared" si="93"/>
        <v>1784931.2418679828</v>
      </c>
      <c r="BZ171" s="188">
        <f t="shared" si="93"/>
        <v>916843.3348949441</v>
      </c>
      <c r="CA171" s="188">
        <f t="shared" si="93"/>
        <v>0</v>
      </c>
      <c r="CB171" s="188">
        <f t="shared" si="93"/>
        <v>0</v>
      </c>
    </row>
    <row r="172" spans="2:80" ht="15" thickBot="1">
      <c r="B172" s="111" t="s">
        <v>394</v>
      </c>
      <c r="C172" s="530" t="s">
        <v>750</v>
      </c>
      <c r="D172" s="9"/>
      <c r="G172" s="531">
        <f>10%</f>
        <v>0.1</v>
      </c>
      <c r="H172" s="188"/>
      <c r="I172" s="188"/>
      <c r="J172" s="188"/>
      <c r="K172" s="188"/>
      <c r="L172" s="188"/>
      <c r="M172" s="188"/>
      <c r="N172" s="188"/>
      <c r="O172" s="188"/>
      <c r="P172" s="188"/>
      <c r="Q172" s="188"/>
      <c r="R172" s="188"/>
      <c r="S172" s="188"/>
      <c r="T172" s="188"/>
      <c r="U172" s="188"/>
      <c r="V172" s="188"/>
      <c r="W172" s="188"/>
      <c r="X172" s="188"/>
      <c r="Y172" s="188"/>
      <c r="Z172" s="188">
        <f t="shared" ref="Z172:BE172" si="94">Z171/(1+$G172)^(Z150-$Y$150)</f>
        <v>654841.85757882404</v>
      </c>
      <c r="AA172" s="188">
        <f t="shared" si="94"/>
        <v>768381.83406298235</v>
      </c>
      <c r="AB172" s="188">
        <f t="shared" si="94"/>
        <v>870300.96804167505</v>
      </c>
      <c r="AC172" s="188">
        <f t="shared" si="94"/>
        <v>960112.35737410537</v>
      </c>
      <c r="AD172" s="188">
        <f t="shared" si="94"/>
        <v>1037817.4870983473</v>
      </c>
      <c r="AE172" s="188">
        <f t="shared" si="94"/>
        <v>1103752.5564807109</v>
      </c>
      <c r="AF172" s="188">
        <f t="shared" si="94"/>
        <v>1158475.2898775048</v>
      </c>
      <c r="AG172" s="188">
        <f t="shared" si="94"/>
        <v>1202682.0991882249</v>
      </c>
      <c r="AH172" s="188">
        <f t="shared" si="94"/>
        <v>1237147.960929841</v>
      </c>
      <c r="AI172" s="188">
        <f t="shared" si="94"/>
        <v>1262683.2548458904</v>
      </c>
      <c r="AJ172" s="188">
        <f t="shared" si="94"/>
        <v>1280103.2330343651</v>
      </c>
      <c r="AK172" s="188">
        <f t="shared" si="94"/>
        <v>1290206.8618219306</v>
      </c>
      <c r="AL172" s="188">
        <f t="shared" si="94"/>
        <v>1293762.5883893194</v>
      </c>
      <c r="AM172" s="188">
        <f t="shared" si="94"/>
        <v>1249273.2880224248</v>
      </c>
      <c r="AN172" s="188">
        <f t="shared" si="94"/>
        <v>1197698.4853440865</v>
      </c>
      <c r="AO172" s="188">
        <f t="shared" si="94"/>
        <v>1141957.2241984555</v>
      </c>
      <c r="AP172" s="188">
        <f t="shared" si="94"/>
        <v>1084176.5464594651</v>
      </c>
      <c r="AQ172" s="188">
        <f t="shared" si="94"/>
        <v>1025890.279767409</v>
      </c>
      <c r="AR172" s="188">
        <f t="shared" si="94"/>
        <v>968188.8893824172</v>
      </c>
      <c r="AS172" s="188">
        <f t="shared" si="94"/>
        <v>911832.3790732451</v>
      </c>
      <c r="AT172" s="188">
        <f t="shared" si="94"/>
        <v>857335.29477511358</v>
      </c>
      <c r="AU172" s="188">
        <f t="shared" si="94"/>
        <v>805030.67018647422</v>
      </c>
      <c r="AV172" s="188">
        <f t="shared" si="94"/>
        <v>755118.08034858108</v>
      </c>
      <c r="AW172" s="188">
        <f t="shared" si="94"/>
        <v>707699.70520416449</v>
      </c>
      <c r="AX172" s="188">
        <f t="shared" si="94"/>
        <v>662807.35015824274</v>
      </c>
      <c r="AY172" s="188">
        <f t="shared" si="94"/>
        <v>620422.64920730866</v>
      </c>
      <c r="AZ172" s="188">
        <f t="shared" si="94"/>
        <v>580492.13117518893</v>
      </c>
      <c r="BA172" s="188">
        <f t="shared" si="94"/>
        <v>542938.41786249226</v>
      </c>
      <c r="BB172" s="188">
        <f t="shared" si="94"/>
        <v>507668.51189334301</v>
      </c>
      <c r="BC172" s="188">
        <f t="shared" si="94"/>
        <v>474579.89710608084</v>
      </c>
      <c r="BD172" s="188">
        <f t="shared" si="94"/>
        <v>443564.99688090873</v>
      </c>
      <c r="BE172" s="188">
        <f t="shared" si="94"/>
        <v>414514.40177186695</v>
      </c>
      <c r="BF172" s="188">
        <f t="shared" ref="BF172:CB172" si="95">BF171/(1+$G172)^(BF150-$Y$150)</f>
        <v>387319.17659382446</v>
      </c>
      <c r="BG172" s="188">
        <f t="shared" si="95"/>
        <v>361872.48068421445</v>
      </c>
      <c r="BH172" s="188">
        <f t="shared" si="95"/>
        <v>338070.67735234665</v>
      </c>
      <c r="BI172" s="188">
        <f t="shared" si="95"/>
        <v>314875.92858522839</v>
      </c>
      <c r="BJ172" s="188">
        <f t="shared" si="95"/>
        <v>289750.49832600675</v>
      </c>
      <c r="BK172" s="188">
        <f t="shared" si="95"/>
        <v>260831.50050099767</v>
      </c>
      <c r="BL172" s="188">
        <f t="shared" si="95"/>
        <v>229111.39619750847</v>
      </c>
      <c r="BM172" s="188">
        <f t="shared" si="95"/>
        <v>199724.27936131376</v>
      </c>
      <c r="BN172" s="188">
        <f t="shared" si="95"/>
        <v>173215.63319101438</v>
      </c>
      <c r="BO172" s="188">
        <f t="shared" si="95"/>
        <v>149334.6021888199</v>
      </c>
      <c r="BP172" s="188">
        <f t="shared" si="95"/>
        <v>127850.60824886993</v>
      </c>
      <c r="BQ172" s="188">
        <f t="shared" si="95"/>
        <v>108551.84132535405</v>
      </c>
      <c r="BR172" s="188">
        <f t="shared" si="95"/>
        <v>91243.842648003716</v>
      </c>
      <c r="BS172" s="188">
        <f t="shared" si="95"/>
        <v>75748.179339113529</v>
      </c>
      <c r="BT172" s="188">
        <f t="shared" si="95"/>
        <v>61901.207934812272</v>
      </c>
      <c r="BU172" s="188">
        <f t="shared" si="95"/>
        <v>49552.923414070654</v>
      </c>
      <c r="BV172" s="188">
        <f t="shared" si="95"/>
        <v>38565.889772379829</v>
      </c>
      <c r="BW172" s="188">
        <f t="shared" si="95"/>
        <v>28814.24785351874</v>
      </c>
      <c r="BX172" s="188">
        <f t="shared" si="95"/>
        <v>20182.796005217988</v>
      </c>
      <c r="BY172" s="188">
        <f t="shared" si="95"/>
        <v>12566.139102673651</v>
      </c>
      <c r="BZ172" s="188">
        <f t="shared" si="95"/>
        <v>5867.9015503913834</v>
      </c>
      <c r="CA172" s="188">
        <f t="shared" si="95"/>
        <v>0</v>
      </c>
      <c r="CB172" s="188">
        <f t="shared" si="95"/>
        <v>0</v>
      </c>
    </row>
    <row r="173" spans="2:80">
      <c r="B173" s="111" t="s">
        <v>393</v>
      </c>
      <c r="C173" s="9"/>
      <c r="E173" s="188">
        <f t="shared" ref="E173:X173" si="96">E171</f>
        <v>0</v>
      </c>
      <c r="F173" s="188">
        <f t="shared" si="96"/>
        <v>0</v>
      </c>
      <c r="G173" s="188">
        <f t="shared" si="96"/>
        <v>0</v>
      </c>
      <c r="H173" s="188">
        <f t="shared" si="96"/>
        <v>0</v>
      </c>
      <c r="I173" s="188">
        <f t="shared" si="96"/>
        <v>0</v>
      </c>
      <c r="J173" s="188">
        <f t="shared" si="96"/>
        <v>0</v>
      </c>
      <c r="K173" s="188">
        <f t="shared" si="96"/>
        <v>0</v>
      </c>
      <c r="L173" s="188">
        <f t="shared" si="96"/>
        <v>0</v>
      </c>
      <c r="M173" s="188">
        <f t="shared" si="96"/>
        <v>0</v>
      </c>
      <c r="N173" s="188">
        <f t="shared" si="96"/>
        <v>0</v>
      </c>
      <c r="O173" s="188">
        <f t="shared" si="96"/>
        <v>0</v>
      </c>
      <c r="P173" s="188">
        <f t="shared" si="96"/>
        <v>0</v>
      </c>
      <c r="Q173" s="188">
        <f t="shared" si="96"/>
        <v>0</v>
      </c>
      <c r="R173" s="188">
        <f t="shared" si="96"/>
        <v>0</v>
      </c>
      <c r="S173" s="188">
        <f t="shared" si="96"/>
        <v>0</v>
      </c>
      <c r="T173" s="188">
        <f t="shared" si="96"/>
        <v>4805.9456469576971</v>
      </c>
      <c r="U173" s="188">
        <f t="shared" si="96"/>
        <v>30565.859828025958</v>
      </c>
      <c r="V173" s="188">
        <f t="shared" si="96"/>
        <v>97890.736040465272</v>
      </c>
      <c r="W173" s="188">
        <f t="shared" si="96"/>
        <v>216179.26144703332</v>
      </c>
      <c r="X173" s="188">
        <f t="shared" si="96"/>
        <v>362369.28739241487</v>
      </c>
      <c r="Y173" s="188">
        <f>Y171+SUM(Z172:CB172)</f>
        <v>32927273.219176251</v>
      </c>
      <c r="Z173" s="188"/>
    </row>
    <row r="174" spans="2:80">
      <c r="C174" s="9"/>
    </row>
    <row r="175" spans="2:80">
      <c r="B175" s="191" t="s">
        <v>387</v>
      </c>
      <c r="C175" s="9"/>
      <c r="D175" s="190" t="str">
        <f t="shared" ref="D175:AI175" si="97">D150</f>
        <v>Units</v>
      </c>
      <c r="E175" s="130">
        <f t="shared" si="97"/>
        <v>2012</v>
      </c>
      <c r="F175" s="130">
        <f t="shared" si="97"/>
        <v>2013</v>
      </c>
      <c r="G175" s="130">
        <f t="shared" si="97"/>
        <v>2014</v>
      </c>
      <c r="H175" s="130">
        <f t="shared" si="97"/>
        <v>2015</v>
      </c>
      <c r="I175" s="130">
        <f t="shared" si="97"/>
        <v>2016</v>
      </c>
      <c r="J175" s="130">
        <f t="shared" si="97"/>
        <v>2017</v>
      </c>
      <c r="K175" s="130">
        <f t="shared" si="97"/>
        <v>2018</v>
      </c>
      <c r="L175" s="130">
        <f t="shared" si="97"/>
        <v>2019</v>
      </c>
      <c r="M175" s="130">
        <f t="shared" si="97"/>
        <v>2020</v>
      </c>
      <c r="N175" s="130">
        <f t="shared" si="97"/>
        <v>2021</v>
      </c>
      <c r="O175" s="130">
        <f t="shared" si="97"/>
        <v>2022</v>
      </c>
      <c r="P175" s="130">
        <f t="shared" si="97"/>
        <v>2023</v>
      </c>
      <c r="Q175" s="130">
        <f t="shared" si="97"/>
        <v>2024</v>
      </c>
      <c r="R175" s="130">
        <f t="shared" si="97"/>
        <v>2025</v>
      </c>
      <c r="S175" s="130">
        <f t="shared" si="97"/>
        <v>2026</v>
      </c>
      <c r="T175" s="130">
        <f t="shared" si="97"/>
        <v>2027</v>
      </c>
      <c r="U175" s="130">
        <f t="shared" si="97"/>
        <v>2028</v>
      </c>
      <c r="V175" s="130">
        <f t="shared" si="97"/>
        <v>2029</v>
      </c>
      <c r="W175" s="130">
        <f t="shared" si="97"/>
        <v>2030</v>
      </c>
      <c r="X175" s="130">
        <f t="shared" si="97"/>
        <v>2031</v>
      </c>
      <c r="Y175" s="130">
        <f t="shared" si="97"/>
        <v>2032</v>
      </c>
      <c r="Z175" s="130">
        <f t="shared" si="97"/>
        <v>2033</v>
      </c>
      <c r="AA175" s="130">
        <f t="shared" si="97"/>
        <v>2034</v>
      </c>
      <c r="AB175" s="130">
        <f t="shared" si="97"/>
        <v>2035</v>
      </c>
      <c r="AC175" s="130">
        <f t="shared" si="97"/>
        <v>2036</v>
      </c>
      <c r="AD175" s="130">
        <f t="shared" si="97"/>
        <v>2037</v>
      </c>
      <c r="AE175" s="130">
        <f t="shared" si="97"/>
        <v>2038</v>
      </c>
      <c r="AF175" s="130">
        <f t="shared" si="97"/>
        <v>2039</v>
      </c>
      <c r="AG175" s="130">
        <f t="shared" si="97"/>
        <v>2040</v>
      </c>
      <c r="AH175" s="130">
        <f t="shared" si="97"/>
        <v>2041</v>
      </c>
      <c r="AI175" s="130">
        <f t="shared" si="97"/>
        <v>2042</v>
      </c>
      <c r="AJ175" s="130">
        <f t="shared" ref="AJ175:BO175" si="98">AJ150</f>
        <v>2043</v>
      </c>
      <c r="AK175" s="130">
        <f t="shared" si="98"/>
        <v>2044</v>
      </c>
      <c r="AL175" s="130">
        <f t="shared" si="98"/>
        <v>2045</v>
      </c>
      <c r="AM175" s="130">
        <f t="shared" si="98"/>
        <v>2046</v>
      </c>
      <c r="AN175" s="130">
        <f t="shared" si="98"/>
        <v>2047</v>
      </c>
      <c r="AO175" s="130">
        <f t="shared" si="98"/>
        <v>2048</v>
      </c>
      <c r="AP175" s="130">
        <f t="shared" si="98"/>
        <v>2049</v>
      </c>
      <c r="AQ175" s="130">
        <f t="shared" si="98"/>
        <v>2050</v>
      </c>
      <c r="AR175" s="130">
        <f t="shared" si="98"/>
        <v>2051</v>
      </c>
      <c r="AS175" s="130">
        <f t="shared" si="98"/>
        <v>2052</v>
      </c>
      <c r="AT175" s="130">
        <f t="shared" si="98"/>
        <v>2053</v>
      </c>
      <c r="AU175" s="130">
        <f t="shared" si="98"/>
        <v>2054</v>
      </c>
      <c r="AV175" s="130">
        <f t="shared" si="98"/>
        <v>2055</v>
      </c>
      <c r="AW175" s="130">
        <f t="shared" si="98"/>
        <v>2056</v>
      </c>
      <c r="AX175" s="130">
        <f t="shared" si="98"/>
        <v>2057</v>
      </c>
      <c r="AY175" s="130">
        <f t="shared" si="98"/>
        <v>2058</v>
      </c>
      <c r="AZ175" s="130">
        <f t="shared" si="98"/>
        <v>2059</v>
      </c>
      <c r="BA175" s="130">
        <f t="shared" si="98"/>
        <v>2060</v>
      </c>
      <c r="BB175" s="130">
        <f t="shared" si="98"/>
        <v>2061</v>
      </c>
      <c r="BC175" s="130">
        <f t="shared" si="98"/>
        <v>2062</v>
      </c>
      <c r="BD175" s="130">
        <f t="shared" si="98"/>
        <v>2063</v>
      </c>
      <c r="BE175" s="130">
        <f t="shared" si="98"/>
        <v>2064</v>
      </c>
      <c r="BF175" s="130">
        <f t="shared" si="98"/>
        <v>2065</v>
      </c>
      <c r="BG175" s="130">
        <f t="shared" si="98"/>
        <v>2066</v>
      </c>
      <c r="BH175" s="130">
        <f t="shared" si="98"/>
        <v>2067</v>
      </c>
      <c r="BI175" s="130">
        <f t="shared" si="98"/>
        <v>2068</v>
      </c>
      <c r="BJ175" s="130">
        <f t="shared" si="98"/>
        <v>2069</v>
      </c>
      <c r="BK175" s="130">
        <f t="shared" si="98"/>
        <v>2070</v>
      </c>
      <c r="BL175" s="130">
        <f t="shared" si="98"/>
        <v>2071</v>
      </c>
      <c r="BM175" s="130">
        <f t="shared" si="98"/>
        <v>2072</v>
      </c>
      <c r="BN175" s="130">
        <f t="shared" si="98"/>
        <v>2073</v>
      </c>
      <c r="BO175" s="130">
        <f t="shared" si="98"/>
        <v>2074</v>
      </c>
      <c r="BP175" s="130">
        <f t="shared" ref="BP175:CB175" si="99">BP150</f>
        <v>2075</v>
      </c>
      <c r="BQ175" s="130">
        <f t="shared" si="99"/>
        <v>2076</v>
      </c>
      <c r="BR175" s="130">
        <f t="shared" si="99"/>
        <v>2077</v>
      </c>
      <c r="BS175" s="130">
        <f t="shared" si="99"/>
        <v>2078</v>
      </c>
      <c r="BT175" s="130">
        <f t="shared" si="99"/>
        <v>2079</v>
      </c>
      <c r="BU175" s="130">
        <f t="shared" si="99"/>
        <v>2080</v>
      </c>
      <c r="BV175" s="130">
        <f t="shared" si="99"/>
        <v>2081</v>
      </c>
      <c r="BW175" s="130">
        <f t="shared" si="99"/>
        <v>2082</v>
      </c>
      <c r="BX175" s="130">
        <f t="shared" si="99"/>
        <v>2083</v>
      </c>
      <c r="BY175" s="130">
        <f t="shared" si="99"/>
        <v>2084</v>
      </c>
      <c r="BZ175" s="130">
        <f t="shared" si="99"/>
        <v>2085</v>
      </c>
      <c r="CA175" s="130">
        <f t="shared" si="99"/>
        <v>2086</v>
      </c>
      <c r="CB175" s="130">
        <f t="shared" si="99"/>
        <v>2087</v>
      </c>
    </row>
    <row r="176" spans="2:80">
      <c r="B176" s="1">
        <v>2013</v>
      </c>
      <c r="C176" s="9">
        <f t="shared" ref="C176:C195" si="100">$B176+$C$33-$C$32</f>
        <v>2026</v>
      </c>
      <c r="E176" s="188">
        <f t="shared" ref="E176:R185" si="101">IF(E$175&gt;=$C176,E$131*HLOOKUP(E$175-$C176+1,$E$47:$CB$49,3)*E$106*$C$30,0)</f>
        <v>0</v>
      </c>
      <c r="F176" s="188">
        <f t="shared" si="101"/>
        <v>0</v>
      </c>
      <c r="G176" s="188">
        <f t="shared" si="101"/>
        <v>0</v>
      </c>
      <c r="H176" s="188">
        <f t="shared" si="101"/>
        <v>0</v>
      </c>
      <c r="I176" s="188">
        <f t="shared" si="101"/>
        <v>0</v>
      </c>
      <c r="J176" s="188">
        <f t="shared" si="101"/>
        <v>0</v>
      </c>
      <c r="K176" s="188">
        <f t="shared" si="101"/>
        <v>0</v>
      </c>
      <c r="L176" s="188">
        <f t="shared" si="101"/>
        <v>0</v>
      </c>
      <c r="M176" s="188">
        <f t="shared" si="101"/>
        <v>0</v>
      </c>
      <c r="N176" s="188">
        <f t="shared" si="101"/>
        <v>0</v>
      </c>
      <c r="O176" s="188">
        <f t="shared" si="101"/>
        <v>0</v>
      </c>
      <c r="P176" s="188">
        <f t="shared" si="101"/>
        <v>0</v>
      </c>
      <c r="Q176" s="188">
        <f t="shared" si="101"/>
        <v>0</v>
      </c>
      <c r="R176" s="188">
        <f t="shared" si="101"/>
        <v>0</v>
      </c>
      <c r="S176" s="188">
        <f t="shared" ref="S176:AX176" si="102">IF(S$175&gt;=$C176,$D138*HLOOKUP(S$175-$C176+1,$E$47:$CB$49,3)*S$106*$C$30,0)</f>
        <v>0</v>
      </c>
      <c r="T176" s="188">
        <f t="shared" si="102"/>
        <v>0</v>
      </c>
      <c r="U176" s="188">
        <f t="shared" si="102"/>
        <v>0</v>
      </c>
      <c r="V176" s="188">
        <f t="shared" si="102"/>
        <v>0</v>
      </c>
      <c r="W176" s="188">
        <f t="shared" si="102"/>
        <v>0</v>
      </c>
      <c r="X176" s="188">
        <f t="shared" si="102"/>
        <v>0</v>
      </c>
      <c r="Y176" s="188">
        <f t="shared" si="102"/>
        <v>0</v>
      </c>
      <c r="Z176" s="188">
        <f t="shared" si="102"/>
        <v>0</v>
      </c>
      <c r="AA176" s="188">
        <f t="shared" si="102"/>
        <v>0</v>
      </c>
      <c r="AB176" s="188">
        <f t="shared" si="102"/>
        <v>0</v>
      </c>
      <c r="AC176" s="188">
        <f t="shared" si="102"/>
        <v>0</v>
      </c>
      <c r="AD176" s="188">
        <f t="shared" si="102"/>
        <v>0</v>
      </c>
      <c r="AE176" s="188">
        <f t="shared" si="102"/>
        <v>0</v>
      </c>
      <c r="AF176" s="188">
        <f t="shared" si="102"/>
        <v>0</v>
      </c>
      <c r="AG176" s="188">
        <f t="shared" si="102"/>
        <v>0</v>
      </c>
      <c r="AH176" s="188">
        <f t="shared" si="102"/>
        <v>0</v>
      </c>
      <c r="AI176" s="188">
        <f t="shared" si="102"/>
        <v>0</v>
      </c>
      <c r="AJ176" s="188">
        <f t="shared" si="102"/>
        <v>0</v>
      </c>
      <c r="AK176" s="188">
        <f t="shared" si="102"/>
        <v>0</v>
      </c>
      <c r="AL176" s="188">
        <f t="shared" si="102"/>
        <v>0</v>
      </c>
      <c r="AM176" s="188">
        <f t="shared" si="102"/>
        <v>0</v>
      </c>
      <c r="AN176" s="188">
        <f t="shared" si="102"/>
        <v>0</v>
      </c>
      <c r="AO176" s="188">
        <f t="shared" si="102"/>
        <v>0</v>
      </c>
      <c r="AP176" s="188">
        <f t="shared" si="102"/>
        <v>0</v>
      </c>
      <c r="AQ176" s="188">
        <f t="shared" si="102"/>
        <v>0</v>
      </c>
      <c r="AR176" s="188">
        <f t="shared" si="102"/>
        <v>0</v>
      </c>
      <c r="AS176" s="188">
        <f t="shared" si="102"/>
        <v>0</v>
      </c>
      <c r="AT176" s="188">
        <f t="shared" si="102"/>
        <v>0</v>
      </c>
      <c r="AU176" s="188">
        <f t="shared" si="102"/>
        <v>0</v>
      </c>
      <c r="AV176" s="188">
        <f t="shared" si="102"/>
        <v>0</v>
      </c>
      <c r="AW176" s="188">
        <f t="shared" si="102"/>
        <v>0</v>
      </c>
      <c r="AX176" s="188">
        <f t="shared" si="102"/>
        <v>0</v>
      </c>
      <c r="AY176" s="188">
        <f t="shared" ref="AY176:CB176" si="103">IF(AY$175&gt;=$C176,$D138*HLOOKUP(AY$175-$C176+1,$E$47:$CB$49,3)*AY$106*$C$30,0)</f>
        <v>0</v>
      </c>
      <c r="AZ176" s="188">
        <f t="shared" si="103"/>
        <v>0</v>
      </c>
      <c r="BA176" s="188">
        <f t="shared" si="103"/>
        <v>0</v>
      </c>
      <c r="BB176" s="188">
        <f t="shared" si="103"/>
        <v>0</v>
      </c>
      <c r="BC176" s="188">
        <f t="shared" si="103"/>
        <v>0</v>
      </c>
      <c r="BD176" s="188">
        <f t="shared" si="103"/>
        <v>0</v>
      </c>
      <c r="BE176" s="188">
        <f t="shared" si="103"/>
        <v>0</v>
      </c>
      <c r="BF176" s="188">
        <f t="shared" si="103"/>
        <v>0</v>
      </c>
      <c r="BG176" s="188">
        <f t="shared" si="103"/>
        <v>0</v>
      </c>
      <c r="BH176" s="188">
        <f t="shared" si="103"/>
        <v>0</v>
      </c>
      <c r="BI176" s="188">
        <f t="shared" si="103"/>
        <v>0</v>
      </c>
      <c r="BJ176" s="188">
        <f t="shared" si="103"/>
        <v>0</v>
      </c>
      <c r="BK176" s="188">
        <f t="shared" si="103"/>
        <v>0</v>
      </c>
      <c r="BL176" s="188">
        <f t="shared" si="103"/>
        <v>0</v>
      </c>
      <c r="BM176" s="188">
        <f t="shared" si="103"/>
        <v>0</v>
      </c>
      <c r="BN176" s="188">
        <f t="shared" si="103"/>
        <v>0</v>
      </c>
      <c r="BO176" s="188">
        <f t="shared" si="103"/>
        <v>0</v>
      </c>
      <c r="BP176" s="188">
        <f t="shared" si="103"/>
        <v>0</v>
      </c>
      <c r="BQ176" s="188">
        <f t="shared" si="103"/>
        <v>0</v>
      </c>
      <c r="BR176" s="188">
        <f t="shared" si="103"/>
        <v>0</v>
      </c>
      <c r="BS176" s="188">
        <f t="shared" si="103"/>
        <v>0</v>
      </c>
      <c r="BT176" s="188">
        <f t="shared" si="103"/>
        <v>0</v>
      </c>
      <c r="BU176" s="188">
        <f t="shared" si="103"/>
        <v>0</v>
      </c>
      <c r="BV176" s="188">
        <f t="shared" si="103"/>
        <v>0</v>
      </c>
      <c r="BW176" s="188">
        <f t="shared" si="103"/>
        <v>0</v>
      </c>
      <c r="BX176" s="188">
        <f t="shared" si="103"/>
        <v>0</v>
      </c>
      <c r="BY176" s="188">
        <f t="shared" si="103"/>
        <v>0</v>
      </c>
      <c r="BZ176" s="188">
        <f t="shared" si="103"/>
        <v>0</v>
      </c>
      <c r="CA176" s="188">
        <f t="shared" si="103"/>
        <v>0</v>
      </c>
      <c r="CB176" s="188">
        <f t="shared" si="103"/>
        <v>0</v>
      </c>
    </row>
    <row r="177" spans="2:80">
      <c r="B177" s="1">
        <v>2014</v>
      </c>
      <c r="C177" s="9">
        <f t="shared" si="100"/>
        <v>2027</v>
      </c>
      <c r="E177" s="188">
        <f t="shared" si="101"/>
        <v>0</v>
      </c>
      <c r="F177" s="188">
        <f t="shared" si="101"/>
        <v>0</v>
      </c>
      <c r="G177" s="188">
        <f t="shared" si="101"/>
        <v>0</v>
      </c>
      <c r="H177" s="188">
        <f t="shared" si="101"/>
        <v>0</v>
      </c>
      <c r="I177" s="188">
        <f t="shared" si="101"/>
        <v>0</v>
      </c>
      <c r="J177" s="188">
        <f t="shared" si="101"/>
        <v>0</v>
      </c>
      <c r="K177" s="188">
        <f t="shared" si="101"/>
        <v>0</v>
      </c>
      <c r="L177" s="188">
        <f t="shared" si="101"/>
        <v>0</v>
      </c>
      <c r="M177" s="188">
        <f t="shared" si="101"/>
        <v>0</v>
      </c>
      <c r="N177" s="188">
        <f t="shared" si="101"/>
        <v>0</v>
      </c>
      <c r="O177" s="188">
        <f t="shared" si="101"/>
        <v>0</v>
      </c>
      <c r="P177" s="188">
        <f t="shared" si="101"/>
        <v>0</v>
      </c>
      <c r="Q177" s="188">
        <f t="shared" si="101"/>
        <v>0</v>
      </c>
      <c r="R177" s="188">
        <f t="shared" si="101"/>
        <v>0</v>
      </c>
      <c r="S177" s="188">
        <f t="shared" ref="S177:AX177" si="104">IF(S$175&gt;=$C177,$D139*HLOOKUP(S$175-$C177+1,$E$47:$CB$49,3)*S$106*$C$30,0)</f>
        <v>0</v>
      </c>
      <c r="T177" s="188">
        <f t="shared" si="104"/>
        <v>1173.6326140290469</v>
      </c>
      <c r="U177" s="188">
        <f t="shared" si="104"/>
        <v>1435.9365516529992</v>
      </c>
      <c r="V177" s="188">
        <f t="shared" si="104"/>
        <v>1666.5126233672956</v>
      </c>
      <c r="W177" s="188">
        <f t="shared" si="104"/>
        <v>1871.0627164727555</v>
      </c>
      <c r="X177" s="188">
        <f t="shared" si="104"/>
        <v>2054.3350836193249</v>
      </c>
      <c r="Y177" s="188">
        <f t="shared" si="104"/>
        <v>2220.2856606185492</v>
      </c>
      <c r="Z177" s="188">
        <f t="shared" si="104"/>
        <v>2372.2121458429997</v>
      </c>
      <c r="AA177" s="188">
        <f t="shared" si="104"/>
        <v>2512.8654417722864</v>
      </c>
      <c r="AB177" s="188">
        <f t="shared" si="104"/>
        <v>2644.5422822495775</v>
      </c>
      <c r="AC177" s="188">
        <f t="shared" si="104"/>
        <v>2769.1622232459326</v>
      </c>
      <c r="AD177" s="188">
        <f t="shared" si="104"/>
        <v>2888.331638228467</v>
      </c>
      <c r="AE177" s="188">
        <f t="shared" si="104"/>
        <v>3003.3969131722479</v>
      </c>
      <c r="AF177" s="188">
        <f t="shared" si="104"/>
        <v>3115.4886655353803</v>
      </c>
      <c r="AG177" s="188">
        <f t="shared" si="104"/>
        <v>3225.5585034085143</v>
      </c>
      <c r="AH177" s="188">
        <f t="shared" si="104"/>
        <v>3334.4095849791083</v>
      </c>
      <c r="AI177" s="188">
        <f t="shared" si="104"/>
        <v>3442.72202562859</v>
      </c>
      <c r="AJ177" s="188">
        <f t="shared" si="104"/>
        <v>3551.0740231026325</v>
      </c>
      <c r="AK177" s="188">
        <f t="shared" si="104"/>
        <v>3659.9594241904138</v>
      </c>
      <c r="AL177" s="188">
        <f t="shared" si="104"/>
        <v>3769.8023341725107</v>
      </c>
      <c r="AM177" s="188">
        <f t="shared" si="104"/>
        <v>3880.9692687557172</v>
      </c>
      <c r="AN177" s="188">
        <f t="shared" si="104"/>
        <v>3993.7792638215319</v>
      </c>
      <c r="AO177" s="188">
        <f t="shared" si="104"/>
        <v>4108.5122881767475</v>
      </c>
      <c r="AP177" s="188">
        <f t="shared" si="104"/>
        <v>4225.4162462024251</v>
      </c>
      <c r="AQ177" s="188">
        <f t="shared" si="104"/>
        <v>4344.7128088506033</v>
      </c>
      <c r="AR177" s="188">
        <f t="shared" si="104"/>
        <v>4466.6022711737905</v>
      </c>
      <c r="AS177" s="188">
        <f t="shared" si="104"/>
        <v>4591.2676011084823</v>
      </c>
      <c r="AT177" s="188">
        <f t="shared" si="104"/>
        <v>4718.8778164222076</v>
      </c>
      <c r="AU177" s="188">
        <f t="shared" si="104"/>
        <v>4849.5908036192895</v>
      </c>
      <c r="AV177" s="188">
        <f t="shared" si="104"/>
        <v>4983.555673390224</v>
      </c>
      <c r="AW177" s="188">
        <f t="shared" si="104"/>
        <v>5120.9147312240957</v>
      </c>
      <c r="AX177" s="188">
        <f t="shared" si="104"/>
        <v>5261.8051285345746</v>
      </c>
      <c r="AY177" s="188">
        <f t="shared" ref="AY177:CB177" si="105">IF(AY$175&gt;=$C177,$D139*HLOOKUP(AY$175-$C177+1,$E$47:$CB$49,3)*AY$106*$C$30,0)</f>
        <v>5406.3602486225345</v>
      </c>
      <c r="AZ177" s="188">
        <f t="shared" si="105"/>
        <v>5554.71087263345</v>
      </c>
      <c r="BA177" s="188">
        <f t="shared" si="105"/>
        <v>5706.9861630511386</v>
      </c>
      <c r="BB177" s="188">
        <f t="shared" si="105"/>
        <v>5863.3144959393294</v>
      </c>
      <c r="BC177" s="188">
        <f t="shared" si="105"/>
        <v>6023.8241678819613</v>
      </c>
      <c r="BD177" s="188">
        <f t="shared" si="105"/>
        <v>6188.6439992012929</v>
      </c>
      <c r="BE177" s="188">
        <f t="shared" si="105"/>
        <v>6357.9038513996784</v>
      </c>
      <c r="BF177" s="188">
        <f t="shared" si="105"/>
        <v>6531.7350737516535</v>
      </c>
      <c r="BG177" s="188">
        <f t="shared" si="105"/>
        <v>6710.270891463997</v>
      </c>
      <c r="BH177" s="188">
        <f t="shared" si="105"/>
        <v>6893.6467457364588</v>
      </c>
      <c r="BI177" s="188">
        <f t="shared" si="105"/>
        <v>0</v>
      </c>
      <c r="BJ177" s="188">
        <f t="shared" si="105"/>
        <v>0</v>
      </c>
      <c r="BK177" s="188">
        <f t="shared" si="105"/>
        <v>0</v>
      </c>
      <c r="BL177" s="188">
        <f t="shared" si="105"/>
        <v>0</v>
      </c>
      <c r="BM177" s="188">
        <f t="shared" si="105"/>
        <v>0</v>
      </c>
      <c r="BN177" s="188">
        <f t="shared" si="105"/>
        <v>0</v>
      </c>
      <c r="BO177" s="188">
        <f t="shared" si="105"/>
        <v>0</v>
      </c>
      <c r="BP177" s="188">
        <f t="shared" si="105"/>
        <v>0</v>
      </c>
      <c r="BQ177" s="188">
        <f t="shared" si="105"/>
        <v>0</v>
      </c>
      <c r="BR177" s="188">
        <f t="shared" si="105"/>
        <v>0</v>
      </c>
      <c r="BS177" s="188">
        <f t="shared" si="105"/>
        <v>0</v>
      </c>
      <c r="BT177" s="188">
        <f t="shared" si="105"/>
        <v>0</v>
      </c>
      <c r="BU177" s="188">
        <f t="shared" si="105"/>
        <v>0</v>
      </c>
      <c r="BV177" s="188">
        <f t="shared" si="105"/>
        <v>0</v>
      </c>
      <c r="BW177" s="188">
        <f t="shared" si="105"/>
        <v>0</v>
      </c>
      <c r="BX177" s="188">
        <f t="shared" si="105"/>
        <v>0</v>
      </c>
      <c r="BY177" s="188">
        <f t="shared" si="105"/>
        <v>0</v>
      </c>
      <c r="BZ177" s="188">
        <f t="shared" si="105"/>
        <v>0</v>
      </c>
      <c r="CA177" s="188">
        <f t="shared" si="105"/>
        <v>0</v>
      </c>
      <c r="CB177" s="188">
        <f t="shared" si="105"/>
        <v>0</v>
      </c>
    </row>
    <row r="178" spans="2:80">
      <c r="B178" s="1">
        <v>2015</v>
      </c>
      <c r="C178" s="9">
        <f t="shared" si="100"/>
        <v>2028</v>
      </c>
      <c r="E178" s="188">
        <f t="shared" si="101"/>
        <v>0</v>
      </c>
      <c r="F178" s="188">
        <f t="shared" si="101"/>
        <v>0</v>
      </c>
      <c r="G178" s="188">
        <f t="shared" si="101"/>
        <v>0</v>
      </c>
      <c r="H178" s="188">
        <f t="shared" si="101"/>
        <v>0</v>
      </c>
      <c r="I178" s="188">
        <f t="shared" si="101"/>
        <v>0</v>
      </c>
      <c r="J178" s="188">
        <f t="shared" si="101"/>
        <v>0</v>
      </c>
      <c r="K178" s="188">
        <f t="shared" si="101"/>
        <v>0</v>
      </c>
      <c r="L178" s="188">
        <f t="shared" si="101"/>
        <v>0</v>
      </c>
      <c r="M178" s="188">
        <f t="shared" si="101"/>
        <v>0</v>
      </c>
      <c r="N178" s="188">
        <f t="shared" si="101"/>
        <v>0</v>
      </c>
      <c r="O178" s="188">
        <f t="shared" si="101"/>
        <v>0</v>
      </c>
      <c r="P178" s="188">
        <f t="shared" si="101"/>
        <v>0</v>
      </c>
      <c r="Q178" s="188">
        <f t="shared" si="101"/>
        <v>0</v>
      </c>
      <c r="R178" s="188">
        <f t="shared" si="101"/>
        <v>0</v>
      </c>
      <c r="S178" s="188">
        <f t="shared" ref="S178:AX178" si="106">IF(S$175&gt;=$C178,$D140*HLOOKUP(S$175-$C178+1,$E$47:$CB$49,3)*S$106*$C$30,0)</f>
        <v>0</v>
      </c>
      <c r="T178" s="188">
        <f t="shared" si="106"/>
        <v>0</v>
      </c>
      <c r="U178" s="188">
        <f t="shared" si="106"/>
        <v>6028.3779881338241</v>
      </c>
      <c r="V178" s="188">
        <f t="shared" si="106"/>
        <v>7375.7053074936857</v>
      </c>
      <c r="W178" s="188">
        <f t="shared" si="106"/>
        <v>8560.0620633450799</v>
      </c>
      <c r="X178" s="188">
        <f t="shared" si="106"/>
        <v>9610.7360681466871</v>
      </c>
      <c r="Y178" s="188">
        <f t="shared" si="106"/>
        <v>10552.116778543523</v>
      </c>
      <c r="Z178" s="188">
        <f t="shared" si="106"/>
        <v>11404.523906244111</v>
      </c>
      <c r="AA178" s="188">
        <f t="shared" si="106"/>
        <v>12184.8961184626</v>
      </c>
      <c r="AB178" s="188">
        <f t="shared" si="106"/>
        <v>12907.363458755512</v>
      </c>
      <c r="AC178" s="188">
        <f t="shared" si="106"/>
        <v>13583.723128035006</v>
      </c>
      <c r="AD178" s="188">
        <f t="shared" si="106"/>
        <v>14223.834948552603</v>
      </c>
      <c r="AE178" s="188">
        <f t="shared" si="106"/>
        <v>14835.950076874795</v>
      </c>
      <c r="AF178" s="188">
        <f t="shared" si="106"/>
        <v>15426.984240699154</v>
      </c>
      <c r="AG178" s="188">
        <f t="shared" si="106"/>
        <v>16002.744870149869</v>
      </c>
      <c r="AH178" s="188">
        <f t="shared" si="106"/>
        <v>16568.119911589743</v>
      </c>
      <c r="AI178" s="188">
        <f t="shared" si="106"/>
        <v>17127.234796674631</v>
      </c>
      <c r="AJ178" s="188">
        <f t="shared" si="106"/>
        <v>17683.582946212533</v>
      </c>
      <c r="AK178" s="188">
        <f t="shared" si="106"/>
        <v>18240.134279853879</v>
      </c>
      <c r="AL178" s="188">
        <f t="shared" si="106"/>
        <v>18799.425447550126</v>
      </c>
      <c r="AM178" s="188">
        <f t="shared" si="106"/>
        <v>19363.634871157919</v>
      </c>
      <c r="AN178" s="188">
        <f t="shared" si="106"/>
        <v>19934.64516299796</v>
      </c>
      <c r="AO178" s="188">
        <f t="shared" si="106"/>
        <v>20514.095054699261</v>
      </c>
      <c r="AP178" s="188">
        <f t="shared" si="106"/>
        <v>21103.422609393383</v>
      </c>
      <c r="AQ178" s="188">
        <f t="shared" si="106"/>
        <v>21703.901190904809</v>
      </c>
      <c r="AR178" s="188">
        <f t="shared" si="106"/>
        <v>22316.669414735461</v>
      </c>
      <c r="AS178" s="188">
        <f t="shared" si="106"/>
        <v>22942.756098823116</v>
      </c>
      <c r="AT178" s="188">
        <f t="shared" si="106"/>
        <v>23583.101060166475</v>
      </c>
      <c r="AU178" s="188">
        <f t="shared" si="106"/>
        <v>24238.572460554165</v>
      </c>
      <c r="AV178" s="188">
        <f t="shared" si="106"/>
        <v>24909.981285907921</v>
      </c>
      <c r="AW178" s="188">
        <f t="shared" si="106"/>
        <v>25598.093445076607</v>
      </c>
      <c r="AX178" s="188">
        <f t="shared" si="106"/>
        <v>26303.639891910458</v>
      </c>
      <c r="AY178" s="188">
        <f t="shared" ref="AY178:CB178" si="107">IF(AY$175&gt;=$C178,$D140*HLOOKUP(AY$175-$C178+1,$E$47:$CB$49,3)*AY$106*$C$30,0)</f>
        <v>27027.325106289565</v>
      </c>
      <c r="AZ178" s="188">
        <f t="shared" si="107"/>
        <v>27769.834213137474</v>
      </c>
      <c r="BA178" s="188">
        <f t="shared" si="107"/>
        <v>28531.838971375379</v>
      </c>
      <c r="BB178" s="188">
        <f t="shared" si="107"/>
        <v>29314.002825649426</v>
      </c>
      <c r="BC178" s="188">
        <f t="shared" si="107"/>
        <v>30116.985181149557</v>
      </c>
      <c r="BD178" s="188">
        <f t="shared" si="107"/>
        <v>30941.445034816858</v>
      </c>
      <c r="BE178" s="188">
        <f t="shared" si="107"/>
        <v>31788.044073780507</v>
      </c>
      <c r="BF178" s="188">
        <f t="shared" si="107"/>
        <v>32657.449333203764</v>
      </c>
      <c r="BG178" s="188">
        <f t="shared" si="107"/>
        <v>33550.335490209545</v>
      </c>
      <c r="BH178" s="188">
        <f t="shared" si="107"/>
        <v>34467.386857669189</v>
      </c>
      <c r="BI178" s="188">
        <f t="shared" si="107"/>
        <v>35409.299130928477</v>
      </c>
      <c r="BJ178" s="188">
        <f t="shared" si="107"/>
        <v>0</v>
      </c>
      <c r="BK178" s="188">
        <f t="shared" si="107"/>
        <v>0</v>
      </c>
      <c r="BL178" s="188">
        <f t="shared" si="107"/>
        <v>0</v>
      </c>
      <c r="BM178" s="188">
        <f t="shared" si="107"/>
        <v>0</v>
      </c>
      <c r="BN178" s="188">
        <f t="shared" si="107"/>
        <v>0</v>
      </c>
      <c r="BO178" s="188">
        <f t="shared" si="107"/>
        <v>0</v>
      </c>
      <c r="BP178" s="188">
        <f t="shared" si="107"/>
        <v>0</v>
      </c>
      <c r="BQ178" s="188">
        <f t="shared" si="107"/>
        <v>0</v>
      </c>
      <c r="BR178" s="188">
        <f t="shared" si="107"/>
        <v>0</v>
      </c>
      <c r="BS178" s="188">
        <f t="shared" si="107"/>
        <v>0</v>
      </c>
      <c r="BT178" s="188">
        <f t="shared" si="107"/>
        <v>0</v>
      </c>
      <c r="BU178" s="188">
        <f t="shared" si="107"/>
        <v>0</v>
      </c>
      <c r="BV178" s="188">
        <f t="shared" si="107"/>
        <v>0</v>
      </c>
      <c r="BW178" s="188">
        <f t="shared" si="107"/>
        <v>0</v>
      </c>
      <c r="BX178" s="188">
        <f t="shared" si="107"/>
        <v>0</v>
      </c>
      <c r="BY178" s="188">
        <f t="shared" si="107"/>
        <v>0</v>
      </c>
      <c r="BZ178" s="188">
        <f t="shared" si="107"/>
        <v>0</v>
      </c>
      <c r="CA178" s="188">
        <f t="shared" si="107"/>
        <v>0</v>
      </c>
      <c r="CB178" s="188">
        <f t="shared" si="107"/>
        <v>0</v>
      </c>
    </row>
    <row r="179" spans="2:80">
      <c r="B179" s="1">
        <v>2016</v>
      </c>
      <c r="C179" s="9">
        <f t="shared" si="100"/>
        <v>2029</v>
      </c>
      <c r="E179" s="188">
        <f t="shared" si="101"/>
        <v>0</v>
      </c>
      <c r="F179" s="188">
        <f t="shared" si="101"/>
        <v>0</v>
      </c>
      <c r="G179" s="188">
        <f t="shared" si="101"/>
        <v>0</v>
      </c>
      <c r="H179" s="188">
        <f t="shared" si="101"/>
        <v>0</v>
      </c>
      <c r="I179" s="188">
        <f t="shared" si="101"/>
        <v>0</v>
      </c>
      <c r="J179" s="188">
        <f t="shared" si="101"/>
        <v>0</v>
      </c>
      <c r="K179" s="188">
        <f t="shared" si="101"/>
        <v>0</v>
      </c>
      <c r="L179" s="188">
        <f t="shared" si="101"/>
        <v>0</v>
      </c>
      <c r="M179" s="188">
        <f t="shared" si="101"/>
        <v>0</v>
      </c>
      <c r="N179" s="188">
        <f t="shared" si="101"/>
        <v>0</v>
      </c>
      <c r="O179" s="188">
        <f t="shared" si="101"/>
        <v>0</v>
      </c>
      <c r="P179" s="188">
        <f t="shared" si="101"/>
        <v>0</v>
      </c>
      <c r="Q179" s="188">
        <f t="shared" si="101"/>
        <v>0</v>
      </c>
      <c r="R179" s="188">
        <f t="shared" si="101"/>
        <v>0</v>
      </c>
      <c r="S179" s="188">
        <f t="shared" ref="S179:AX179" si="108">IF(S$175&gt;=$C179,$D141*HLOOKUP(S$175-$C179+1,$E$47:$CB$49,3)*S$106*$C$30,0)</f>
        <v>0</v>
      </c>
      <c r="T179" s="188">
        <f t="shared" si="108"/>
        <v>0</v>
      </c>
      <c r="U179" s="188">
        <f t="shared" si="108"/>
        <v>0</v>
      </c>
      <c r="V179" s="188">
        <f t="shared" si="108"/>
        <v>14863.121177817022</v>
      </c>
      <c r="W179" s="188">
        <f t="shared" si="108"/>
        <v>18184.991381252661</v>
      </c>
      <c r="X179" s="188">
        <f t="shared" si="108"/>
        <v>21105.053463397395</v>
      </c>
      <c r="Y179" s="188">
        <f t="shared" si="108"/>
        <v>23695.517280113512</v>
      </c>
      <c r="Z179" s="188">
        <f t="shared" si="108"/>
        <v>26016.515664857969</v>
      </c>
      <c r="AA179" s="188">
        <f t="shared" si="108"/>
        <v>28118.147390139147</v>
      </c>
      <c r="AB179" s="188">
        <f t="shared" si="108"/>
        <v>30042.175176192948</v>
      </c>
      <c r="AC179" s="188">
        <f t="shared" si="108"/>
        <v>31823.43700929722</v>
      </c>
      <c r="AD179" s="188">
        <f t="shared" si="108"/>
        <v>33491.019192112763</v>
      </c>
      <c r="AE179" s="188">
        <f t="shared" si="108"/>
        <v>35069.231370319481</v>
      </c>
      <c r="AF179" s="188">
        <f t="shared" si="108"/>
        <v>36578.416982923067</v>
      </c>
      <c r="AG179" s="188">
        <f t="shared" si="108"/>
        <v>38035.626934661785</v>
      </c>
      <c r="AH179" s="188">
        <f t="shared" si="108"/>
        <v>39455.179594064844</v>
      </c>
      <c r="AI179" s="188">
        <f t="shared" si="108"/>
        <v>40849.126318768394</v>
      </c>
      <c r="AJ179" s="188">
        <f t="shared" si="108"/>
        <v>42227.638466761702</v>
      </c>
      <c r="AK179" s="188">
        <f t="shared" si="108"/>
        <v>43599.329157012515</v>
      </c>
      <c r="AL179" s="188">
        <f t="shared" si="108"/>
        <v>44971.520802902945</v>
      </c>
      <c r="AM179" s="188">
        <f t="shared" si="108"/>
        <v>46350.467580214347</v>
      </c>
      <c r="AN179" s="188">
        <f t="shared" si="108"/>
        <v>47741.540444134895</v>
      </c>
      <c r="AO179" s="188">
        <f t="shared" si="108"/>
        <v>49149.381023823975</v>
      </c>
      <c r="AP179" s="188">
        <f t="shared" si="108"/>
        <v>50578.02965431496</v>
      </c>
      <c r="AQ179" s="188">
        <f t="shared" si="108"/>
        <v>52031.031917292974</v>
      </c>
      <c r="AR179" s="188">
        <f t="shared" si="108"/>
        <v>53511.52732406008</v>
      </c>
      <c r="AS179" s="188">
        <f t="shared" si="108"/>
        <v>55022.323160458858</v>
      </c>
      <c r="AT179" s="188">
        <f t="shared" si="108"/>
        <v>56565.956003609957</v>
      </c>
      <c r="AU179" s="188">
        <f t="shared" si="108"/>
        <v>58144.742996526635</v>
      </c>
      <c r="AV179" s="188">
        <f t="shared" si="108"/>
        <v>59760.824614456425</v>
      </c>
      <c r="AW179" s="188">
        <f t="shared" si="108"/>
        <v>61416.20036407459</v>
      </c>
      <c r="AX179" s="188">
        <f t="shared" si="108"/>
        <v>63112.758613372367</v>
      </c>
      <c r="AY179" s="188">
        <f t="shared" ref="AY179:CB179" si="109">IF(AY$175&gt;=$C179,$D141*HLOOKUP(AY$175-$C179+1,$E$47:$CB$49,3)*AY$106*$C$30,0)</f>
        <v>64852.301547891628</v>
      </c>
      <c r="AZ179" s="188">
        <f t="shared" si="109"/>
        <v>66636.56608091919</v>
      </c>
      <c r="BA179" s="188">
        <f t="shared" si="109"/>
        <v>68467.241405597961</v>
      </c>
      <c r="BB179" s="188">
        <f t="shared" si="109"/>
        <v>70345.983760847826</v>
      </c>
      <c r="BC179" s="188">
        <f t="shared" si="109"/>
        <v>72274.428886529553</v>
      </c>
      <c r="BD179" s="188">
        <f t="shared" si="109"/>
        <v>74254.202563120474</v>
      </c>
      <c r="BE179" s="188">
        <f t="shared" si="109"/>
        <v>76286.929564549879</v>
      </c>
      <c r="BF179" s="188">
        <f t="shared" si="109"/>
        <v>78374.241297475135</v>
      </c>
      <c r="BG179" s="188">
        <f t="shared" si="109"/>
        <v>80517.782354269351</v>
      </c>
      <c r="BH179" s="188">
        <f t="shared" si="109"/>
        <v>82719.216168753934</v>
      </c>
      <c r="BI179" s="188">
        <f t="shared" si="109"/>
        <v>84980.229931936163</v>
      </c>
      <c r="BJ179" s="188">
        <f t="shared" si="109"/>
        <v>87302.538898607279</v>
      </c>
      <c r="BK179" s="188">
        <f t="shared" si="109"/>
        <v>0</v>
      </c>
      <c r="BL179" s="188">
        <f t="shared" si="109"/>
        <v>0</v>
      </c>
      <c r="BM179" s="188">
        <f t="shared" si="109"/>
        <v>0</v>
      </c>
      <c r="BN179" s="188">
        <f t="shared" si="109"/>
        <v>0</v>
      </c>
      <c r="BO179" s="188">
        <f t="shared" si="109"/>
        <v>0</v>
      </c>
      <c r="BP179" s="188">
        <f t="shared" si="109"/>
        <v>0</v>
      </c>
      <c r="BQ179" s="188">
        <f t="shared" si="109"/>
        <v>0</v>
      </c>
      <c r="BR179" s="188">
        <f t="shared" si="109"/>
        <v>0</v>
      </c>
      <c r="BS179" s="188">
        <f t="shared" si="109"/>
        <v>0</v>
      </c>
      <c r="BT179" s="188">
        <f t="shared" si="109"/>
        <v>0</v>
      </c>
      <c r="BU179" s="188">
        <f t="shared" si="109"/>
        <v>0</v>
      </c>
      <c r="BV179" s="188">
        <f t="shared" si="109"/>
        <v>0</v>
      </c>
      <c r="BW179" s="188">
        <f t="shared" si="109"/>
        <v>0</v>
      </c>
      <c r="BX179" s="188">
        <f t="shared" si="109"/>
        <v>0</v>
      </c>
      <c r="BY179" s="188">
        <f t="shared" si="109"/>
        <v>0</v>
      </c>
      <c r="BZ179" s="188">
        <f t="shared" si="109"/>
        <v>0</v>
      </c>
      <c r="CA179" s="188">
        <f t="shared" si="109"/>
        <v>0</v>
      </c>
      <c r="CB179" s="188">
        <f t="shared" si="109"/>
        <v>0</v>
      </c>
    </row>
    <row r="180" spans="2:80">
      <c r="B180" s="1">
        <v>2017</v>
      </c>
      <c r="C180" s="9">
        <f t="shared" si="100"/>
        <v>2030</v>
      </c>
      <c r="E180" s="188">
        <f t="shared" si="101"/>
        <v>0</v>
      </c>
      <c r="F180" s="188">
        <f t="shared" si="101"/>
        <v>0</v>
      </c>
      <c r="G180" s="188">
        <f t="shared" si="101"/>
        <v>0</v>
      </c>
      <c r="H180" s="188">
        <f t="shared" si="101"/>
        <v>0</v>
      </c>
      <c r="I180" s="188">
        <f t="shared" si="101"/>
        <v>0</v>
      </c>
      <c r="J180" s="188">
        <f t="shared" si="101"/>
        <v>0</v>
      </c>
      <c r="K180" s="188">
        <f t="shared" si="101"/>
        <v>0</v>
      </c>
      <c r="L180" s="188">
        <f t="shared" si="101"/>
        <v>0</v>
      </c>
      <c r="M180" s="188">
        <f t="shared" si="101"/>
        <v>0</v>
      </c>
      <c r="N180" s="188">
        <f t="shared" si="101"/>
        <v>0</v>
      </c>
      <c r="O180" s="188">
        <f t="shared" si="101"/>
        <v>0</v>
      </c>
      <c r="P180" s="188">
        <f t="shared" si="101"/>
        <v>0</v>
      </c>
      <c r="Q180" s="188">
        <f t="shared" si="101"/>
        <v>0</v>
      </c>
      <c r="R180" s="188">
        <f t="shared" si="101"/>
        <v>0</v>
      </c>
      <c r="S180" s="188">
        <f t="shared" ref="S180:AX180" si="110">IF(S$175&gt;=$C180,$D142*HLOOKUP(S$175-$C180+1,$E$47:$CB$49,3)*S$106*$C$30,0)</f>
        <v>0</v>
      </c>
      <c r="T180" s="188">
        <f t="shared" si="110"/>
        <v>0</v>
      </c>
      <c r="U180" s="188">
        <f t="shared" si="110"/>
        <v>0</v>
      </c>
      <c r="V180" s="188">
        <f t="shared" si="110"/>
        <v>0</v>
      </c>
      <c r="W180" s="188">
        <f t="shared" si="110"/>
        <v>24175.790021130997</v>
      </c>
      <c r="X180" s="188">
        <f t="shared" si="110"/>
        <v>29579.018290276195</v>
      </c>
      <c r="Y180" s="188">
        <f t="shared" si="110"/>
        <v>34328.680686352149</v>
      </c>
      <c r="Z180" s="188">
        <f t="shared" si="110"/>
        <v>38542.231026218549</v>
      </c>
      <c r="AA180" s="188">
        <f t="shared" si="110"/>
        <v>42317.479099463926</v>
      </c>
      <c r="AB180" s="188">
        <f t="shared" si="110"/>
        <v>45735.91367214144</v>
      </c>
      <c r="AC180" s="188">
        <f t="shared" si="110"/>
        <v>48865.464403375532</v>
      </c>
      <c r="AD180" s="188">
        <f t="shared" si="110"/>
        <v>51762.797442283627</v>
      </c>
      <c r="AE180" s="188">
        <f t="shared" si="110"/>
        <v>54475.22346723573</v>
      </c>
      <c r="AF180" s="188">
        <f t="shared" si="110"/>
        <v>57042.283627255303</v>
      </c>
      <c r="AG180" s="188">
        <f t="shared" si="110"/>
        <v>59497.06778979519</v>
      </c>
      <c r="AH180" s="188">
        <f t="shared" si="110"/>
        <v>61867.310310761553</v>
      </c>
      <c r="AI180" s="188">
        <f t="shared" si="110"/>
        <v>64176.300906147844</v>
      </c>
      <c r="AJ180" s="188">
        <f t="shared" si="110"/>
        <v>66443.641857883675</v>
      </c>
      <c r="AK180" s="188">
        <f t="shared" si="110"/>
        <v>68685.877511671104</v>
      </c>
      <c r="AL180" s="188">
        <f t="shared" si="110"/>
        <v>70917.017640632519</v>
      </c>
      <c r="AM180" s="188">
        <f t="shared" si="110"/>
        <v>73148.972605065472</v>
      </c>
      <c r="AN180" s="188">
        <f t="shared" si="110"/>
        <v>75391.915210441715</v>
      </c>
      <c r="AO180" s="188">
        <f t="shared" si="110"/>
        <v>77654.581649064916</v>
      </c>
      <c r="AP180" s="188">
        <f t="shared" si="110"/>
        <v>79944.521819140922</v>
      </c>
      <c r="AQ180" s="188">
        <f t="shared" si="110"/>
        <v>82268.307576621999</v>
      </c>
      <c r="AR180" s="188">
        <f t="shared" si="110"/>
        <v>84631.706030401139</v>
      </c>
      <c r="AS180" s="188">
        <f t="shared" si="110"/>
        <v>87039.823790664668</v>
      </c>
      <c r="AT180" s="188">
        <f t="shared" si="110"/>
        <v>89497.227082248442</v>
      </c>
      <c r="AU180" s="188">
        <f t="shared" si="110"/>
        <v>92008.041805433197</v>
      </c>
      <c r="AV180" s="188">
        <f t="shared" si="110"/>
        <v>94576.036937291006</v>
      </c>
      <c r="AW180" s="188">
        <f t="shared" si="110"/>
        <v>97204.694093796701</v>
      </c>
      <c r="AX180" s="188">
        <f t="shared" si="110"/>
        <v>99897.265596784258</v>
      </c>
      <c r="AY180" s="188">
        <f t="shared" ref="AY180:CB180" si="111">IF(AY$175&gt;=$C180,$D142*HLOOKUP(AY$175-$C180+1,$E$47:$CB$49,3)*AY$106*$C$30,0)</f>
        <v>102656.82299411316</v>
      </c>
      <c r="AZ180" s="188">
        <f t="shared" si="111"/>
        <v>105486.29765253456</v>
      </c>
      <c r="BA180" s="188">
        <f t="shared" si="111"/>
        <v>108388.51476942151</v>
      </c>
      <c r="BB180" s="188">
        <f t="shared" si="111"/>
        <v>111366.22192236825</v>
      </c>
      <c r="BC180" s="188">
        <f t="shared" si="111"/>
        <v>114422.11308687781</v>
      </c>
      <c r="BD180" s="188">
        <f t="shared" si="111"/>
        <v>117558.84889545999</v>
      </c>
      <c r="BE180" s="188">
        <f t="shared" si="111"/>
        <v>120779.07378106871</v>
      </c>
      <c r="BF180" s="188">
        <f t="shared" si="111"/>
        <v>124085.43053944498</v>
      </c>
      <c r="BG180" s="188">
        <f t="shared" si="111"/>
        <v>127480.57275487404</v>
      </c>
      <c r="BH180" s="188">
        <f t="shared" si="111"/>
        <v>130967.17545902703</v>
      </c>
      <c r="BI180" s="188">
        <f t="shared" si="111"/>
        <v>134547.94433036126</v>
      </c>
      <c r="BJ180" s="188">
        <f t="shared" si="111"/>
        <v>138225.62368987311</v>
      </c>
      <c r="BK180" s="188">
        <f t="shared" si="111"/>
        <v>142003.00350604689</v>
      </c>
      <c r="BL180" s="188">
        <f t="shared" si="111"/>
        <v>0</v>
      </c>
      <c r="BM180" s="188">
        <f t="shared" si="111"/>
        <v>0</v>
      </c>
      <c r="BN180" s="188">
        <f t="shared" si="111"/>
        <v>0</v>
      </c>
      <c r="BO180" s="188">
        <f t="shared" si="111"/>
        <v>0</v>
      </c>
      <c r="BP180" s="188">
        <f t="shared" si="111"/>
        <v>0</v>
      </c>
      <c r="BQ180" s="188">
        <f t="shared" si="111"/>
        <v>0</v>
      </c>
      <c r="BR180" s="188">
        <f t="shared" si="111"/>
        <v>0</v>
      </c>
      <c r="BS180" s="188">
        <f t="shared" si="111"/>
        <v>0</v>
      </c>
      <c r="BT180" s="188">
        <f t="shared" si="111"/>
        <v>0</v>
      </c>
      <c r="BU180" s="188">
        <f t="shared" si="111"/>
        <v>0</v>
      </c>
      <c r="BV180" s="188">
        <f t="shared" si="111"/>
        <v>0</v>
      </c>
      <c r="BW180" s="188">
        <f t="shared" si="111"/>
        <v>0</v>
      </c>
      <c r="BX180" s="188">
        <f t="shared" si="111"/>
        <v>0</v>
      </c>
      <c r="BY180" s="188">
        <f t="shared" si="111"/>
        <v>0</v>
      </c>
      <c r="BZ180" s="188">
        <f t="shared" si="111"/>
        <v>0</v>
      </c>
      <c r="CA180" s="188">
        <f t="shared" si="111"/>
        <v>0</v>
      </c>
      <c r="CB180" s="188">
        <f t="shared" si="111"/>
        <v>0</v>
      </c>
    </row>
    <row r="181" spans="2:80">
      <c r="B181" s="1">
        <v>2018</v>
      </c>
      <c r="C181" s="9">
        <f t="shared" si="100"/>
        <v>2031</v>
      </c>
      <c r="E181" s="188">
        <f t="shared" si="101"/>
        <v>0</v>
      </c>
      <c r="F181" s="188">
        <f t="shared" si="101"/>
        <v>0</v>
      </c>
      <c r="G181" s="188">
        <f t="shared" si="101"/>
        <v>0</v>
      </c>
      <c r="H181" s="188">
        <f t="shared" si="101"/>
        <v>0</v>
      </c>
      <c r="I181" s="188">
        <f t="shared" si="101"/>
        <v>0</v>
      </c>
      <c r="J181" s="188">
        <f t="shared" si="101"/>
        <v>0</v>
      </c>
      <c r="K181" s="188">
        <f t="shared" si="101"/>
        <v>0</v>
      </c>
      <c r="L181" s="188">
        <f t="shared" si="101"/>
        <v>0</v>
      </c>
      <c r="M181" s="188">
        <f t="shared" si="101"/>
        <v>0</v>
      </c>
      <c r="N181" s="188">
        <f t="shared" si="101"/>
        <v>0</v>
      </c>
      <c r="O181" s="188">
        <f t="shared" si="101"/>
        <v>0</v>
      </c>
      <c r="P181" s="188">
        <f t="shared" si="101"/>
        <v>0</v>
      </c>
      <c r="Q181" s="188">
        <f t="shared" si="101"/>
        <v>0</v>
      </c>
      <c r="R181" s="188">
        <f t="shared" si="101"/>
        <v>0</v>
      </c>
      <c r="S181" s="188">
        <f t="shared" ref="S181:AX181" si="112">IF(S$175&gt;=$C181,$D143*HLOOKUP(S$175-$C181+1,$E$47:$CB$49,3)*S$106*$C$30,0)</f>
        <v>0</v>
      </c>
      <c r="T181" s="188">
        <f t="shared" si="112"/>
        <v>0</v>
      </c>
      <c r="U181" s="188">
        <f t="shared" si="112"/>
        <v>0</v>
      </c>
      <c r="V181" s="188">
        <f t="shared" si="112"/>
        <v>0</v>
      </c>
      <c r="W181" s="188">
        <f t="shared" si="112"/>
        <v>0</v>
      </c>
      <c r="X181" s="188">
        <f t="shared" si="112"/>
        <v>26142.996882995711</v>
      </c>
      <c r="Y181" s="188">
        <f t="shared" si="112"/>
        <v>31985.890938367265</v>
      </c>
      <c r="Z181" s="188">
        <f t="shared" si="112"/>
        <v>37122.037848452252</v>
      </c>
      <c r="AA181" s="188">
        <f t="shared" si="112"/>
        <v>41678.448758093313</v>
      </c>
      <c r="AB181" s="188">
        <f t="shared" si="112"/>
        <v>45760.892331814102</v>
      </c>
      <c r="AC181" s="188">
        <f t="shared" si="112"/>
        <v>49457.488153506813</v>
      </c>
      <c r="AD181" s="188">
        <f t="shared" si="112"/>
        <v>52841.693382801001</v>
      </c>
      <c r="AE181" s="188">
        <f t="shared" si="112"/>
        <v>55974.785146874448</v>
      </c>
      <c r="AF181" s="188">
        <f t="shared" si="112"/>
        <v>58907.923838668976</v>
      </c>
      <c r="AG181" s="188">
        <f t="shared" si="112"/>
        <v>61683.868107840564</v>
      </c>
      <c r="AH181" s="188">
        <f t="shared" si="112"/>
        <v>64338.400375601595</v>
      </c>
      <c r="AI181" s="188">
        <f t="shared" si="112"/>
        <v>66901.511768586337</v>
      </c>
      <c r="AJ181" s="188">
        <f t="shared" si="112"/>
        <v>69398.387108969779</v>
      </c>
      <c r="AK181" s="188">
        <f t="shared" si="112"/>
        <v>71850.223734871499</v>
      </c>
      <c r="AL181" s="188">
        <f t="shared" si="112"/>
        <v>74274.912221025224</v>
      </c>
      <c r="AM181" s="188">
        <f t="shared" si="112"/>
        <v>76687.602329020985</v>
      </c>
      <c r="AN181" s="188">
        <f t="shared" si="112"/>
        <v>79101.173576419984</v>
      </c>
      <c r="AO181" s="188">
        <f t="shared" si="112"/>
        <v>81526.626539480843</v>
      </c>
      <c r="AP181" s="188">
        <f t="shared" si="112"/>
        <v>83973.408282724093</v>
      </c>
      <c r="AQ181" s="188">
        <f t="shared" si="112"/>
        <v>86449.683046701495</v>
      </c>
      <c r="AR181" s="188">
        <f t="shared" si="112"/>
        <v>88962.557445489627</v>
      </c>
      <c r="AS181" s="188">
        <f t="shared" si="112"/>
        <v>91518.267863077621</v>
      </c>
      <c r="AT181" s="188">
        <f t="shared" si="112"/>
        <v>94122.336439344625</v>
      </c>
      <c r="AU181" s="188">
        <f t="shared" si="112"/>
        <v>96779.700957152949</v>
      </c>
      <c r="AV181" s="188">
        <f t="shared" si="112"/>
        <v>99494.823045185054</v>
      </c>
      <c r="AW181" s="188">
        <f t="shared" si="112"/>
        <v>102271.77836573617</v>
      </c>
      <c r="AX181" s="188">
        <f t="shared" si="112"/>
        <v>105114.33183716056</v>
      </c>
      <c r="AY181" s="188">
        <f t="shared" ref="AY181:CB181" si="113">IF(AY$175&gt;=$C181,$D143*HLOOKUP(AY$175-$C181+1,$E$47:$CB$49,3)*AY$106*$C$30,0)</f>
        <v>108026.00042579079</v>
      </c>
      <c r="AZ181" s="188">
        <f t="shared" si="113"/>
        <v>111010.1056142359</v>
      </c>
      <c r="BA181" s="188">
        <f t="shared" si="113"/>
        <v>114069.81729732761</v>
      </c>
      <c r="BB181" s="188">
        <f t="shared" si="113"/>
        <v>117208.19056141681</v>
      </c>
      <c r="BC181" s="188">
        <f t="shared" si="113"/>
        <v>120428.19655708098</v>
      </c>
      <c r="BD181" s="188">
        <f t="shared" si="113"/>
        <v>123732.74847115371</v>
      </c>
      <c r="BE181" s="188">
        <f t="shared" si="113"/>
        <v>127124.72343432425</v>
      </c>
      <c r="BF181" s="188">
        <f t="shared" si="113"/>
        <v>130606.98105955307</v>
      </c>
      <c r="BG181" s="188">
        <f t="shared" si="113"/>
        <v>134182.37918936601</v>
      </c>
      <c r="BH181" s="188">
        <f t="shared" si="113"/>
        <v>137853.78733270729</v>
      </c>
      <c r="BI181" s="188">
        <f t="shared" si="113"/>
        <v>141624.09819110096</v>
      </c>
      <c r="BJ181" s="188">
        <f t="shared" si="113"/>
        <v>145496.23760661532</v>
      </c>
      <c r="BK181" s="188">
        <f t="shared" si="113"/>
        <v>149473.17320823739</v>
      </c>
      <c r="BL181" s="188">
        <f t="shared" si="113"/>
        <v>153557.92198682152</v>
      </c>
      <c r="BM181" s="188">
        <f t="shared" si="113"/>
        <v>0</v>
      </c>
      <c r="BN181" s="188">
        <f t="shared" si="113"/>
        <v>0</v>
      </c>
      <c r="BO181" s="188">
        <f t="shared" si="113"/>
        <v>0</v>
      </c>
      <c r="BP181" s="188">
        <f t="shared" si="113"/>
        <v>0</v>
      </c>
      <c r="BQ181" s="188">
        <f t="shared" si="113"/>
        <v>0</v>
      </c>
      <c r="BR181" s="188">
        <f t="shared" si="113"/>
        <v>0</v>
      </c>
      <c r="BS181" s="188">
        <f t="shared" si="113"/>
        <v>0</v>
      </c>
      <c r="BT181" s="188">
        <f t="shared" si="113"/>
        <v>0</v>
      </c>
      <c r="BU181" s="188">
        <f t="shared" si="113"/>
        <v>0</v>
      </c>
      <c r="BV181" s="188">
        <f t="shared" si="113"/>
        <v>0</v>
      </c>
      <c r="BW181" s="188">
        <f t="shared" si="113"/>
        <v>0</v>
      </c>
      <c r="BX181" s="188">
        <f t="shared" si="113"/>
        <v>0</v>
      </c>
      <c r="BY181" s="188">
        <f t="shared" si="113"/>
        <v>0</v>
      </c>
      <c r="BZ181" s="188">
        <f t="shared" si="113"/>
        <v>0</v>
      </c>
      <c r="CA181" s="188">
        <f t="shared" si="113"/>
        <v>0</v>
      </c>
      <c r="CB181" s="188">
        <f t="shared" si="113"/>
        <v>0</v>
      </c>
    </row>
    <row r="182" spans="2:80">
      <c r="B182" s="1">
        <v>2019</v>
      </c>
      <c r="C182" s="9">
        <f t="shared" si="100"/>
        <v>2032</v>
      </c>
      <c r="E182" s="188">
        <f t="shared" si="101"/>
        <v>0</v>
      </c>
      <c r="F182" s="188">
        <f t="shared" si="101"/>
        <v>0</v>
      </c>
      <c r="G182" s="188">
        <f t="shared" si="101"/>
        <v>0</v>
      </c>
      <c r="H182" s="188">
        <f t="shared" si="101"/>
        <v>0</v>
      </c>
      <c r="I182" s="188">
        <f t="shared" si="101"/>
        <v>0</v>
      </c>
      <c r="J182" s="188">
        <f t="shared" si="101"/>
        <v>0</v>
      </c>
      <c r="K182" s="188">
        <f t="shared" si="101"/>
        <v>0</v>
      </c>
      <c r="L182" s="188">
        <f t="shared" si="101"/>
        <v>0</v>
      </c>
      <c r="M182" s="188">
        <f t="shared" si="101"/>
        <v>0</v>
      </c>
      <c r="N182" s="188">
        <f t="shared" si="101"/>
        <v>0</v>
      </c>
      <c r="O182" s="188">
        <f t="shared" si="101"/>
        <v>0</v>
      </c>
      <c r="P182" s="188">
        <f t="shared" si="101"/>
        <v>0</v>
      </c>
      <c r="Q182" s="188">
        <f t="shared" si="101"/>
        <v>0</v>
      </c>
      <c r="R182" s="188">
        <f t="shared" si="101"/>
        <v>0</v>
      </c>
      <c r="S182" s="188">
        <f t="shared" ref="S182:AB195" si="114">IF(S$175&gt;=$C182,$D$143*HLOOKUP(S$175-$C182+1,$E$47:$CB$49,3)*S$106*$C$30,0)</f>
        <v>0</v>
      </c>
      <c r="T182" s="188">
        <f t="shared" si="114"/>
        <v>0</v>
      </c>
      <c r="U182" s="188">
        <f t="shared" si="114"/>
        <v>0</v>
      </c>
      <c r="V182" s="188">
        <f t="shared" si="114"/>
        <v>0</v>
      </c>
      <c r="W182" s="188">
        <f t="shared" si="114"/>
        <v>0</v>
      </c>
      <c r="X182" s="188">
        <f t="shared" si="114"/>
        <v>0</v>
      </c>
      <c r="Y182" s="188">
        <f t="shared" si="114"/>
        <v>26856.76336349699</v>
      </c>
      <c r="Z182" s="188">
        <f t="shared" si="114"/>
        <v>32859.182432183181</v>
      </c>
      <c r="AA182" s="188">
        <f t="shared" si="114"/>
        <v>38135.558464421083</v>
      </c>
      <c r="AB182" s="188">
        <f t="shared" si="114"/>
        <v>42816.370313757303</v>
      </c>
      <c r="AC182" s="188">
        <f t="shared" ref="AC182:AL195" si="115">IF(AC$175&gt;=$C182,$D$143*HLOOKUP(AC$175-$C182+1,$E$47:$CB$49,3)*AC$106*$C$30,0)</f>
        <v>47010.274382787829</v>
      </c>
      <c r="AD182" s="188">
        <f t="shared" si="115"/>
        <v>50807.796131270574</v>
      </c>
      <c r="AE182" s="188">
        <f t="shared" si="115"/>
        <v>54284.398275372121</v>
      </c>
      <c r="AF182" s="188">
        <f t="shared" si="115"/>
        <v>57503.030954725444</v>
      </c>
      <c r="AG182" s="188">
        <f t="shared" si="115"/>
        <v>60516.251363632749</v>
      </c>
      <c r="AH182" s="188">
        <f t="shared" si="115"/>
        <v>63367.985565379488</v>
      </c>
      <c r="AI182" s="188">
        <f t="shared" si="115"/>
        <v>66094.992927048719</v>
      </c>
      <c r="AJ182" s="188">
        <f t="shared" si="115"/>
        <v>68728.083404921505</v>
      </c>
      <c r="AK182" s="188">
        <f t="shared" si="115"/>
        <v>71293.129427187072</v>
      </c>
      <c r="AL182" s="188">
        <f t="shared" si="115"/>
        <v>73811.907070106332</v>
      </c>
      <c r="AM182" s="188">
        <f t="shared" ref="AM182:AV195" si="116">IF(AM$175&gt;=$C182,$D$143*HLOOKUP(AM$175-$C182+1,$E$47:$CB$49,3)*AM$106*$C$30,0)</f>
        <v>76302.79536398752</v>
      </c>
      <c r="AN182" s="188">
        <f t="shared" si="116"/>
        <v>78781.357695226528</v>
      </c>
      <c r="AO182" s="188">
        <f t="shared" si="116"/>
        <v>81260.82522308662</v>
      </c>
      <c r="AP182" s="188">
        <f t="shared" si="116"/>
        <v>83752.498865926973</v>
      </c>
      <c r="AQ182" s="188">
        <f t="shared" si="116"/>
        <v>86266.083615774478</v>
      </c>
      <c r="AR182" s="188">
        <f t="shared" si="116"/>
        <v>88809.966616517879</v>
      </c>
      <c r="AS182" s="188">
        <f t="shared" si="116"/>
        <v>91391.448509832815</v>
      </c>
      <c r="AT182" s="188">
        <f t="shared" si="116"/>
        <v>94016.935947940161</v>
      </c>
      <c r="AU182" s="188">
        <f t="shared" si="116"/>
        <v>96692.10183837451</v>
      </c>
      <c r="AV182" s="188">
        <f t="shared" si="116"/>
        <v>99422.018777306308</v>
      </c>
      <c r="AW182" s="188">
        <f t="shared" ref="AW182:BF195" si="117">IF(AW$175&gt;=$C182,$D$143*HLOOKUP(AW$175-$C182+1,$E$47:$CB$49,3)*AW$106*$C$30,0)</f>
        <v>102211.27020657573</v>
      </c>
      <c r="AX182" s="188">
        <f t="shared" si="117"/>
        <v>105064.04306382818</v>
      </c>
      <c r="AY182" s="188">
        <f t="shared" si="117"/>
        <v>107984.2050587136</v>
      </c>
      <c r="AZ182" s="188">
        <f t="shared" si="117"/>
        <v>110975.36917917569</v>
      </c>
      <c r="BA182" s="188">
        <f t="shared" si="117"/>
        <v>114040.94759226045</v>
      </c>
      <c r="BB182" s="188">
        <f t="shared" si="117"/>
        <v>117184.19673852685</v>
      </c>
      <c r="BC182" s="188">
        <f t="shared" si="117"/>
        <v>120408.25511550628</v>
      </c>
      <c r="BD182" s="188">
        <f t="shared" si="117"/>
        <v>123716.17499330893</v>
      </c>
      <c r="BE182" s="188">
        <f t="shared" si="117"/>
        <v>127110.94909575193</v>
      </c>
      <c r="BF182" s="188">
        <f t="shared" si="117"/>
        <v>130595.53310608896</v>
      </c>
      <c r="BG182" s="188">
        <f t="shared" ref="BG182:BP195" si="118">IF(BG$175&gt;=$C182,$D$143*HLOOKUP(BG$175-$C182+1,$E$47:$CB$49,3)*BG$106*$C$30,0)</f>
        <v>134172.86471156889</v>
      </c>
      <c r="BH182" s="188">
        <f t="shared" si="118"/>
        <v>137845.87978066882</v>
      </c>
      <c r="BI182" s="188">
        <f t="shared" si="118"/>
        <v>141617.52616680547</v>
      </c>
      <c r="BJ182" s="188">
        <f t="shared" si="118"/>
        <v>145490.7755491884</v>
      </c>
      <c r="BK182" s="188">
        <f t="shared" si="118"/>
        <v>149468.63365238771</v>
      </c>
      <c r="BL182" s="188">
        <f t="shared" si="118"/>
        <v>153554.14912877526</v>
      </c>
      <c r="BM182" s="188">
        <f t="shared" si="118"/>
        <v>157750.42134028758</v>
      </c>
      <c r="BN182" s="188">
        <f t="shared" si="118"/>
        <v>0</v>
      </c>
      <c r="BO182" s="188">
        <f t="shared" si="118"/>
        <v>0</v>
      </c>
      <c r="BP182" s="188">
        <f t="shared" si="118"/>
        <v>0</v>
      </c>
      <c r="BQ182" s="188">
        <f t="shared" ref="BQ182:CB195" si="119">IF(BQ$175&gt;=$C182,$D$143*HLOOKUP(BQ$175-$C182+1,$E$47:$CB$49,3)*BQ$106*$C$30,0)</f>
        <v>0</v>
      </c>
      <c r="BR182" s="188">
        <f t="shared" si="119"/>
        <v>0</v>
      </c>
      <c r="BS182" s="188">
        <f t="shared" si="119"/>
        <v>0</v>
      </c>
      <c r="BT182" s="188">
        <f t="shared" si="119"/>
        <v>0</v>
      </c>
      <c r="BU182" s="188">
        <f t="shared" si="119"/>
        <v>0</v>
      </c>
      <c r="BV182" s="188">
        <f t="shared" si="119"/>
        <v>0</v>
      </c>
      <c r="BW182" s="188">
        <f t="shared" si="119"/>
        <v>0</v>
      </c>
      <c r="BX182" s="188">
        <f t="shared" si="119"/>
        <v>0</v>
      </c>
      <c r="BY182" s="188">
        <f t="shared" si="119"/>
        <v>0</v>
      </c>
      <c r="BZ182" s="188">
        <f t="shared" si="119"/>
        <v>0</v>
      </c>
      <c r="CA182" s="188">
        <f t="shared" si="119"/>
        <v>0</v>
      </c>
      <c r="CB182" s="188">
        <f t="shared" si="119"/>
        <v>0</v>
      </c>
    </row>
    <row r="183" spans="2:80">
      <c r="B183" s="1">
        <v>2020</v>
      </c>
      <c r="C183" s="9">
        <f t="shared" si="100"/>
        <v>2033</v>
      </c>
      <c r="E183" s="188">
        <f t="shared" si="101"/>
        <v>0</v>
      </c>
      <c r="F183" s="188">
        <f t="shared" si="101"/>
        <v>0</v>
      </c>
      <c r="G183" s="188">
        <f t="shared" si="101"/>
        <v>0</v>
      </c>
      <c r="H183" s="188">
        <f t="shared" si="101"/>
        <v>0</v>
      </c>
      <c r="I183" s="188">
        <f t="shared" si="101"/>
        <v>0</v>
      </c>
      <c r="J183" s="188">
        <f t="shared" si="101"/>
        <v>0</v>
      </c>
      <c r="K183" s="188">
        <f t="shared" si="101"/>
        <v>0</v>
      </c>
      <c r="L183" s="188">
        <f t="shared" si="101"/>
        <v>0</v>
      </c>
      <c r="M183" s="188">
        <f t="shared" si="101"/>
        <v>0</v>
      </c>
      <c r="N183" s="188">
        <f t="shared" si="101"/>
        <v>0</v>
      </c>
      <c r="O183" s="188">
        <f t="shared" si="101"/>
        <v>0</v>
      </c>
      <c r="P183" s="188">
        <f t="shared" si="101"/>
        <v>0</v>
      </c>
      <c r="Q183" s="188">
        <f t="shared" si="101"/>
        <v>0</v>
      </c>
      <c r="R183" s="188">
        <f t="shared" si="101"/>
        <v>0</v>
      </c>
      <c r="S183" s="188">
        <f t="shared" si="114"/>
        <v>0</v>
      </c>
      <c r="T183" s="188">
        <f t="shared" si="114"/>
        <v>0</v>
      </c>
      <c r="U183" s="188">
        <f t="shared" si="114"/>
        <v>0</v>
      </c>
      <c r="V183" s="188">
        <f t="shared" si="114"/>
        <v>0</v>
      </c>
      <c r="W183" s="188">
        <f t="shared" si="114"/>
        <v>0</v>
      </c>
      <c r="X183" s="188">
        <f t="shared" si="114"/>
        <v>0</v>
      </c>
      <c r="Y183" s="188">
        <f t="shared" si="114"/>
        <v>0</v>
      </c>
      <c r="Z183" s="188">
        <f t="shared" si="114"/>
        <v>27590.017379836925</v>
      </c>
      <c r="AA183" s="188">
        <f t="shared" si="114"/>
        <v>33756.316877087782</v>
      </c>
      <c r="AB183" s="188">
        <f t="shared" si="114"/>
        <v>39176.750622647043</v>
      </c>
      <c r="AC183" s="188">
        <f t="shared" si="115"/>
        <v>43985.359855525101</v>
      </c>
      <c r="AD183" s="188">
        <f t="shared" si="115"/>
        <v>48293.767558561674</v>
      </c>
      <c r="AE183" s="188">
        <f t="shared" si="115"/>
        <v>52194.970753558475</v>
      </c>
      <c r="AF183" s="188">
        <f t="shared" si="115"/>
        <v>55766.492469719982</v>
      </c>
      <c r="AG183" s="188">
        <f t="shared" si="115"/>
        <v>59073.001536384611</v>
      </c>
      <c r="AH183" s="188">
        <f t="shared" si="115"/>
        <v>62168.490085240308</v>
      </c>
      <c r="AI183" s="188">
        <f t="shared" si="115"/>
        <v>65098.083466392352</v>
      </c>
      <c r="AJ183" s="188">
        <f t="shared" si="115"/>
        <v>67899.544665758585</v>
      </c>
      <c r="AK183" s="188">
        <f t="shared" si="115"/>
        <v>70604.524825278975</v>
      </c>
      <c r="AL183" s="188">
        <f t="shared" si="115"/>
        <v>73239.60275244934</v>
      </c>
      <c r="AM183" s="188">
        <f t="shared" si="116"/>
        <v>75827.149062610435</v>
      </c>
      <c r="AN183" s="188">
        <f t="shared" si="116"/>
        <v>78386.044577653112</v>
      </c>
      <c r="AO183" s="188">
        <f t="shared" si="116"/>
        <v>80932.277601727721</v>
      </c>
      <c r="AP183" s="188">
        <f t="shared" si="116"/>
        <v>83479.44053646097</v>
      </c>
      <c r="AQ183" s="188">
        <f t="shared" si="116"/>
        <v>86039.142842371875</v>
      </c>
      <c r="AR183" s="188">
        <f t="shared" si="116"/>
        <v>88621.35448103286</v>
      </c>
      <c r="AS183" s="188">
        <f t="shared" si="116"/>
        <v>91234.691585465058</v>
      </c>
      <c r="AT183" s="188">
        <f t="shared" si="116"/>
        <v>93886.654122361753</v>
      </c>
      <c r="AU183" s="188">
        <f t="shared" si="116"/>
        <v>96583.823660906375</v>
      </c>
      <c r="AV183" s="188">
        <f t="shared" si="116"/>
        <v>99332.027992607356</v>
      </c>
      <c r="AW183" s="188">
        <f t="shared" si="117"/>
        <v>102136.47820766976</v>
      </c>
      <c r="AX183" s="188">
        <f t="shared" si="117"/>
        <v>105001.8828868827</v>
      </c>
      <c r="AY183" s="188">
        <f t="shared" si="117"/>
        <v>107932.54328132544</v>
      </c>
      <c r="AZ183" s="188">
        <f t="shared" si="117"/>
        <v>110932.43269839247</v>
      </c>
      <c r="BA183" s="188">
        <f t="shared" si="117"/>
        <v>114005.26276925877</v>
      </c>
      <c r="BB183" s="188">
        <f t="shared" si="117"/>
        <v>117154.53882130975</v>
      </c>
      <c r="BC183" s="188">
        <f t="shared" si="117"/>
        <v>120383.60620373745</v>
      </c>
      <c r="BD183" s="188">
        <f t="shared" si="117"/>
        <v>123695.68910257897</v>
      </c>
      <c r="BE183" s="188">
        <f t="shared" si="117"/>
        <v>127093.92312223485</v>
      </c>
      <c r="BF183" s="188">
        <f t="shared" si="117"/>
        <v>130581.38269505611</v>
      </c>
      <c r="BG183" s="188">
        <f t="shared" si="118"/>
        <v>134161.10420153409</v>
      </c>
      <c r="BH183" s="188">
        <f t="shared" si="118"/>
        <v>137836.10553482131</v>
      </c>
      <c r="BI183" s="188">
        <f t="shared" si="118"/>
        <v>141609.40271964169</v>
      </c>
      <c r="BJ183" s="188">
        <f t="shared" si="118"/>
        <v>145484.02409287629</v>
      </c>
      <c r="BK183" s="188">
        <f t="shared" si="118"/>
        <v>149463.0224677003</v>
      </c>
      <c r="BL183" s="188">
        <f t="shared" si="118"/>
        <v>153549.48563216941</v>
      </c>
      <c r="BM183" s="188">
        <f t="shared" si="118"/>
        <v>157746.54547417298</v>
      </c>
      <c r="BN183" s="188">
        <f t="shared" si="118"/>
        <v>162057.38597565755</v>
      </c>
      <c r="BO183" s="188">
        <f t="shared" si="118"/>
        <v>0</v>
      </c>
      <c r="BP183" s="188">
        <f t="shared" si="118"/>
        <v>0</v>
      </c>
      <c r="BQ183" s="188">
        <f t="shared" si="119"/>
        <v>0</v>
      </c>
      <c r="BR183" s="188">
        <f t="shared" si="119"/>
        <v>0</v>
      </c>
      <c r="BS183" s="188">
        <f t="shared" si="119"/>
        <v>0</v>
      </c>
      <c r="BT183" s="188">
        <f t="shared" si="119"/>
        <v>0</v>
      </c>
      <c r="BU183" s="188">
        <f t="shared" si="119"/>
        <v>0</v>
      </c>
      <c r="BV183" s="188">
        <f t="shared" si="119"/>
        <v>0</v>
      </c>
      <c r="BW183" s="188">
        <f t="shared" si="119"/>
        <v>0</v>
      </c>
      <c r="BX183" s="188">
        <f t="shared" si="119"/>
        <v>0</v>
      </c>
      <c r="BY183" s="188">
        <f t="shared" si="119"/>
        <v>0</v>
      </c>
      <c r="BZ183" s="188">
        <f t="shared" si="119"/>
        <v>0</v>
      </c>
      <c r="CA183" s="188">
        <f t="shared" si="119"/>
        <v>0</v>
      </c>
      <c r="CB183" s="188">
        <f t="shared" si="119"/>
        <v>0</v>
      </c>
    </row>
    <row r="184" spans="2:80">
      <c r="B184" s="1">
        <v>2021</v>
      </c>
      <c r="C184" s="9">
        <f t="shared" si="100"/>
        <v>2034</v>
      </c>
      <c r="E184" s="188">
        <f t="shared" si="101"/>
        <v>0</v>
      </c>
      <c r="F184" s="188">
        <f t="shared" si="101"/>
        <v>0</v>
      </c>
      <c r="G184" s="188">
        <f t="shared" si="101"/>
        <v>0</v>
      </c>
      <c r="H184" s="188">
        <f t="shared" si="101"/>
        <v>0</v>
      </c>
      <c r="I184" s="188">
        <f t="shared" si="101"/>
        <v>0</v>
      </c>
      <c r="J184" s="188">
        <f t="shared" si="101"/>
        <v>0</v>
      </c>
      <c r="K184" s="188">
        <f t="shared" si="101"/>
        <v>0</v>
      </c>
      <c r="L184" s="188">
        <f t="shared" si="101"/>
        <v>0</v>
      </c>
      <c r="M184" s="188">
        <f t="shared" si="101"/>
        <v>0</v>
      </c>
      <c r="N184" s="188">
        <f t="shared" si="101"/>
        <v>0</v>
      </c>
      <c r="O184" s="188">
        <f t="shared" si="101"/>
        <v>0</v>
      </c>
      <c r="P184" s="188">
        <f t="shared" si="101"/>
        <v>0</v>
      </c>
      <c r="Q184" s="188">
        <f t="shared" si="101"/>
        <v>0</v>
      </c>
      <c r="R184" s="188">
        <f t="shared" si="101"/>
        <v>0</v>
      </c>
      <c r="S184" s="188">
        <f t="shared" si="114"/>
        <v>0</v>
      </c>
      <c r="T184" s="188">
        <f t="shared" si="114"/>
        <v>0</v>
      </c>
      <c r="U184" s="188">
        <f t="shared" si="114"/>
        <v>0</v>
      </c>
      <c r="V184" s="188">
        <f t="shared" si="114"/>
        <v>0</v>
      </c>
      <c r="W184" s="188">
        <f t="shared" si="114"/>
        <v>0</v>
      </c>
      <c r="X184" s="188">
        <f t="shared" si="114"/>
        <v>0</v>
      </c>
      <c r="Y184" s="188">
        <f t="shared" si="114"/>
        <v>0</v>
      </c>
      <c r="Z184" s="188">
        <f t="shared" si="114"/>
        <v>0</v>
      </c>
      <c r="AA184" s="188">
        <f t="shared" si="114"/>
        <v>28343.290988456156</v>
      </c>
      <c r="AB184" s="188">
        <f t="shared" si="114"/>
        <v>34677.94524279808</v>
      </c>
      <c r="AC184" s="188">
        <f t="shared" si="115"/>
        <v>40246.369822563305</v>
      </c>
      <c r="AD184" s="188">
        <f t="shared" si="115"/>
        <v>45186.265613888296</v>
      </c>
      <c r="AE184" s="188">
        <f t="shared" si="115"/>
        <v>49612.30317460814</v>
      </c>
      <c r="AF184" s="188">
        <f t="shared" si="115"/>
        <v>53620.018568136562</v>
      </c>
      <c r="AG184" s="188">
        <f t="shared" si="115"/>
        <v>57289.051388200489</v>
      </c>
      <c r="AH184" s="188">
        <f t="shared" si="115"/>
        <v>60685.836078192529</v>
      </c>
      <c r="AI184" s="188">
        <f t="shared" si="115"/>
        <v>63865.838884416531</v>
      </c>
      <c r="AJ184" s="188">
        <f t="shared" si="115"/>
        <v>66875.417187202605</v>
      </c>
      <c r="AK184" s="188">
        <f t="shared" si="115"/>
        <v>69753.364992503164</v>
      </c>
      <c r="AL184" s="188">
        <f t="shared" si="115"/>
        <v>72532.197594301993</v>
      </c>
      <c r="AM184" s="188">
        <f t="shared" si="116"/>
        <v>75239.219465249756</v>
      </c>
      <c r="AN184" s="188">
        <f t="shared" si="116"/>
        <v>77897.411992109133</v>
      </c>
      <c r="AO184" s="188">
        <f t="shared" si="116"/>
        <v>80526.17148846644</v>
      </c>
      <c r="AP184" s="188">
        <f t="shared" si="116"/>
        <v>83141.922777499873</v>
      </c>
      <c r="AQ184" s="188">
        <f t="shared" si="116"/>
        <v>85758.629365981949</v>
      </c>
      <c r="AR184" s="188">
        <f t="shared" si="116"/>
        <v>88388.217680532107</v>
      </c>
      <c r="AS184" s="188">
        <f t="shared" si="116"/>
        <v>91040.929886572005</v>
      </c>
      <c r="AT184" s="188">
        <f t="shared" si="116"/>
        <v>93725.617358207426</v>
      </c>
      <c r="AU184" s="188">
        <f t="shared" si="116"/>
        <v>96449.984829199981</v>
      </c>
      <c r="AV184" s="188">
        <f t="shared" si="116"/>
        <v>99220.793561348095</v>
      </c>
      <c r="AW184" s="188">
        <f t="shared" si="117"/>
        <v>102044.03045883775</v>
      </c>
      <c r="AX184" s="188">
        <f t="shared" si="117"/>
        <v>104925.04888712779</v>
      </c>
      <c r="AY184" s="188">
        <f t="shared" si="117"/>
        <v>107868.68598254943</v>
      </c>
      <c r="AZ184" s="188">
        <f t="shared" si="117"/>
        <v>110879.3604306467</v>
      </c>
      <c r="BA184" s="188">
        <f t="shared" si="117"/>
        <v>113961.15401963006</v>
      </c>
      <c r="BB184" s="188">
        <f t="shared" si="117"/>
        <v>117117.87971710246</v>
      </c>
      <c r="BC184" s="188">
        <f t="shared" si="117"/>
        <v>120353.13855428935</v>
      </c>
      <c r="BD184" s="188">
        <f t="shared" si="117"/>
        <v>123670.36721643464</v>
      </c>
      <c r="BE184" s="188">
        <f t="shared" si="117"/>
        <v>127072.87791758262</v>
      </c>
      <c r="BF184" s="188">
        <f t="shared" si="117"/>
        <v>130563.89187165021</v>
      </c>
      <c r="BG184" s="188">
        <f t="shared" si="118"/>
        <v>134146.56745036106</v>
      </c>
      <c r="BH184" s="188">
        <f t="shared" si="118"/>
        <v>137824.02393467227</v>
      </c>
      <c r="BI184" s="188">
        <f t="shared" si="118"/>
        <v>141599.36161345337</v>
      </c>
      <c r="BJ184" s="188">
        <f t="shared" si="118"/>
        <v>145475.67885613278</v>
      </c>
      <c r="BK184" s="188">
        <f t="shared" si="118"/>
        <v>149456.08668044742</v>
      </c>
      <c r="BL184" s="188">
        <f t="shared" si="118"/>
        <v>153543.72124868984</v>
      </c>
      <c r="BM184" s="188">
        <f t="shared" si="118"/>
        <v>157741.75465293124</v>
      </c>
      <c r="BN184" s="188">
        <f t="shared" si="118"/>
        <v>162053.40428910748</v>
      </c>
      <c r="BO184" s="188">
        <f t="shared" si="118"/>
        <v>166481.94106950448</v>
      </c>
      <c r="BP184" s="188">
        <f t="shared" si="118"/>
        <v>0</v>
      </c>
      <c r="BQ184" s="188">
        <f t="shared" si="119"/>
        <v>0</v>
      </c>
      <c r="BR184" s="188">
        <f t="shared" si="119"/>
        <v>0</v>
      </c>
      <c r="BS184" s="188">
        <f t="shared" si="119"/>
        <v>0</v>
      </c>
      <c r="BT184" s="188">
        <f t="shared" si="119"/>
        <v>0</v>
      </c>
      <c r="BU184" s="188">
        <f t="shared" si="119"/>
        <v>0</v>
      </c>
      <c r="BV184" s="188">
        <f t="shared" si="119"/>
        <v>0</v>
      </c>
      <c r="BW184" s="188">
        <f t="shared" si="119"/>
        <v>0</v>
      </c>
      <c r="BX184" s="188">
        <f t="shared" si="119"/>
        <v>0</v>
      </c>
      <c r="BY184" s="188">
        <f t="shared" si="119"/>
        <v>0</v>
      </c>
      <c r="BZ184" s="188">
        <f t="shared" si="119"/>
        <v>0</v>
      </c>
      <c r="CA184" s="188">
        <f t="shared" si="119"/>
        <v>0</v>
      </c>
      <c r="CB184" s="188">
        <f t="shared" si="119"/>
        <v>0</v>
      </c>
    </row>
    <row r="185" spans="2:80">
      <c r="B185" s="1">
        <v>2022</v>
      </c>
      <c r="C185" s="9">
        <f t="shared" si="100"/>
        <v>2035</v>
      </c>
      <c r="E185" s="188">
        <f t="shared" si="101"/>
        <v>0</v>
      </c>
      <c r="F185" s="188">
        <f t="shared" si="101"/>
        <v>0</v>
      </c>
      <c r="G185" s="188">
        <f t="shared" si="101"/>
        <v>0</v>
      </c>
      <c r="H185" s="188">
        <f t="shared" si="101"/>
        <v>0</v>
      </c>
      <c r="I185" s="188">
        <f t="shared" si="101"/>
        <v>0</v>
      </c>
      <c r="J185" s="188">
        <f t="shared" si="101"/>
        <v>0</v>
      </c>
      <c r="K185" s="188">
        <f t="shared" si="101"/>
        <v>0</v>
      </c>
      <c r="L185" s="188">
        <f t="shared" si="101"/>
        <v>0</v>
      </c>
      <c r="M185" s="188">
        <f t="shared" si="101"/>
        <v>0</v>
      </c>
      <c r="N185" s="188">
        <f t="shared" si="101"/>
        <v>0</v>
      </c>
      <c r="O185" s="188">
        <f t="shared" si="101"/>
        <v>0</v>
      </c>
      <c r="P185" s="188">
        <f t="shared" si="101"/>
        <v>0</v>
      </c>
      <c r="Q185" s="188">
        <f t="shared" si="101"/>
        <v>0</v>
      </c>
      <c r="R185" s="188">
        <f t="shared" si="101"/>
        <v>0</v>
      </c>
      <c r="S185" s="188">
        <f t="shared" si="114"/>
        <v>0</v>
      </c>
      <c r="T185" s="188">
        <f t="shared" si="114"/>
        <v>0</v>
      </c>
      <c r="U185" s="188">
        <f t="shared" si="114"/>
        <v>0</v>
      </c>
      <c r="V185" s="188">
        <f t="shared" si="114"/>
        <v>0</v>
      </c>
      <c r="W185" s="188">
        <f t="shared" si="114"/>
        <v>0</v>
      </c>
      <c r="X185" s="188">
        <f t="shared" si="114"/>
        <v>0</v>
      </c>
      <c r="Y185" s="188">
        <f t="shared" si="114"/>
        <v>0</v>
      </c>
      <c r="Z185" s="188">
        <f t="shared" si="114"/>
        <v>0</v>
      </c>
      <c r="AA185" s="188">
        <f t="shared" si="114"/>
        <v>0</v>
      </c>
      <c r="AB185" s="188">
        <f t="shared" si="114"/>
        <v>29117.130772211494</v>
      </c>
      <c r="AC185" s="188">
        <f t="shared" si="115"/>
        <v>35624.736272064802</v>
      </c>
      <c r="AD185" s="188">
        <f t="shared" si="115"/>
        <v>41345.192190548536</v>
      </c>
      <c r="AE185" s="188">
        <f t="shared" si="115"/>
        <v>46419.958978064111</v>
      </c>
      <c r="AF185" s="188">
        <f t="shared" si="115"/>
        <v>50966.837973544498</v>
      </c>
      <c r="AG185" s="188">
        <f t="shared" si="115"/>
        <v>55083.973603937586</v>
      </c>
      <c r="AH185" s="188">
        <f t="shared" si="115"/>
        <v>58853.179814777694</v>
      </c>
      <c r="AI185" s="188">
        <f t="shared" si="115"/>
        <v>62342.70486900751</v>
      </c>
      <c r="AJ185" s="188">
        <f t="shared" si="115"/>
        <v>65609.529374409365</v>
      </c>
      <c r="AK185" s="188">
        <f t="shared" si="115"/>
        <v>68701.276378916446</v>
      </c>
      <c r="AL185" s="188">
        <f t="shared" si="115"/>
        <v>71657.799057834214</v>
      </c>
      <c r="AM185" s="188">
        <f t="shared" si="116"/>
        <v>74512.500450612308</v>
      </c>
      <c r="AN185" s="188">
        <f t="shared" si="116"/>
        <v>77293.430507454541</v>
      </c>
      <c r="AO185" s="188">
        <f t="shared" si="116"/>
        <v>80024.198062069248</v>
      </c>
      <c r="AP185" s="188">
        <f t="shared" si="116"/>
        <v>82724.728993897268</v>
      </c>
      <c r="AQ185" s="188">
        <f t="shared" si="116"/>
        <v>85411.896563160422</v>
      </c>
      <c r="AR185" s="188">
        <f t="shared" si="116"/>
        <v>88100.045513837002</v>
      </c>
      <c r="AS185" s="188">
        <f t="shared" si="116"/>
        <v>90801.427892581269</v>
      </c>
      <c r="AT185" s="188">
        <f t="shared" si="116"/>
        <v>93526.565500481636</v>
      </c>
      <c r="AU185" s="188">
        <f t="shared" si="116"/>
        <v>96284.551375373994</v>
      </c>
      <c r="AV185" s="188">
        <f t="shared" si="116"/>
        <v>99083.300608720179</v>
      </c>
      <c r="AW185" s="188">
        <f t="shared" si="117"/>
        <v>101929.75906097265</v>
      </c>
      <c r="AX185" s="188">
        <f t="shared" si="117"/>
        <v>104830.07709315245</v>
      </c>
      <c r="AY185" s="188">
        <f t="shared" si="117"/>
        <v>107789.75423042767</v>
      </c>
      <c r="AZ185" s="188">
        <f t="shared" si="117"/>
        <v>110813.75967454613</v>
      </c>
      <c r="BA185" s="188">
        <f t="shared" si="117"/>
        <v>113906.63275175892</v>
      </c>
      <c r="BB185" s="188">
        <f t="shared" si="117"/>
        <v>117072.56669287883</v>
      </c>
      <c r="BC185" s="188">
        <f t="shared" si="117"/>
        <v>120315.47856866417</v>
      </c>
      <c r="BD185" s="188">
        <f t="shared" si="117"/>
        <v>123639.06772712468</v>
      </c>
      <c r="BE185" s="188">
        <f t="shared" si="117"/>
        <v>127046.86468324916</v>
      </c>
      <c r="BF185" s="188">
        <f t="shared" si="117"/>
        <v>130542.27208246494</v>
      </c>
      <c r="BG185" s="188">
        <f t="shared" si="118"/>
        <v>134128.59908555011</v>
      </c>
      <c r="BH185" s="188">
        <f t="shared" si="118"/>
        <v>137809.09029534715</v>
      </c>
      <c r="BI185" s="188">
        <f t="shared" si="118"/>
        <v>141586.95015666028</v>
      </c>
      <c r="BJ185" s="188">
        <f t="shared" si="118"/>
        <v>145465.36360367667</v>
      </c>
      <c r="BK185" s="188">
        <f t="shared" si="118"/>
        <v>149447.51359873699</v>
      </c>
      <c r="BL185" s="188">
        <f t="shared" si="118"/>
        <v>153536.59609781968</v>
      </c>
      <c r="BM185" s="188">
        <f t="shared" si="118"/>
        <v>157735.83288796525</v>
      </c>
      <c r="BN185" s="188">
        <f t="shared" si="118"/>
        <v>162048.48266696211</v>
      </c>
      <c r="BO185" s="188">
        <f t="shared" si="118"/>
        <v>166477.85067336733</v>
      </c>
      <c r="BP185" s="188">
        <f t="shared" si="118"/>
        <v>171027.29712321277</v>
      </c>
      <c r="BQ185" s="188">
        <f t="shared" si="119"/>
        <v>0</v>
      </c>
      <c r="BR185" s="188">
        <f t="shared" si="119"/>
        <v>0</v>
      </c>
      <c r="BS185" s="188">
        <f t="shared" si="119"/>
        <v>0</v>
      </c>
      <c r="BT185" s="188">
        <f t="shared" si="119"/>
        <v>0</v>
      </c>
      <c r="BU185" s="188">
        <f t="shared" si="119"/>
        <v>0</v>
      </c>
      <c r="BV185" s="188">
        <f t="shared" si="119"/>
        <v>0</v>
      </c>
      <c r="BW185" s="188">
        <f t="shared" si="119"/>
        <v>0</v>
      </c>
      <c r="BX185" s="188">
        <f t="shared" si="119"/>
        <v>0</v>
      </c>
      <c r="BY185" s="188">
        <f t="shared" si="119"/>
        <v>0</v>
      </c>
      <c r="BZ185" s="188">
        <f t="shared" si="119"/>
        <v>0</v>
      </c>
      <c r="CA185" s="188">
        <f t="shared" si="119"/>
        <v>0</v>
      </c>
      <c r="CB185" s="188">
        <f t="shared" si="119"/>
        <v>0</v>
      </c>
    </row>
    <row r="186" spans="2:80">
      <c r="B186" s="1">
        <v>2023</v>
      </c>
      <c r="C186" s="9">
        <f t="shared" si="100"/>
        <v>2036</v>
      </c>
      <c r="E186" s="188">
        <f t="shared" ref="E186:R195" si="120">IF(E$175&gt;=$C186,E$131*HLOOKUP(E$175-$C186+1,$E$47:$CB$49,3)*E$106*$C$30,0)</f>
        <v>0</v>
      </c>
      <c r="F186" s="188">
        <f t="shared" si="120"/>
        <v>0</v>
      </c>
      <c r="G186" s="188">
        <f t="shared" si="120"/>
        <v>0</v>
      </c>
      <c r="H186" s="188">
        <f t="shared" si="120"/>
        <v>0</v>
      </c>
      <c r="I186" s="188">
        <f t="shared" si="120"/>
        <v>0</v>
      </c>
      <c r="J186" s="188">
        <f t="shared" si="120"/>
        <v>0</v>
      </c>
      <c r="K186" s="188">
        <f t="shared" si="120"/>
        <v>0</v>
      </c>
      <c r="L186" s="188">
        <f t="shared" si="120"/>
        <v>0</v>
      </c>
      <c r="M186" s="188">
        <f t="shared" si="120"/>
        <v>0</v>
      </c>
      <c r="N186" s="188">
        <f t="shared" si="120"/>
        <v>0</v>
      </c>
      <c r="O186" s="188">
        <f t="shared" si="120"/>
        <v>0</v>
      </c>
      <c r="P186" s="188">
        <f t="shared" si="120"/>
        <v>0</v>
      </c>
      <c r="Q186" s="188">
        <f t="shared" si="120"/>
        <v>0</v>
      </c>
      <c r="R186" s="188">
        <f t="shared" si="120"/>
        <v>0</v>
      </c>
      <c r="S186" s="188">
        <f t="shared" si="114"/>
        <v>0</v>
      </c>
      <c r="T186" s="188">
        <f t="shared" si="114"/>
        <v>0</v>
      </c>
      <c r="U186" s="188">
        <f t="shared" si="114"/>
        <v>0</v>
      </c>
      <c r="V186" s="188">
        <f t="shared" si="114"/>
        <v>0</v>
      </c>
      <c r="W186" s="188">
        <f t="shared" si="114"/>
        <v>0</v>
      </c>
      <c r="X186" s="188">
        <f t="shared" si="114"/>
        <v>0</v>
      </c>
      <c r="Y186" s="188">
        <f t="shared" si="114"/>
        <v>0</v>
      </c>
      <c r="Z186" s="188">
        <f t="shared" si="114"/>
        <v>0</v>
      </c>
      <c r="AA186" s="188">
        <f t="shared" si="114"/>
        <v>0</v>
      </c>
      <c r="AB186" s="188">
        <f t="shared" si="114"/>
        <v>0</v>
      </c>
      <c r="AC186" s="188">
        <f t="shared" si="115"/>
        <v>29912.098236981954</v>
      </c>
      <c r="AD186" s="188">
        <f t="shared" si="115"/>
        <v>36597.376965918731</v>
      </c>
      <c r="AE186" s="188">
        <f t="shared" si="115"/>
        <v>42474.015043091953</v>
      </c>
      <c r="AF186" s="188">
        <f t="shared" si="115"/>
        <v>47687.33512828419</v>
      </c>
      <c r="AG186" s="188">
        <f t="shared" si="115"/>
        <v>52358.354819354849</v>
      </c>
      <c r="AH186" s="188">
        <f t="shared" si="115"/>
        <v>56587.898121362799</v>
      </c>
      <c r="AI186" s="188">
        <f t="shared" si="115"/>
        <v>60460.012696666075</v>
      </c>
      <c r="AJ186" s="188">
        <f t="shared" si="115"/>
        <v>64044.810149378958</v>
      </c>
      <c r="AK186" s="188">
        <f t="shared" si="115"/>
        <v>67400.82679446059</v>
      </c>
      <c r="AL186" s="188">
        <f t="shared" si="115"/>
        <v>70576.985903206689</v>
      </c>
      <c r="AM186" s="188">
        <f t="shared" si="116"/>
        <v>73614.228738137841</v>
      </c>
      <c r="AN186" s="188">
        <f t="shared" si="116"/>
        <v>76546.870321748895</v>
      </c>
      <c r="AO186" s="188">
        <f t="shared" si="116"/>
        <v>79403.726435120756</v>
      </c>
      <c r="AP186" s="188">
        <f t="shared" si="116"/>
        <v>82209.050489713161</v>
      </c>
      <c r="AQ186" s="188">
        <f t="shared" si="116"/>
        <v>84983.312389238679</v>
      </c>
      <c r="AR186" s="188">
        <f t="shared" si="116"/>
        <v>87743.846074368892</v>
      </c>
      <c r="AS186" s="188">
        <f t="shared" si="116"/>
        <v>90505.387934977553</v>
      </c>
      <c r="AT186" s="188">
        <f t="shared" si="116"/>
        <v>93280.524527961039</v>
      </c>
      <c r="AU186" s="188">
        <f t="shared" si="116"/>
        <v>96080.064924798658</v>
      </c>
      <c r="AV186" s="188">
        <f t="shared" si="116"/>
        <v>98913.350425055498</v>
      </c>
      <c r="AW186" s="188">
        <f t="shared" si="117"/>
        <v>101788.51222116299</v>
      </c>
      <c r="AX186" s="188">
        <f t="shared" si="117"/>
        <v>104712.68581221347</v>
      </c>
      <c r="AY186" s="188">
        <f t="shared" si="117"/>
        <v>107692.18947882639</v>
      </c>
      <c r="AZ186" s="188">
        <f t="shared" si="117"/>
        <v>110732.67289638953</v>
      </c>
      <c r="BA186" s="188">
        <f t="shared" si="117"/>
        <v>113839.24093776969</v>
      </c>
      <c r="BB186" s="188">
        <f t="shared" si="117"/>
        <v>117016.55686370557</v>
      </c>
      <c r="BC186" s="188">
        <f t="shared" si="117"/>
        <v>120268.92839026246</v>
      </c>
      <c r="BD186" s="188">
        <f t="shared" si="117"/>
        <v>123600.37953361974</v>
      </c>
      <c r="BE186" s="188">
        <f t="shared" si="117"/>
        <v>127014.71064285521</v>
      </c>
      <c r="BF186" s="188">
        <f t="shared" si="117"/>
        <v>130515.54862447965</v>
      </c>
      <c r="BG186" s="188">
        <f t="shared" si="118"/>
        <v>134106.38902429678</v>
      </c>
      <c r="BH186" s="188">
        <f t="shared" si="118"/>
        <v>137790.63135110613</v>
      </c>
      <c r="BI186" s="188">
        <f t="shared" si="118"/>
        <v>141571.60879318518</v>
      </c>
      <c r="BJ186" s="188">
        <f t="shared" si="118"/>
        <v>145452.61328436245</v>
      </c>
      <c r="BK186" s="188">
        <f t="shared" si="118"/>
        <v>149436.91671516286</v>
      </c>
      <c r="BL186" s="188">
        <f t="shared" si="118"/>
        <v>153527.7889504286</v>
      </c>
      <c r="BM186" s="188">
        <f t="shared" si="118"/>
        <v>157728.5132033971</v>
      </c>
      <c r="BN186" s="188">
        <f t="shared" si="118"/>
        <v>162042.39922361789</v>
      </c>
      <c r="BO186" s="188">
        <f t="shared" si="118"/>
        <v>166472.79467914009</v>
      </c>
      <c r="BP186" s="188">
        <f t="shared" si="118"/>
        <v>171023.09504945629</v>
      </c>
      <c r="BQ186" s="188">
        <f t="shared" si="119"/>
        <v>175696.75229255046</v>
      </c>
      <c r="BR186" s="188">
        <f t="shared" si="119"/>
        <v>0</v>
      </c>
      <c r="BS186" s="188">
        <f t="shared" si="119"/>
        <v>0</v>
      </c>
      <c r="BT186" s="188">
        <f t="shared" si="119"/>
        <v>0</v>
      </c>
      <c r="BU186" s="188">
        <f t="shared" si="119"/>
        <v>0</v>
      </c>
      <c r="BV186" s="188">
        <f t="shared" si="119"/>
        <v>0</v>
      </c>
      <c r="BW186" s="188">
        <f t="shared" si="119"/>
        <v>0</v>
      </c>
      <c r="BX186" s="188">
        <f t="shared" si="119"/>
        <v>0</v>
      </c>
      <c r="BY186" s="188">
        <f t="shared" si="119"/>
        <v>0</v>
      </c>
      <c r="BZ186" s="188">
        <f t="shared" si="119"/>
        <v>0</v>
      </c>
      <c r="CA186" s="188">
        <f t="shared" si="119"/>
        <v>0</v>
      </c>
      <c r="CB186" s="188">
        <f t="shared" si="119"/>
        <v>0</v>
      </c>
    </row>
    <row r="187" spans="2:80">
      <c r="B187" s="1">
        <v>2024</v>
      </c>
      <c r="C187" s="9">
        <f t="shared" si="100"/>
        <v>2037</v>
      </c>
      <c r="E187" s="188">
        <f t="shared" si="120"/>
        <v>0</v>
      </c>
      <c r="F187" s="188">
        <f t="shared" si="120"/>
        <v>0</v>
      </c>
      <c r="G187" s="188">
        <f t="shared" si="120"/>
        <v>0</v>
      </c>
      <c r="H187" s="188">
        <f t="shared" si="120"/>
        <v>0</v>
      </c>
      <c r="I187" s="188">
        <f t="shared" si="120"/>
        <v>0</v>
      </c>
      <c r="J187" s="188">
        <f t="shared" si="120"/>
        <v>0</v>
      </c>
      <c r="K187" s="188">
        <f t="shared" si="120"/>
        <v>0</v>
      </c>
      <c r="L187" s="188">
        <f t="shared" si="120"/>
        <v>0</v>
      </c>
      <c r="M187" s="188">
        <f t="shared" si="120"/>
        <v>0</v>
      </c>
      <c r="N187" s="188">
        <f t="shared" si="120"/>
        <v>0</v>
      </c>
      <c r="O187" s="188">
        <f t="shared" si="120"/>
        <v>0</v>
      </c>
      <c r="P187" s="188">
        <f t="shared" si="120"/>
        <v>0</v>
      </c>
      <c r="Q187" s="188">
        <f t="shared" si="120"/>
        <v>0</v>
      </c>
      <c r="R187" s="188">
        <f t="shared" si="120"/>
        <v>0</v>
      </c>
      <c r="S187" s="188">
        <f t="shared" si="114"/>
        <v>0</v>
      </c>
      <c r="T187" s="188">
        <f t="shared" si="114"/>
        <v>0</v>
      </c>
      <c r="U187" s="188">
        <f t="shared" si="114"/>
        <v>0</v>
      </c>
      <c r="V187" s="188">
        <f t="shared" si="114"/>
        <v>0</v>
      </c>
      <c r="W187" s="188">
        <f t="shared" si="114"/>
        <v>0</v>
      </c>
      <c r="X187" s="188">
        <f t="shared" si="114"/>
        <v>0</v>
      </c>
      <c r="Y187" s="188">
        <f t="shared" si="114"/>
        <v>0</v>
      </c>
      <c r="Z187" s="188">
        <f t="shared" si="114"/>
        <v>0</v>
      </c>
      <c r="AA187" s="188">
        <f t="shared" si="114"/>
        <v>0</v>
      </c>
      <c r="AB187" s="188">
        <f t="shared" si="114"/>
        <v>0</v>
      </c>
      <c r="AC187" s="188">
        <f t="shared" si="115"/>
        <v>0</v>
      </c>
      <c r="AD187" s="188">
        <f t="shared" si="115"/>
        <v>30728.770219102946</v>
      </c>
      <c r="AE187" s="188">
        <f t="shared" si="115"/>
        <v>37596.573082165567</v>
      </c>
      <c r="AF187" s="188">
        <f t="shared" si="115"/>
        <v>43633.657465334101</v>
      </c>
      <c r="AG187" s="188">
        <f t="shared" si="115"/>
        <v>48989.313685346242</v>
      </c>
      <c r="AH187" s="188">
        <f t="shared" si="115"/>
        <v>53787.86341056598</v>
      </c>
      <c r="AI187" s="188">
        <f t="shared" si="115"/>
        <v>58132.883383068642</v>
      </c>
      <c r="AJ187" s="188">
        <f t="shared" si="115"/>
        <v>62110.715967859549</v>
      </c>
      <c r="AK187" s="188">
        <f t="shared" si="115"/>
        <v>65793.386983905089</v>
      </c>
      <c r="AL187" s="188">
        <f t="shared" si="115"/>
        <v>69241.030927876142</v>
      </c>
      <c r="AM187" s="188">
        <f t="shared" si="116"/>
        <v>72503.906793645467</v>
      </c>
      <c r="AN187" s="188">
        <f t="shared" si="116"/>
        <v>75624.07363833797</v>
      </c>
      <c r="AO187" s="188">
        <f t="shared" si="116"/>
        <v>78636.783366816802</v>
      </c>
      <c r="AP187" s="188">
        <f t="shared" si="116"/>
        <v>81571.638500058718</v>
      </c>
      <c r="AQ187" s="188">
        <f t="shared" si="116"/>
        <v>84453.55462579256</v>
      </c>
      <c r="AR187" s="188">
        <f t="shared" si="116"/>
        <v>87303.560525169189</v>
      </c>
      <c r="AS187" s="188">
        <f t="shared" si="116"/>
        <v>90139.463396990541</v>
      </c>
      <c r="AT187" s="188">
        <f t="shared" si="116"/>
        <v>92976.401969897532</v>
      </c>
      <c r="AU187" s="188">
        <f t="shared" si="116"/>
        <v>95827.306443960217</v>
      </c>
      <c r="AV187" s="188">
        <f t="shared" si="116"/>
        <v>98703.281004218923</v>
      </c>
      <c r="AW187" s="188">
        <f t="shared" si="117"/>
        <v>101613.92199010827</v>
      </c>
      <c r="AX187" s="188">
        <f t="shared" si="117"/>
        <v>104567.58259510386</v>
      </c>
      <c r="AY187" s="188">
        <f t="shared" si="117"/>
        <v>107571.59313452714</v>
      </c>
      <c r="AZ187" s="188">
        <f t="shared" si="117"/>
        <v>110632.44439320372</v>
      </c>
      <c r="BA187" s="188">
        <f t="shared" si="117"/>
        <v>113755.94029620182</v>
      </c>
      <c r="BB187" s="188">
        <f t="shared" si="117"/>
        <v>116947.32509165411</v>
      </c>
      <c r="BC187" s="188">
        <f t="shared" si="117"/>
        <v>120211.38935849546</v>
      </c>
      <c r="BD187" s="188">
        <f t="shared" si="117"/>
        <v>123552.55842376541</v>
      </c>
      <c r="BE187" s="188">
        <f t="shared" si="117"/>
        <v>126974.96616893074</v>
      </c>
      <c r="BF187" s="188">
        <f t="shared" si="117"/>
        <v>130482.51670170865</v>
      </c>
      <c r="BG187" s="188">
        <f t="shared" si="118"/>
        <v>134078.93595185148</v>
      </c>
      <c r="BH187" s="188">
        <f t="shared" si="118"/>
        <v>137767.81490194236</v>
      </c>
      <c r="BI187" s="188">
        <f t="shared" si="118"/>
        <v>141552.64587551969</v>
      </c>
      <c r="BJ187" s="188">
        <f t="shared" si="118"/>
        <v>145436.85306489075</v>
      </c>
      <c r="BK187" s="188">
        <f t="shared" si="118"/>
        <v>149423.81828156847</v>
      </c>
      <c r="BL187" s="188">
        <f t="shared" si="118"/>
        <v>153516.90274653182</v>
      </c>
      <c r="BM187" s="188">
        <f t="shared" si="118"/>
        <v>157719.46559977124</v>
      </c>
      <c r="BN187" s="188">
        <f t="shared" si="118"/>
        <v>162034.87969411552</v>
      </c>
      <c r="BO187" s="188">
        <f t="shared" si="118"/>
        <v>166466.54514321042</v>
      </c>
      <c r="BP187" s="188">
        <f t="shared" si="118"/>
        <v>171017.90101446726</v>
      </c>
      <c r="BQ187" s="188">
        <f t="shared" si="119"/>
        <v>175692.43549210788</v>
      </c>
      <c r="BR187" s="188">
        <f t="shared" si="119"/>
        <v>180493.69478084368</v>
      </c>
      <c r="BS187" s="188">
        <f t="shared" si="119"/>
        <v>0</v>
      </c>
      <c r="BT187" s="188">
        <f t="shared" si="119"/>
        <v>0</v>
      </c>
      <c r="BU187" s="188">
        <f t="shared" si="119"/>
        <v>0</v>
      </c>
      <c r="BV187" s="188">
        <f t="shared" si="119"/>
        <v>0</v>
      </c>
      <c r="BW187" s="188">
        <f t="shared" si="119"/>
        <v>0</v>
      </c>
      <c r="BX187" s="188">
        <f t="shared" si="119"/>
        <v>0</v>
      </c>
      <c r="BY187" s="188">
        <f t="shared" si="119"/>
        <v>0</v>
      </c>
      <c r="BZ187" s="188">
        <f t="shared" si="119"/>
        <v>0</v>
      </c>
      <c r="CA187" s="188">
        <f t="shared" si="119"/>
        <v>0</v>
      </c>
      <c r="CB187" s="188">
        <f t="shared" si="119"/>
        <v>0</v>
      </c>
    </row>
    <row r="188" spans="2:80">
      <c r="B188" s="1">
        <v>2025</v>
      </c>
      <c r="C188" s="9">
        <f t="shared" si="100"/>
        <v>2038</v>
      </c>
      <c r="E188" s="188">
        <f t="shared" si="120"/>
        <v>0</v>
      </c>
      <c r="F188" s="188">
        <f t="shared" si="120"/>
        <v>0</v>
      </c>
      <c r="G188" s="188">
        <f t="shared" si="120"/>
        <v>0</v>
      </c>
      <c r="H188" s="188">
        <f t="shared" si="120"/>
        <v>0</v>
      </c>
      <c r="I188" s="188">
        <f t="shared" si="120"/>
        <v>0</v>
      </c>
      <c r="J188" s="188">
        <f t="shared" si="120"/>
        <v>0</v>
      </c>
      <c r="K188" s="188">
        <f t="shared" si="120"/>
        <v>0</v>
      </c>
      <c r="L188" s="188">
        <f t="shared" si="120"/>
        <v>0</v>
      </c>
      <c r="M188" s="188">
        <f t="shared" si="120"/>
        <v>0</v>
      </c>
      <c r="N188" s="188">
        <f t="shared" si="120"/>
        <v>0</v>
      </c>
      <c r="O188" s="188">
        <f t="shared" si="120"/>
        <v>0</v>
      </c>
      <c r="P188" s="188">
        <f t="shared" si="120"/>
        <v>0</v>
      </c>
      <c r="Q188" s="188">
        <f t="shared" si="120"/>
        <v>0</v>
      </c>
      <c r="R188" s="188">
        <f t="shared" si="120"/>
        <v>0</v>
      </c>
      <c r="S188" s="188">
        <f t="shared" si="114"/>
        <v>0</v>
      </c>
      <c r="T188" s="188">
        <f t="shared" si="114"/>
        <v>0</v>
      </c>
      <c r="U188" s="188">
        <f t="shared" si="114"/>
        <v>0</v>
      </c>
      <c r="V188" s="188">
        <f t="shared" si="114"/>
        <v>0</v>
      </c>
      <c r="W188" s="188">
        <f t="shared" si="114"/>
        <v>0</v>
      </c>
      <c r="X188" s="188">
        <f t="shared" si="114"/>
        <v>0</v>
      </c>
      <c r="Y188" s="188">
        <f t="shared" si="114"/>
        <v>0</v>
      </c>
      <c r="Z188" s="188">
        <f t="shared" si="114"/>
        <v>0</v>
      </c>
      <c r="AA188" s="188">
        <f t="shared" si="114"/>
        <v>0</v>
      </c>
      <c r="AB188" s="188">
        <f t="shared" si="114"/>
        <v>0</v>
      </c>
      <c r="AC188" s="188">
        <f t="shared" si="115"/>
        <v>0</v>
      </c>
      <c r="AD188" s="188">
        <f t="shared" si="115"/>
        <v>0</v>
      </c>
      <c r="AE188" s="188">
        <f t="shared" si="115"/>
        <v>31567.739303924576</v>
      </c>
      <c r="AF188" s="188">
        <f t="shared" si="115"/>
        <v>38623.049647490829</v>
      </c>
      <c r="AG188" s="188">
        <f t="shared" si="115"/>
        <v>44824.960905403255</v>
      </c>
      <c r="AH188" s="188">
        <f t="shared" si="115"/>
        <v>50326.839377900127</v>
      </c>
      <c r="AI188" s="188">
        <f t="shared" si="115"/>
        <v>55256.401012894756</v>
      </c>
      <c r="AJ188" s="188">
        <f t="shared" si="115"/>
        <v>59720.05044579789</v>
      </c>
      <c r="AK188" s="188">
        <f t="shared" si="115"/>
        <v>63806.48739514489</v>
      </c>
      <c r="AL188" s="188">
        <f t="shared" si="115"/>
        <v>67589.704157408094</v>
      </c>
      <c r="AM188" s="188">
        <f t="shared" si="116"/>
        <v>71131.477045161795</v>
      </c>
      <c r="AN188" s="188">
        <f t="shared" si="116"/>
        <v>74483.437243283915</v>
      </c>
      <c r="AO188" s="188">
        <f t="shared" si="116"/>
        <v>77688.79212197577</v>
      </c>
      <c r="AP188" s="188">
        <f t="shared" si="116"/>
        <v>80783.75604760315</v>
      </c>
      <c r="AQ188" s="188">
        <f t="shared" si="116"/>
        <v>83798.739760923738</v>
      </c>
      <c r="AR188" s="188">
        <f t="shared" si="116"/>
        <v>86759.339104934756</v>
      </c>
      <c r="AS188" s="188">
        <f t="shared" si="116"/>
        <v>89687.156996919221</v>
      </c>
      <c r="AT188" s="188">
        <f t="shared" si="116"/>
        <v>92600.486814890726</v>
      </c>
      <c r="AU188" s="188">
        <f t="shared" si="116"/>
        <v>95514.880611070126</v>
      </c>
      <c r="AV188" s="188">
        <f t="shared" si="116"/>
        <v>98443.621610983464</v>
      </c>
      <c r="AW188" s="188">
        <f t="shared" si="117"/>
        <v>101398.11717053976</v>
      </c>
      <c r="AX188" s="188">
        <f t="shared" si="117"/>
        <v>104388.22563224299</v>
      </c>
      <c r="AY188" s="188">
        <f t="shared" si="117"/>
        <v>107422.5282517734</v>
      </c>
      <c r="AZ188" s="188">
        <f t="shared" si="117"/>
        <v>110508.55547963182</v>
      </c>
      <c r="BA188" s="188">
        <f t="shared" si="117"/>
        <v>113652.97531462813</v>
      </c>
      <c r="BB188" s="188">
        <f t="shared" si="117"/>
        <v>116861.75014289717</v>
      </c>
      <c r="BC188" s="188">
        <f t="shared" si="117"/>
        <v>120140.26739311623</v>
      </c>
      <c r="BD188" s="188">
        <f t="shared" si="117"/>
        <v>123493.44843850828</v>
      </c>
      <c r="BE188" s="188">
        <f t="shared" si="117"/>
        <v>126925.83942814865</v>
      </c>
      <c r="BF188" s="188">
        <f t="shared" si="117"/>
        <v>130441.68710837729</v>
      </c>
      <c r="BG188" s="188">
        <f t="shared" si="118"/>
        <v>134045.0021784103</v>
      </c>
      <c r="BH188" s="188">
        <f t="shared" si="118"/>
        <v>137739.61229481341</v>
      </c>
      <c r="BI188" s="188">
        <f t="shared" si="118"/>
        <v>141529.20648260199</v>
      </c>
      <c r="BJ188" s="188">
        <f t="shared" si="118"/>
        <v>145417.37241411829</v>
      </c>
      <c r="BK188" s="188">
        <f t="shared" si="118"/>
        <v>149407.62777032741</v>
      </c>
      <c r="BL188" s="188">
        <f t="shared" si="118"/>
        <v>153503.44669430293</v>
      </c>
      <c r="BM188" s="188">
        <f t="shared" si="118"/>
        <v>157708.28217641352</v>
      </c>
      <c r="BN188" s="188">
        <f t="shared" si="118"/>
        <v>162025.58506922328</v>
      </c>
      <c r="BO188" s="188">
        <f t="shared" si="118"/>
        <v>166458.82031252806</v>
      </c>
      <c r="BP188" s="188">
        <f t="shared" si="118"/>
        <v>171011.48085122634</v>
      </c>
      <c r="BQ188" s="188">
        <f t="shared" si="119"/>
        <v>175687.09964751339</v>
      </c>
      <c r="BR188" s="188">
        <f t="shared" si="119"/>
        <v>180489.26012140152</v>
      </c>
      <c r="BS188" s="188">
        <f t="shared" si="119"/>
        <v>185421.60529749107</v>
      </c>
      <c r="BT188" s="188">
        <f t="shared" si="119"/>
        <v>0</v>
      </c>
      <c r="BU188" s="188">
        <f t="shared" si="119"/>
        <v>0</v>
      </c>
      <c r="BV188" s="188">
        <f t="shared" si="119"/>
        <v>0</v>
      </c>
      <c r="BW188" s="188">
        <f t="shared" si="119"/>
        <v>0</v>
      </c>
      <c r="BX188" s="188">
        <f t="shared" si="119"/>
        <v>0</v>
      </c>
      <c r="BY188" s="188">
        <f t="shared" si="119"/>
        <v>0</v>
      </c>
      <c r="BZ188" s="188">
        <f t="shared" si="119"/>
        <v>0</v>
      </c>
      <c r="CA188" s="188">
        <f t="shared" si="119"/>
        <v>0</v>
      </c>
      <c r="CB188" s="188">
        <f t="shared" si="119"/>
        <v>0</v>
      </c>
    </row>
    <row r="189" spans="2:80">
      <c r="B189" s="1">
        <v>2026</v>
      </c>
      <c r="C189" s="9">
        <f t="shared" si="100"/>
        <v>2039</v>
      </c>
      <c r="E189" s="188">
        <f t="shared" si="120"/>
        <v>0</v>
      </c>
      <c r="F189" s="188">
        <f t="shared" si="120"/>
        <v>0</v>
      </c>
      <c r="G189" s="188">
        <f t="shared" si="120"/>
        <v>0</v>
      </c>
      <c r="H189" s="188">
        <f t="shared" si="120"/>
        <v>0</v>
      </c>
      <c r="I189" s="188">
        <f t="shared" si="120"/>
        <v>0</v>
      </c>
      <c r="J189" s="188">
        <f t="shared" si="120"/>
        <v>0</v>
      </c>
      <c r="K189" s="188">
        <f t="shared" si="120"/>
        <v>0</v>
      </c>
      <c r="L189" s="188">
        <f t="shared" si="120"/>
        <v>0</v>
      </c>
      <c r="M189" s="188">
        <f t="shared" si="120"/>
        <v>0</v>
      </c>
      <c r="N189" s="188">
        <f t="shared" si="120"/>
        <v>0</v>
      </c>
      <c r="O189" s="188">
        <f t="shared" si="120"/>
        <v>0</v>
      </c>
      <c r="P189" s="188">
        <f t="shared" si="120"/>
        <v>0</v>
      </c>
      <c r="Q189" s="188">
        <f t="shared" si="120"/>
        <v>0</v>
      </c>
      <c r="R189" s="188">
        <f t="shared" si="120"/>
        <v>0</v>
      </c>
      <c r="S189" s="188">
        <f t="shared" si="114"/>
        <v>0</v>
      </c>
      <c r="T189" s="188">
        <f t="shared" si="114"/>
        <v>0</v>
      </c>
      <c r="U189" s="188">
        <f t="shared" si="114"/>
        <v>0</v>
      </c>
      <c r="V189" s="188">
        <f t="shared" si="114"/>
        <v>0</v>
      </c>
      <c r="W189" s="188">
        <f t="shared" si="114"/>
        <v>0</v>
      </c>
      <c r="X189" s="188">
        <f t="shared" si="114"/>
        <v>0</v>
      </c>
      <c r="Y189" s="188">
        <f t="shared" si="114"/>
        <v>0</v>
      </c>
      <c r="Z189" s="188">
        <f t="shared" si="114"/>
        <v>0</v>
      </c>
      <c r="AA189" s="188">
        <f t="shared" si="114"/>
        <v>0</v>
      </c>
      <c r="AB189" s="188">
        <f t="shared" si="114"/>
        <v>0</v>
      </c>
      <c r="AC189" s="188">
        <f t="shared" si="115"/>
        <v>0</v>
      </c>
      <c r="AD189" s="188">
        <f t="shared" si="115"/>
        <v>0</v>
      </c>
      <c r="AE189" s="188">
        <f t="shared" si="115"/>
        <v>0</v>
      </c>
      <c r="AF189" s="188">
        <f t="shared" si="115"/>
        <v>32429.614255797434</v>
      </c>
      <c r="AG189" s="188">
        <f t="shared" si="115"/>
        <v>39677.551483546456</v>
      </c>
      <c r="AH189" s="188">
        <f t="shared" si="115"/>
        <v>46048.789784978559</v>
      </c>
      <c r="AI189" s="188">
        <f t="shared" si="115"/>
        <v>51700.882727952376</v>
      </c>
      <c r="AJ189" s="188">
        <f t="shared" si="115"/>
        <v>56765.033211898473</v>
      </c>
      <c r="AK189" s="188">
        <f t="shared" si="115"/>
        <v>61350.550973829602</v>
      </c>
      <c r="AL189" s="188">
        <f t="shared" si="115"/>
        <v>65548.557447213199</v>
      </c>
      <c r="AM189" s="188">
        <f t="shared" si="116"/>
        <v>69435.065095577156</v>
      </c>
      <c r="AN189" s="188">
        <f t="shared" si="116"/>
        <v>73073.536872908866</v>
      </c>
      <c r="AO189" s="188">
        <f t="shared" si="116"/>
        <v>76517.013619195001</v>
      </c>
      <c r="AP189" s="188">
        <f t="shared" si="116"/>
        <v>79809.882369412764</v>
      </c>
      <c r="AQ189" s="188">
        <f t="shared" si="116"/>
        <v>82989.346228936818</v>
      </c>
      <c r="AR189" s="188">
        <f t="shared" si="116"/>
        <v>86086.646224642944</v>
      </c>
      <c r="AS189" s="188">
        <f t="shared" si="116"/>
        <v>89128.077027396343</v>
      </c>
      <c r="AT189" s="188">
        <f t="shared" si="116"/>
        <v>92135.831365904625</v>
      </c>
      <c r="AU189" s="188">
        <f t="shared" si="116"/>
        <v>95128.702071251042</v>
      </c>
      <c r="AV189" s="188">
        <f t="shared" si="116"/>
        <v>98122.665803960801</v>
      </c>
      <c r="AW189" s="188">
        <f t="shared" si="117"/>
        <v>101131.36845345717</v>
      </c>
      <c r="AX189" s="188">
        <f t="shared" si="117"/>
        <v>104166.52882380923</v>
      </c>
      <c r="AY189" s="188">
        <f t="shared" si="117"/>
        <v>107238.27441390209</v>
      </c>
      <c r="AZ189" s="188">
        <f t="shared" si="117"/>
        <v>110355.42076826564</v>
      </c>
      <c r="BA189" s="188">
        <f t="shared" si="117"/>
        <v>113525.70393675005</v>
      </c>
      <c r="BB189" s="188">
        <f t="shared" si="117"/>
        <v>116755.97397051618</v>
      </c>
      <c r="BC189" s="188">
        <f t="shared" si="117"/>
        <v>120052.35604313234</v>
      </c>
      <c r="BD189" s="188">
        <f t="shared" si="117"/>
        <v>123420.38467299259</v>
      </c>
      <c r="BE189" s="188">
        <f t="shared" si="117"/>
        <v>126865.11559860549</v>
      </c>
      <c r="BF189" s="188">
        <f t="shared" si="117"/>
        <v>130391.2190898135</v>
      </c>
      <c r="BG189" s="188">
        <f t="shared" si="118"/>
        <v>134003.05783931114</v>
      </c>
      <c r="BH189" s="188">
        <f t="shared" si="118"/>
        <v>137704.75204801693</v>
      </c>
      <c r="BI189" s="188">
        <f t="shared" si="118"/>
        <v>141500.23387669589</v>
      </c>
      <c r="BJ189" s="188">
        <f t="shared" si="118"/>
        <v>145393.29306958895</v>
      </c>
      <c r="BK189" s="188">
        <f t="shared" si="118"/>
        <v>149387.61525109314</v>
      </c>
      <c r="BL189" s="188">
        <f t="shared" si="118"/>
        <v>153486.81414329584</v>
      </c>
      <c r="BM189" s="188">
        <f t="shared" si="118"/>
        <v>157694.45874170418</v>
      </c>
      <c r="BN189" s="188">
        <f t="shared" si="118"/>
        <v>162014.09631160085</v>
      </c>
      <c r="BO189" s="188">
        <f t="shared" si="118"/>
        <v>166449.27192209676</v>
      </c>
      <c r="BP189" s="188">
        <f t="shared" si="118"/>
        <v>171003.54511414972</v>
      </c>
      <c r="BQ189" s="188">
        <f t="shared" si="119"/>
        <v>175680.5041984267</v>
      </c>
      <c r="BR189" s="188">
        <f t="shared" si="119"/>
        <v>180483.77859545941</v>
      </c>
      <c r="BS189" s="188">
        <f t="shared" si="119"/>
        <v>185417.04956121612</v>
      </c>
      <c r="BT189" s="188">
        <f t="shared" si="119"/>
        <v>190484.05958360131</v>
      </c>
      <c r="BU189" s="188">
        <f t="shared" si="119"/>
        <v>0</v>
      </c>
      <c r="BV189" s="188">
        <f t="shared" si="119"/>
        <v>0</v>
      </c>
      <c r="BW189" s="188">
        <f t="shared" si="119"/>
        <v>0</v>
      </c>
      <c r="BX189" s="188">
        <f t="shared" si="119"/>
        <v>0</v>
      </c>
      <c r="BY189" s="188">
        <f t="shared" si="119"/>
        <v>0</v>
      </c>
      <c r="BZ189" s="188">
        <f t="shared" si="119"/>
        <v>0</v>
      </c>
      <c r="CA189" s="188">
        <f t="shared" si="119"/>
        <v>0</v>
      </c>
      <c r="CB189" s="188">
        <f t="shared" si="119"/>
        <v>0</v>
      </c>
    </row>
    <row r="190" spans="2:80">
      <c r="B190" s="1">
        <v>2027</v>
      </c>
      <c r="C190" s="9">
        <f t="shared" si="100"/>
        <v>2040</v>
      </c>
      <c r="E190" s="188">
        <f t="shared" si="120"/>
        <v>0</v>
      </c>
      <c r="F190" s="188">
        <f t="shared" si="120"/>
        <v>0</v>
      </c>
      <c r="G190" s="188">
        <f t="shared" si="120"/>
        <v>0</v>
      </c>
      <c r="H190" s="188">
        <f t="shared" si="120"/>
        <v>0</v>
      </c>
      <c r="I190" s="188">
        <f t="shared" si="120"/>
        <v>0</v>
      </c>
      <c r="J190" s="188">
        <f t="shared" si="120"/>
        <v>0</v>
      </c>
      <c r="K190" s="188">
        <f t="shared" si="120"/>
        <v>0</v>
      </c>
      <c r="L190" s="188">
        <f t="shared" si="120"/>
        <v>0</v>
      </c>
      <c r="M190" s="188">
        <f t="shared" si="120"/>
        <v>0</v>
      </c>
      <c r="N190" s="188">
        <f t="shared" si="120"/>
        <v>0</v>
      </c>
      <c r="O190" s="188">
        <f t="shared" si="120"/>
        <v>0</v>
      </c>
      <c r="P190" s="188">
        <f t="shared" si="120"/>
        <v>0</v>
      </c>
      <c r="Q190" s="188">
        <f t="shared" si="120"/>
        <v>0</v>
      </c>
      <c r="R190" s="188">
        <f t="shared" si="120"/>
        <v>0</v>
      </c>
      <c r="S190" s="188">
        <f t="shared" si="114"/>
        <v>0</v>
      </c>
      <c r="T190" s="188">
        <f t="shared" si="114"/>
        <v>0</v>
      </c>
      <c r="U190" s="188">
        <f t="shared" si="114"/>
        <v>0</v>
      </c>
      <c r="V190" s="188">
        <f t="shared" si="114"/>
        <v>0</v>
      </c>
      <c r="W190" s="188">
        <f t="shared" si="114"/>
        <v>0</v>
      </c>
      <c r="X190" s="188">
        <f t="shared" si="114"/>
        <v>0</v>
      </c>
      <c r="Y190" s="188">
        <f t="shared" si="114"/>
        <v>0</v>
      </c>
      <c r="Z190" s="188">
        <f t="shared" si="114"/>
        <v>0</v>
      </c>
      <c r="AA190" s="188">
        <f t="shared" si="114"/>
        <v>0</v>
      </c>
      <c r="AB190" s="188">
        <f t="shared" si="114"/>
        <v>0</v>
      </c>
      <c r="AC190" s="188">
        <f t="shared" si="115"/>
        <v>0</v>
      </c>
      <c r="AD190" s="188">
        <f t="shared" si="115"/>
        <v>0</v>
      </c>
      <c r="AE190" s="188">
        <f t="shared" si="115"/>
        <v>0</v>
      </c>
      <c r="AF190" s="188">
        <f t="shared" si="115"/>
        <v>0</v>
      </c>
      <c r="AG190" s="188">
        <f t="shared" si="115"/>
        <v>33315.020459798106</v>
      </c>
      <c r="AH190" s="188">
        <f t="shared" si="115"/>
        <v>40760.843747400875</v>
      </c>
      <c r="AI190" s="188">
        <f t="shared" si="115"/>
        <v>47306.032126523023</v>
      </c>
      <c r="AJ190" s="188">
        <f t="shared" si="115"/>
        <v>53112.440755086696</v>
      </c>
      <c r="AK190" s="188">
        <f t="shared" si="115"/>
        <v>58314.854686174389</v>
      </c>
      <c r="AL190" s="188">
        <f t="shared" si="115"/>
        <v>63025.568074638235</v>
      </c>
      <c r="AM190" s="188">
        <f t="shared" si="116"/>
        <v>67338.190187500324</v>
      </c>
      <c r="AN190" s="188">
        <f t="shared" si="116"/>
        <v>71330.808810747141</v>
      </c>
      <c r="AO190" s="188">
        <f t="shared" si="116"/>
        <v>75068.619589132635</v>
      </c>
      <c r="AP190" s="188">
        <f t="shared" si="116"/>
        <v>78606.111504715722</v>
      </c>
      <c r="AQ190" s="188">
        <f t="shared" si="116"/>
        <v>81988.883464925631</v>
      </c>
      <c r="AR190" s="188">
        <f t="shared" si="116"/>
        <v>85255.154309090736</v>
      </c>
      <c r="AS190" s="188">
        <f t="shared" si="116"/>
        <v>88437.018019006311</v>
      </c>
      <c r="AT190" s="188">
        <f t="shared" si="116"/>
        <v>91561.487173081274</v>
      </c>
      <c r="AU190" s="188">
        <f t="shared" si="116"/>
        <v>94651.360414713708</v>
      </c>
      <c r="AV190" s="188">
        <f t="shared" si="116"/>
        <v>97725.943664322403</v>
      </c>
      <c r="AW190" s="188">
        <f t="shared" si="117"/>
        <v>100801.6497835615</v>
      </c>
      <c r="AX190" s="188">
        <f t="shared" si="117"/>
        <v>103892.49722734511</v>
      </c>
      <c r="AY190" s="188">
        <f t="shared" si="117"/>
        <v>107010.5247511838</v>
      </c>
      <c r="AZ190" s="188">
        <f t="shared" si="117"/>
        <v>110166.13635895812</v>
      </c>
      <c r="BA190" s="188">
        <f t="shared" si="117"/>
        <v>113368.38828069481</v>
      </c>
      <c r="BB190" s="188">
        <f t="shared" si="117"/>
        <v>116625.22777894848</v>
      </c>
      <c r="BC190" s="188">
        <f t="shared" si="117"/>
        <v>119943.69192769651</v>
      </c>
      <c r="BD190" s="188">
        <f t="shared" si="117"/>
        <v>123330.07313242782</v>
      </c>
      <c r="BE190" s="188">
        <f t="shared" si="117"/>
        <v>126790.05701715505</v>
      </c>
      <c r="BF190" s="188">
        <f t="shared" si="117"/>
        <v>130328.83735416684</v>
      </c>
      <c r="BG190" s="188">
        <f t="shared" si="118"/>
        <v>133951.21192286711</v>
      </c>
      <c r="BH190" s="188">
        <f t="shared" si="118"/>
        <v>137661.66252791847</v>
      </c>
      <c r="BI190" s="188">
        <f t="shared" si="118"/>
        <v>141464.42186160074</v>
      </c>
      <c r="BJ190" s="188">
        <f t="shared" si="118"/>
        <v>145363.52944209336</v>
      </c>
      <c r="BK190" s="188">
        <f t="shared" si="118"/>
        <v>149362.87848273921</v>
      </c>
      <c r="BL190" s="188">
        <f t="shared" si="118"/>
        <v>153466.25523431582</v>
      </c>
      <c r="BM190" s="188">
        <f t="shared" si="118"/>
        <v>157677.37208218584</v>
      </c>
      <c r="BN190" s="188">
        <f t="shared" si="118"/>
        <v>161999.89546398874</v>
      </c>
      <c r="BO190" s="188">
        <f t="shared" si="118"/>
        <v>166437.46949385229</v>
      </c>
      <c r="BP190" s="188">
        <f t="shared" si="118"/>
        <v>170993.73602977186</v>
      </c>
      <c r="BQ190" s="188">
        <f t="shared" si="119"/>
        <v>175672.35179670563</v>
      </c>
      <c r="BR190" s="188">
        <f t="shared" si="119"/>
        <v>180477.0030748031</v>
      </c>
      <c r="BS190" s="188">
        <f t="shared" si="119"/>
        <v>185411.41837647642</v>
      </c>
      <c r="BT190" s="188">
        <f t="shared" si="119"/>
        <v>190479.3794648058</v>
      </c>
      <c r="BU190" s="188">
        <f t="shared" si="119"/>
        <v>195684.73100658637</v>
      </c>
      <c r="BV190" s="188">
        <f t="shared" si="119"/>
        <v>0</v>
      </c>
      <c r="BW190" s="188">
        <f t="shared" si="119"/>
        <v>0</v>
      </c>
      <c r="BX190" s="188">
        <f t="shared" si="119"/>
        <v>0</v>
      </c>
      <c r="BY190" s="188">
        <f t="shared" si="119"/>
        <v>0</v>
      </c>
      <c r="BZ190" s="188">
        <f t="shared" si="119"/>
        <v>0</v>
      </c>
      <c r="CA190" s="188">
        <f t="shared" si="119"/>
        <v>0</v>
      </c>
      <c r="CB190" s="188">
        <f t="shared" si="119"/>
        <v>0</v>
      </c>
    </row>
    <row r="191" spans="2:80">
      <c r="B191" s="1">
        <v>2028</v>
      </c>
      <c r="C191" s="9">
        <f t="shared" si="100"/>
        <v>2041</v>
      </c>
      <c r="E191" s="188">
        <f t="shared" si="120"/>
        <v>0</v>
      </c>
      <c r="F191" s="188">
        <f t="shared" si="120"/>
        <v>0</v>
      </c>
      <c r="G191" s="188">
        <f t="shared" si="120"/>
        <v>0</v>
      </c>
      <c r="H191" s="188">
        <f t="shared" si="120"/>
        <v>0</v>
      </c>
      <c r="I191" s="188">
        <f t="shared" si="120"/>
        <v>0</v>
      </c>
      <c r="J191" s="188">
        <f t="shared" si="120"/>
        <v>0</v>
      </c>
      <c r="K191" s="188">
        <f t="shared" si="120"/>
        <v>0</v>
      </c>
      <c r="L191" s="188">
        <f t="shared" si="120"/>
        <v>0</v>
      </c>
      <c r="M191" s="188">
        <f t="shared" si="120"/>
        <v>0</v>
      </c>
      <c r="N191" s="188">
        <f t="shared" si="120"/>
        <v>0</v>
      </c>
      <c r="O191" s="188">
        <f t="shared" si="120"/>
        <v>0</v>
      </c>
      <c r="P191" s="188">
        <f t="shared" si="120"/>
        <v>0</v>
      </c>
      <c r="Q191" s="188">
        <f t="shared" si="120"/>
        <v>0</v>
      </c>
      <c r="R191" s="188">
        <f t="shared" si="120"/>
        <v>0</v>
      </c>
      <c r="S191" s="188">
        <f t="shared" si="114"/>
        <v>0</v>
      </c>
      <c r="T191" s="188">
        <f t="shared" si="114"/>
        <v>0</v>
      </c>
      <c r="U191" s="188">
        <f t="shared" si="114"/>
        <v>0</v>
      </c>
      <c r="V191" s="188">
        <f t="shared" si="114"/>
        <v>0</v>
      </c>
      <c r="W191" s="188">
        <f t="shared" si="114"/>
        <v>0</v>
      </c>
      <c r="X191" s="188">
        <f t="shared" si="114"/>
        <v>0</v>
      </c>
      <c r="Y191" s="188">
        <f t="shared" si="114"/>
        <v>0</v>
      </c>
      <c r="Z191" s="188">
        <f t="shared" si="114"/>
        <v>0</v>
      </c>
      <c r="AA191" s="188">
        <f t="shared" si="114"/>
        <v>0</v>
      </c>
      <c r="AB191" s="188">
        <f t="shared" si="114"/>
        <v>0</v>
      </c>
      <c r="AC191" s="188">
        <f t="shared" si="115"/>
        <v>0</v>
      </c>
      <c r="AD191" s="188">
        <f t="shared" si="115"/>
        <v>0</v>
      </c>
      <c r="AE191" s="188">
        <f t="shared" si="115"/>
        <v>0</v>
      </c>
      <c r="AF191" s="188">
        <f t="shared" si="115"/>
        <v>0</v>
      </c>
      <c r="AG191" s="188">
        <f t="shared" si="115"/>
        <v>0</v>
      </c>
      <c r="AH191" s="188">
        <f t="shared" si="115"/>
        <v>34224.600375514856</v>
      </c>
      <c r="AI191" s="188">
        <f t="shared" si="115"/>
        <v>41873.712486744545</v>
      </c>
      <c r="AJ191" s="188">
        <f t="shared" si="115"/>
        <v>48597.600197641572</v>
      </c>
      <c r="AK191" s="188">
        <f t="shared" si="115"/>
        <v>54562.537699911285</v>
      </c>
      <c r="AL191" s="188">
        <f t="shared" si="115"/>
        <v>59906.990001669437</v>
      </c>
      <c r="AM191" s="188">
        <f t="shared" si="116"/>
        <v>64746.317157368256</v>
      </c>
      <c r="AN191" s="188">
        <f t="shared" si="116"/>
        <v>69176.684191403911</v>
      </c>
      <c r="AO191" s="188">
        <f t="shared" si="116"/>
        <v>73278.310873499271</v>
      </c>
      <c r="AP191" s="188">
        <f t="shared" si="116"/>
        <v>77118.172845786088</v>
      </c>
      <c r="AQ191" s="188">
        <f t="shared" si="116"/>
        <v>80752.246770145284</v>
      </c>
      <c r="AR191" s="188">
        <f t="shared" si="116"/>
        <v>84227.376513480966</v>
      </c>
      <c r="AS191" s="188">
        <f t="shared" si="116"/>
        <v>87582.824381046928</v>
      </c>
      <c r="AT191" s="188">
        <f t="shared" si="116"/>
        <v>90851.560597271775</v>
      </c>
      <c r="AU191" s="188">
        <f t="shared" si="116"/>
        <v>94061.335248704985</v>
      </c>
      <c r="AV191" s="188">
        <f t="shared" si="116"/>
        <v>97235.569436358477</v>
      </c>
      <c r="AW191" s="188">
        <f t="shared" si="117"/>
        <v>100394.09617855538</v>
      </c>
      <c r="AX191" s="188">
        <f t="shared" si="117"/>
        <v>103553.77644741515</v>
      </c>
      <c r="AY191" s="188">
        <f t="shared" si="117"/>
        <v>106729.01143527373</v>
      </c>
      <c r="AZ191" s="188">
        <f t="shared" si="117"/>
        <v>109932.16858452442</v>
      </c>
      <c r="BA191" s="188">
        <f t="shared" si="117"/>
        <v>113173.93595329244</v>
      </c>
      <c r="BB191" s="188">
        <f t="shared" si="117"/>
        <v>116463.61702839228</v>
      </c>
      <c r="BC191" s="188">
        <f t="shared" si="117"/>
        <v>119809.37605169622</v>
      </c>
      <c r="BD191" s="188">
        <f t="shared" si="117"/>
        <v>123218.44222616924</v>
      </c>
      <c r="BE191" s="188">
        <f t="shared" si="117"/>
        <v>126697.27975505324</v>
      </c>
      <c r="BF191" s="188">
        <f t="shared" si="117"/>
        <v>130251.729493525</v>
      </c>
      <c r="BG191" s="188">
        <f t="shared" si="118"/>
        <v>133887.1270163063</v>
      </c>
      <c r="BH191" s="188">
        <f t="shared" si="118"/>
        <v>137608.40109367919</v>
      </c>
      <c r="BI191" s="188">
        <f t="shared" si="118"/>
        <v>141420.15589431665</v>
      </c>
      <c r="BJ191" s="188">
        <f t="shared" si="118"/>
        <v>145326.73967314357</v>
      </c>
      <c r="BK191" s="188">
        <f t="shared" si="118"/>
        <v>149332.30223686862</v>
      </c>
      <c r="BL191" s="188">
        <f t="shared" si="118"/>
        <v>153440.84309289098</v>
      </c>
      <c r="BM191" s="188">
        <f t="shared" si="118"/>
        <v>157656.25186571031</v>
      </c>
      <c r="BN191" s="188">
        <f t="shared" si="118"/>
        <v>161982.3422977083</v>
      </c>
      <c r="BO191" s="188">
        <f t="shared" si="118"/>
        <v>166422.88092906051</v>
      </c>
      <c r="BP191" s="188">
        <f t="shared" si="118"/>
        <v>170981.61136694555</v>
      </c>
      <c r="BQ191" s="188">
        <f t="shared" si="119"/>
        <v>175662.27490081158</v>
      </c>
      <c r="BR191" s="188">
        <f t="shared" si="119"/>
        <v>180468.62809297349</v>
      </c>
      <c r="BS191" s="188">
        <f t="shared" si="119"/>
        <v>185404.45786786507</v>
      </c>
      <c r="BT191" s="188">
        <f t="shared" si="119"/>
        <v>190473.59453522458</v>
      </c>
      <c r="BU191" s="188">
        <f t="shared" si="119"/>
        <v>195679.92310932936</v>
      </c>
      <c r="BV191" s="188">
        <f t="shared" si="119"/>
        <v>201027.39322559381</v>
      </c>
      <c r="BW191" s="188">
        <f t="shared" si="119"/>
        <v>0</v>
      </c>
      <c r="BX191" s="188">
        <f t="shared" si="119"/>
        <v>0</v>
      </c>
      <c r="BY191" s="188">
        <f t="shared" si="119"/>
        <v>0</v>
      </c>
      <c r="BZ191" s="188">
        <f t="shared" si="119"/>
        <v>0</v>
      </c>
      <c r="CA191" s="188">
        <f t="shared" si="119"/>
        <v>0</v>
      </c>
      <c r="CB191" s="188">
        <f t="shared" si="119"/>
        <v>0</v>
      </c>
    </row>
    <row r="192" spans="2:80">
      <c r="B192" s="1">
        <v>2029</v>
      </c>
      <c r="C192" s="9">
        <f t="shared" si="100"/>
        <v>2042</v>
      </c>
      <c r="E192" s="188">
        <f t="shared" si="120"/>
        <v>0</v>
      </c>
      <c r="F192" s="188">
        <f t="shared" si="120"/>
        <v>0</v>
      </c>
      <c r="G192" s="188">
        <f t="shared" si="120"/>
        <v>0</v>
      </c>
      <c r="H192" s="188">
        <f t="shared" si="120"/>
        <v>0</v>
      </c>
      <c r="I192" s="188">
        <f t="shared" si="120"/>
        <v>0</v>
      </c>
      <c r="J192" s="188">
        <f t="shared" si="120"/>
        <v>0</v>
      </c>
      <c r="K192" s="188">
        <f t="shared" si="120"/>
        <v>0</v>
      </c>
      <c r="L192" s="188">
        <f t="shared" si="120"/>
        <v>0</v>
      </c>
      <c r="M192" s="188">
        <f t="shared" si="120"/>
        <v>0</v>
      </c>
      <c r="N192" s="188">
        <f t="shared" si="120"/>
        <v>0</v>
      </c>
      <c r="O192" s="188">
        <f t="shared" si="120"/>
        <v>0</v>
      </c>
      <c r="P192" s="188">
        <f t="shared" si="120"/>
        <v>0</v>
      </c>
      <c r="Q192" s="188">
        <f t="shared" si="120"/>
        <v>0</v>
      </c>
      <c r="R192" s="188">
        <f t="shared" si="120"/>
        <v>0</v>
      </c>
      <c r="S192" s="188">
        <f t="shared" si="114"/>
        <v>0</v>
      </c>
      <c r="T192" s="188">
        <f t="shared" si="114"/>
        <v>0</v>
      </c>
      <c r="U192" s="188">
        <f t="shared" si="114"/>
        <v>0</v>
      </c>
      <c r="V192" s="188">
        <f t="shared" si="114"/>
        <v>0</v>
      </c>
      <c r="W192" s="188">
        <f t="shared" si="114"/>
        <v>0</v>
      </c>
      <c r="X192" s="188">
        <f t="shared" si="114"/>
        <v>0</v>
      </c>
      <c r="Y192" s="188">
        <f t="shared" si="114"/>
        <v>0</v>
      </c>
      <c r="Z192" s="188">
        <f t="shared" si="114"/>
        <v>0</v>
      </c>
      <c r="AA192" s="188">
        <f t="shared" si="114"/>
        <v>0</v>
      </c>
      <c r="AB192" s="188">
        <f t="shared" si="114"/>
        <v>0</v>
      </c>
      <c r="AC192" s="188">
        <f t="shared" si="115"/>
        <v>0</v>
      </c>
      <c r="AD192" s="188">
        <f t="shared" si="115"/>
        <v>0</v>
      </c>
      <c r="AE192" s="188">
        <f t="shared" si="115"/>
        <v>0</v>
      </c>
      <c r="AF192" s="188">
        <f t="shared" si="115"/>
        <v>0</v>
      </c>
      <c r="AG192" s="188">
        <f t="shared" si="115"/>
        <v>0</v>
      </c>
      <c r="AH192" s="188">
        <f t="shared" si="115"/>
        <v>0</v>
      </c>
      <c r="AI192" s="188">
        <f t="shared" si="115"/>
        <v>35159.014003222663</v>
      </c>
      <c r="AJ192" s="188">
        <f t="shared" si="115"/>
        <v>43016.965210254079</v>
      </c>
      <c r="AK192" s="188">
        <f t="shared" si="115"/>
        <v>49924.431173031415</v>
      </c>
      <c r="AL192" s="188">
        <f t="shared" si="115"/>
        <v>56052.225767258118</v>
      </c>
      <c r="AM192" s="188">
        <f t="shared" si="116"/>
        <v>61542.594427676508</v>
      </c>
      <c r="AN192" s="188">
        <f t="shared" si="116"/>
        <v>66514.046814747111</v>
      </c>
      <c r="AO192" s="188">
        <f t="shared" si="116"/>
        <v>71065.373488542711</v>
      </c>
      <c r="AP192" s="188">
        <f t="shared" si="116"/>
        <v>75278.984410788951</v>
      </c>
      <c r="AQ192" s="188">
        <f t="shared" si="116"/>
        <v>79223.683819190555</v>
      </c>
      <c r="AR192" s="188">
        <f t="shared" si="116"/>
        <v>82956.976672675592</v>
      </c>
      <c r="AS192" s="188">
        <f t="shared" si="116"/>
        <v>86526.985788000937</v>
      </c>
      <c r="AT192" s="188">
        <f t="shared" si="116"/>
        <v>89974.045425466786</v>
      </c>
      <c r="AU192" s="188">
        <f t="shared" si="116"/>
        <v>93332.0259756593</v>
      </c>
      <c r="AV192" s="188">
        <f t="shared" si="116"/>
        <v>96629.435169008619</v>
      </c>
      <c r="AW192" s="188">
        <f t="shared" si="117"/>
        <v>99890.333558725411</v>
      </c>
      <c r="AX192" s="188">
        <f t="shared" si="117"/>
        <v>103135.09565207342</v>
      </c>
      <c r="AY192" s="188">
        <f t="shared" si="117"/>
        <v>106381.04276612721</v>
      </c>
      <c r="AZ192" s="188">
        <f t="shared" si="117"/>
        <v>109642.96928029365</v>
      </c>
      <c r="BA192" s="188">
        <f t="shared" si="117"/>
        <v>112933.58029778852</v>
      </c>
      <c r="BB192" s="188">
        <f t="shared" si="117"/>
        <v>116263.85568634342</v>
      </c>
      <c r="BC192" s="188">
        <f t="shared" si="117"/>
        <v>119643.35294026372</v>
      </c>
      <c r="BD192" s="188">
        <f t="shared" si="117"/>
        <v>123080.45920479472</v>
      </c>
      <c r="BE192" s="188">
        <f t="shared" si="117"/>
        <v>126582.60105747095</v>
      </c>
      <c r="BF192" s="188">
        <f t="shared" si="117"/>
        <v>130156.41918977775</v>
      </c>
      <c r="BG192" s="188">
        <f t="shared" si="118"/>
        <v>133807.91392623895</v>
      </c>
      <c r="BH192" s="188">
        <f t="shared" si="118"/>
        <v>137542.56651555572</v>
      </c>
      <c r="BI192" s="188">
        <f t="shared" si="118"/>
        <v>141365.44029525327</v>
      </c>
      <c r="BJ192" s="188">
        <f t="shared" si="118"/>
        <v>145281.26513884569</v>
      </c>
      <c r="BK192" s="188">
        <f t="shared" si="118"/>
        <v>149294.50801904025</v>
      </c>
      <c r="BL192" s="188">
        <f t="shared" si="118"/>
        <v>153409.43204221589</v>
      </c>
      <c r="BM192" s="188">
        <f t="shared" si="118"/>
        <v>157630.14591191086</v>
      </c>
      <c r="BN192" s="188">
        <f t="shared" si="118"/>
        <v>161960.64544869712</v>
      </c>
      <c r="BO192" s="188">
        <f t="shared" si="118"/>
        <v>166404.84851926507</v>
      </c>
      <c r="BP192" s="188">
        <f t="shared" si="118"/>
        <v>170966.62449936566</v>
      </c>
      <c r="BQ192" s="188">
        <f t="shared" si="119"/>
        <v>175649.8192056269</v>
      </c>
      <c r="BR192" s="188">
        <f t="shared" si="119"/>
        <v>180458.27607366687</v>
      </c>
      <c r="BS192" s="188">
        <f t="shared" si="119"/>
        <v>185395.85422895639</v>
      </c>
      <c r="BT192" s="188">
        <f t="shared" si="119"/>
        <v>190466.44398804358</v>
      </c>
      <c r="BU192" s="188">
        <f t="shared" si="119"/>
        <v>195673.98023730391</v>
      </c>
      <c r="BV192" s="188">
        <f t="shared" si="119"/>
        <v>201022.45406121699</v>
      </c>
      <c r="BW192" s="188">
        <f t="shared" si="119"/>
        <v>206515.92292971152</v>
      </c>
      <c r="BX192" s="188">
        <f t="shared" si="119"/>
        <v>0</v>
      </c>
      <c r="BY192" s="188">
        <f t="shared" si="119"/>
        <v>0</v>
      </c>
      <c r="BZ192" s="188">
        <f t="shared" si="119"/>
        <v>0</v>
      </c>
      <c r="CA192" s="188">
        <f t="shared" si="119"/>
        <v>0</v>
      </c>
      <c r="CB192" s="188">
        <f t="shared" si="119"/>
        <v>0</v>
      </c>
    </row>
    <row r="193" spans="2:80">
      <c r="B193" s="1">
        <v>2030</v>
      </c>
      <c r="C193" s="9">
        <f t="shared" si="100"/>
        <v>2043</v>
      </c>
      <c r="E193" s="188">
        <f t="shared" si="120"/>
        <v>0</v>
      </c>
      <c r="F193" s="188">
        <f t="shared" si="120"/>
        <v>0</v>
      </c>
      <c r="G193" s="188">
        <f t="shared" si="120"/>
        <v>0</v>
      </c>
      <c r="H193" s="188">
        <f t="shared" si="120"/>
        <v>0</v>
      </c>
      <c r="I193" s="188">
        <f t="shared" si="120"/>
        <v>0</v>
      </c>
      <c r="J193" s="188">
        <f t="shared" si="120"/>
        <v>0</v>
      </c>
      <c r="K193" s="188">
        <f t="shared" si="120"/>
        <v>0</v>
      </c>
      <c r="L193" s="188">
        <f t="shared" si="120"/>
        <v>0</v>
      </c>
      <c r="M193" s="188">
        <f t="shared" si="120"/>
        <v>0</v>
      </c>
      <c r="N193" s="188">
        <f t="shared" si="120"/>
        <v>0</v>
      </c>
      <c r="O193" s="188">
        <f t="shared" si="120"/>
        <v>0</v>
      </c>
      <c r="P193" s="188">
        <f t="shared" si="120"/>
        <v>0</v>
      </c>
      <c r="Q193" s="188">
        <f t="shared" si="120"/>
        <v>0</v>
      </c>
      <c r="R193" s="188">
        <f t="shared" si="120"/>
        <v>0</v>
      </c>
      <c r="S193" s="188">
        <f t="shared" si="114"/>
        <v>0</v>
      </c>
      <c r="T193" s="188">
        <f t="shared" si="114"/>
        <v>0</v>
      </c>
      <c r="U193" s="188">
        <f t="shared" si="114"/>
        <v>0</v>
      </c>
      <c r="V193" s="188">
        <f t="shared" si="114"/>
        <v>0</v>
      </c>
      <c r="W193" s="188">
        <f t="shared" si="114"/>
        <v>0</v>
      </c>
      <c r="X193" s="188">
        <f t="shared" si="114"/>
        <v>0</v>
      </c>
      <c r="Y193" s="188">
        <f t="shared" si="114"/>
        <v>0</v>
      </c>
      <c r="Z193" s="188">
        <f t="shared" si="114"/>
        <v>0</v>
      </c>
      <c r="AA193" s="188">
        <f t="shared" si="114"/>
        <v>0</v>
      </c>
      <c r="AB193" s="188">
        <f t="shared" si="114"/>
        <v>0</v>
      </c>
      <c r="AC193" s="188">
        <f t="shared" si="115"/>
        <v>0</v>
      </c>
      <c r="AD193" s="188">
        <f t="shared" si="115"/>
        <v>0</v>
      </c>
      <c r="AE193" s="188">
        <f t="shared" si="115"/>
        <v>0</v>
      </c>
      <c r="AF193" s="188">
        <f t="shared" si="115"/>
        <v>0</v>
      </c>
      <c r="AG193" s="188">
        <f t="shared" si="115"/>
        <v>0</v>
      </c>
      <c r="AH193" s="188">
        <f t="shared" si="115"/>
        <v>0</v>
      </c>
      <c r="AI193" s="188">
        <f t="shared" si="115"/>
        <v>0</v>
      </c>
      <c r="AJ193" s="188">
        <f t="shared" si="115"/>
        <v>36118.939362786099</v>
      </c>
      <c r="AK193" s="188">
        <f t="shared" si="115"/>
        <v>44191.431473528588</v>
      </c>
      <c r="AL193" s="188">
        <f t="shared" si="115"/>
        <v>51287.487814505483</v>
      </c>
      <c r="AM193" s="188">
        <f t="shared" si="116"/>
        <v>57582.585889673217</v>
      </c>
      <c r="AN193" s="188">
        <f t="shared" si="116"/>
        <v>63222.854775109445</v>
      </c>
      <c r="AO193" s="188">
        <f t="shared" si="116"/>
        <v>68330.039729076641</v>
      </c>
      <c r="AP193" s="188">
        <f t="shared" si="116"/>
        <v>73005.628530741757</v>
      </c>
      <c r="AQ193" s="188">
        <f t="shared" si="116"/>
        <v>77334.28113132478</v>
      </c>
      <c r="AR193" s="188">
        <f t="shared" si="116"/>
        <v>81386.680289145763</v>
      </c>
      <c r="AS193" s="188">
        <f t="shared" si="116"/>
        <v>85221.900986352732</v>
      </c>
      <c r="AT193" s="188">
        <f t="shared" si="116"/>
        <v>88889.379907951923</v>
      </c>
      <c r="AU193" s="188">
        <f t="shared" si="116"/>
        <v>92430.552536232237</v>
      </c>
      <c r="AV193" s="188">
        <f t="shared" si="116"/>
        <v>95880.214004631227</v>
      </c>
      <c r="AW193" s="188">
        <f t="shared" si="117"/>
        <v>99267.650372953765</v>
      </c>
      <c r="AX193" s="188">
        <f t="shared" si="117"/>
        <v>102617.57910518705</v>
      </c>
      <c r="AY193" s="188">
        <f t="shared" si="117"/>
        <v>105950.93098148145</v>
      </c>
      <c r="AZ193" s="188">
        <f t="shared" si="117"/>
        <v>109285.50023238744</v>
      </c>
      <c r="BA193" s="188">
        <f t="shared" si="117"/>
        <v>112636.4851593323</v>
      </c>
      <c r="BB193" s="188">
        <f t="shared" si="117"/>
        <v>116016.93774530408</v>
      </c>
      <c r="BC193" s="188">
        <f t="shared" si="117"/>
        <v>119438.13763474263</v>
      </c>
      <c r="BD193" s="188">
        <f t="shared" si="117"/>
        <v>122909.90326445743</v>
      </c>
      <c r="BE193" s="188">
        <f t="shared" si="117"/>
        <v>126440.85076886322</v>
      </c>
      <c r="BF193" s="188">
        <f t="shared" si="117"/>
        <v>130038.60948886299</v>
      </c>
      <c r="BG193" s="188">
        <f t="shared" si="118"/>
        <v>133710.00142273755</v>
      </c>
      <c r="BH193" s="188">
        <f t="shared" si="118"/>
        <v>137461.19071825323</v>
      </c>
      <c r="BI193" s="188">
        <f t="shared" si="118"/>
        <v>141297.80827533946</v>
      </c>
      <c r="BJ193" s="188">
        <f t="shared" si="118"/>
        <v>145225.05567277287</v>
      </c>
      <c r="BK193" s="188">
        <f t="shared" si="118"/>
        <v>149247.79192095212</v>
      </c>
      <c r="BL193" s="188">
        <f t="shared" si="118"/>
        <v>153370.6059516469</v>
      </c>
      <c r="BM193" s="188">
        <f t="shared" si="118"/>
        <v>157597.87726425909</v>
      </c>
      <c r="BN193" s="188">
        <f t="shared" si="118"/>
        <v>161933.82673978218</v>
      </c>
      <c r="BO193" s="188">
        <f t="shared" si="118"/>
        <v>166382.55929426791</v>
      </c>
      <c r="BP193" s="188">
        <f t="shared" si="118"/>
        <v>170948.09976155855</v>
      </c>
      <c r="BQ193" s="188">
        <f t="shared" si="119"/>
        <v>175634.42316063811</v>
      </c>
      <c r="BR193" s="188">
        <f t="shared" si="119"/>
        <v>180445.48030814697</v>
      </c>
      <c r="BS193" s="188">
        <f t="shared" si="119"/>
        <v>185385.21957470861</v>
      </c>
      <c r="BT193" s="188">
        <f t="shared" si="119"/>
        <v>190457.60544916952</v>
      </c>
      <c r="BU193" s="188">
        <f t="shared" si="119"/>
        <v>195666.63446304479</v>
      </c>
      <c r="BV193" s="188">
        <f t="shared" si="119"/>
        <v>201016.34893454</v>
      </c>
      <c r="BW193" s="188">
        <f t="shared" si="119"/>
        <v>206510.84891430792</v>
      </c>
      <c r="BX193" s="188">
        <f t="shared" si="119"/>
        <v>212154.30265093202</v>
      </c>
      <c r="BY193" s="188">
        <f t="shared" si="119"/>
        <v>0</v>
      </c>
      <c r="BZ193" s="188">
        <f t="shared" si="119"/>
        <v>0</v>
      </c>
      <c r="CA193" s="188">
        <f t="shared" si="119"/>
        <v>0</v>
      </c>
      <c r="CB193" s="188">
        <f t="shared" si="119"/>
        <v>0</v>
      </c>
    </row>
    <row r="194" spans="2:80">
      <c r="B194" s="1">
        <v>2031</v>
      </c>
      <c r="C194" s="9">
        <f t="shared" si="100"/>
        <v>2044</v>
      </c>
      <c r="E194" s="188">
        <f t="shared" si="120"/>
        <v>0</v>
      </c>
      <c r="F194" s="188">
        <f t="shared" si="120"/>
        <v>0</v>
      </c>
      <c r="G194" s="188">
        <f t="shared" si="120"/>
        <v>0</v>
      </c>
      <c r="H194" s="188">
        <f t="shared" si="120"/>
        <v>0</v>
      </c>
      <c r="I194" s="188">
        <f t="shared" si="120"/>
        <v>0</v>
      </c>
      <c r="J194" s="188">
        <f t="shared" si="120"/>
        <v>0</v>
      </c>
      <c r="K194" s="188">
        <f t="shared" si="120"/>
        <v>0</v>
      </c>
      <c r="L194" s="188">
        <f t="shared" si="120"/>
        <v>0</v>
      </c>
      <c r="M194" s="188">
        <f t="shared" si="120"/>
        <v>0</v>
      </c>
      <c r="N194" s="188">
        <f t="shared" si="120"/>
        <v>0</v>
      </c>
      <c r="O194" s="188">
        <f t="shared" si="120"/>
        <v>0</v>
      </c>
      <c r="P194" s="188">
        <f t="shared" si="120"/>
        <v>0</v>
      </c>
      <c r="Q194" s="188">
        <f t="shared" si="120"/>
        <v>0</v>
      </c>
      <c r="R194" s="188">
        <f t="shared" si="120"/>
        <v>0</v>
      </c>
      <c r="S194" s="188">
        <f t="shared" si="114"/>
        <v>0</v>
      </c>
      <c r="T194" s="188">
        <f t="shared" si="114"/>
        <v>0</v>
      </c>
      <c r="U194" s="188">
        <f t="shared" si="114"/>
        <v>0</v>
      </c>
      <c r="V194" s="188">
        <f t="shared" si="114"/>
        <v>0</v>
      </c>
      <c r="W194" s="188">
        <f t="shared" si="114"/>
        <v>0</v>
      </c>
      <c r="X194" s="188">
        <f t="shared" si="114"/>
        <v>0</v>
      </c>
      <c r="Y194" s="188">
        <f t="shared" si="114"/>
        <v>0</v>
      </c>
      <c r="Z194" s="188">
        <f t="shared" si="114"/>
        <v>0</v>
      </c>
      <c r="AA194" s="188">
        <f t="shared" si="114"/>
        <v>0</v>
      </c>
      <c r="AB194" s="188">
        <f t="shared" si="114"/>
        <v>0</v>
      </c>
      <c r="AC194" s="188">
        <f t="shared" si="115"/>
        <v>0</v>
      </c>
      <c r="AD194" s="188">
        <f t="shared" si="115"/>
        <v>0</v>
      </c>
      <c r="AE194" s="188">
        <f t="shared" si="115"/>
        <v>0</v>
      </c>
      <c r="AF194" s="188">
        <f t="shared" si="115"/>
        <v>0</v>
      </c>
      <c r="AG194" s="188">
        <f t="shared" si="115"/>
        <v>0</v>
      </c>
      <c r="AH194" s="188">
        <f t="shared" si="115"/>
        <v>0</v>
      </c>
      <c r="AI194" s="188">
        <f t="shared" si="115"/>
        <v>0</v>
      </c>
      <c r="AJ194" s="188">
        <f t="shared" si="115"/>
        <v>0</v>
      </c>
      <c r="AK194" s="188">
        <f t="shared" si="115"/>
        <v>37105.072985637249</v>
      </c>
      <c r="AL194" s="188">
        <f t="shared" si="115"/>
        <v>45397.9634810235</v>
      </c>
      <c r="AM194" s="188">
        <f t="shared" si="116"/>
        <v>52687.759169581928</v>
      </c>
      <c r="AN194" s="188">
        <f t="shared" si="116"/>
        <v>59154.728511752175</v>
      </c>
      <c r="AO194" s="188">
        <f t="shared" si="116"/>
        <v>64948.990257664809</v>
      </c>
      <c r="AP194" s="188">
        <f t="shared" si="116"/>
        <v>70195.613602960191</v>
      </c>
      <c r="AQ194" s="188">
        <f t="shared" si="116"/>
        <v>74998.857186445908</v>
      </c>
      <c r="AR194" s="188">
        <f t="shared" si="116"/>
        <v>79445.692378942884</v>
      </c>
      <c r="AS194" s="188">
        <f t="shared" si="116"/>
        <v>83608.731747502141</v>
      </c>
      <c r="AT194" s="188">
        <f t="shared" si="116"/>
        <v>87548.663162888915</v>
      </c>
      <c r="AU194" s="188">
        <f t="shared" si="116"/>
        <v>91316.273050111442</v>
      </c>
      <c r="AV194" s="188">
        <f t="shared" si="116"/>
        <v>94954.128179447289</v>
      </c>
      <c r="AW194" s="188">
        <f t="shared" si="117"/>
        <v>98497.973674881898</v>
      </c>
      <c r="AX194" s="188">
        <f t="shared" si="117"/>
        <v>101977.89517585242</v>
      </c>
      <c r="AY194" s="188">
        <f t="shared" si="117"/>
        <v>105419.28499236146</v>
      </c>
      <c r="AZ194" s="188">
        <f t="shared" si="117"/>
        <v>108843.64536502922</v>
      </c>
      <c r="BA194" s="188">
        <f t="shared" si="117"/>
        <v>112269.25634955357</v>
      </c>
      <c r="BB194" s="188">
        <f t="shared" si="117"/>
        <v>115711.73119742151</v>
      </c>
      <c r="BC194" s="188">
        <f t="shared" si="117"/>
        <v>119184.47824204275</v>
      </c>
      <c r="BD194" s="188">
        <f t="shared" si="117"/>
        <v>122699.085089188</v>
      </c>
      <c r="BE194" s="188">
        <f t="shared" si="117"/>
        <v>126265.63824252671</v>
      </c>
      <c r="BF194" s="188">
        <f t="shared" si="117"/>
        <v>129892.98907759633</v>
      </c>
      <c r="BG194" s="188">
        <f t="shared" si="118"/>
        <v>133588.97523459423</v>
      </c>
      <c r="BH194" s="188">
        <f t="shared" si="118"/>
        <v>137360.60496870687</v>
      </c>
      <c r="BI194" s="188">
        <f t="shared" si="118"/>
        <v>141214.21072371022</v>
      </c>
      <c r="BJ194" s="188">
        <f t="shared" si="118"/>
        <v>145155.57713659928</v>
      </c>
      <c r="BK194" s="188">
        <f t="shared" si="118"/>
        <v>149190.04780171963</v>
      </c>
      <c r="BL194" s="188">
        <f t="shared" si="118"/>
        <v>153322.61439210098</v>
      </c>
      <c r="BM194" s="188">
        <f t="shared" si="118"/>
        <v>157557.99112835014</v>
      </c>
      <c r="BN194" s="188">
        <f t="shared" si="118"/>
        <v>161900.67708070049</v>
      </c>
      <c r="BO194" s="188">
        <f t="shared" si="118"/>
        <v>166355.00837031429</v>
      </c>
      <c r="BP194" s="188">
        <f t="shared" si="118"/>
        <v>170925.20198729099</v>
      </c>
      <c r="BQ194" s="188">
        <f t="shared" si="119"/>
        <v>175615.39265308448</v>
      </c>
      <c r="BR194" s="188">
        <f t="shared" si="119"/>
        <v>180429.66391422518</v>
      </c>
      <c r="BS194" s="188">
        <f t="shared" si="119"/>
        <v>185372.07445411815</v>
      </c>
      <c r="BT194" s="188">
        <f t="shared" si="119"/>
        <v>190446.68044336914</v>
      </c>
      <c r="BU194" s="188">
        <f t="shared" si="119"/>
        <v>195657.55461087322</v>
      </c>
      <c r="BV194" s="188">
        <f t="shared" si="119"/>
        <v>201008.80260303555</v>
      </c>
      <c r="BW194" s="188">
        <f t="shared" si="119"/>
        <v>206504.57710303843</v>
      </c>
      <c r="BX194" s="188">
        <f t="shared" si="119"/>
        <v>212149.09010274534</v>
      </c>
      <c r="BY194" s="188">
        <f t="shared" si="119"/>
        <v>217946.62365391749</v>
      </c>
      <c r="BZ194" s="188">
        <f t="shared" si="119"/>
        <v>0</v>
      </c>
      <c r="CA194" s="188">
        <f t="shared" si="119"/>
        <v>0</v>
      </c>
      <c r="CB194" s="188">
        <f t="shared" si="119"/>
        <v>0</v>
      </c>
    </row>
    <row r="195" spans="2:80">
      <c r="B195" s="1">
        <v>2032</v>
      </c>
      <c r="C195" s="9">
        <f t="shared" si="100"/>
        <v>2045</v>
      </c>
      <c r="E195" s="189">
        <f t="shared" si="120"/>
        <v>0</v>
      </c>
      <c r="F195" s="189">
        <f t="shared" si="120"/>
        <v>0</v>
      </c>
      <c r="G195" s="189">
        <f t="shared" si="120"/>
        <v>0</v>
      </c>
      <c r="H195" s="189">
        <f t="shared" si="120"/>
        <v>0</v>
      </c>
      <c r="I195" s="189">
        <f t="shared" si="120"/>
        <v>0</v>
      </c>
      <c r="J195" s="189">
        <f t="shared" si="120"/>
        <v>0</v>
      </c>
      <c r="K195" s="189">
        <f t="shared" si="120"/>
        <v>0</v>
      </c>
      <c r="L195" s="189">
        <f t="shared" si="120"/>
        <v>0</v>
      </c>
      <c r="M195" s="189">
        <f t="shared" si="120"/>
        <v>0</v>
      </c>
      <c r="N195" s="189">
        <f t="shared" si="120"/>
        <v>0</v>
      </c>
      <c r="O195" s="189">
        <f t="shared" si="120"/>
        <v>0</v>
      </c>
      <c r="P195" s="189">
        <f t="shared" si="120"/>
        <v>0</v>
      </c>
      <c r="Q195" s="189">
        <f t="shared" si="120"/>
        <v>0</v>
      </c>
      <c r="R195" s="189">
        <f t="shared" si="120"/>
        <v>0</v>
      </c>
      <c r="S195" s="188">
        <f t="shared" si="114"/>
        <v>0</v>
      </c>
      <c r="T195" s="188">
        <f t="shared" si="114"/>
        <v>0</v>
      </c>
      <c r="U195" s="188">
        <f t="shared" si="114"/>
        <v>0</v>
      </c>
      <c r="V195" s="188">
        <f t="shared" si="114"/>
        <v>0</v>
      </c>
      <c r="W195" s="188">
        <f t="shared" si="114"/>
        <v>0</v>
      </c>
      <c r="X195" s="188">
        <f t="shared" si="114"/>
        <v>0</v>
      </c>
      <c r="Y195" s="188">
        <f t="shared" si="114"/>
        <v>0</v>
      </c>
      <c r="Z195" s="188">
        <f t="shared" si="114"/>
        <v>0</v>
      </c>
      <c r="AA195" s="188">
        <f t="shared" si="114"/>
        <v>0</v>
      </c>
      <c r="AB195" s="188">
        <f t="shared" si="114"/>
        <v>0</v>
      </c>
      <c r="AC195" s="188">
        <f t="shared" si="115"/>
        <v>0</v>
      </c>
      <c r="AD195" s="188">
        <f t="shared" si="115"/>
        <v>0</v>
      </c>
      <c r="AE195" s="188">
        <f t="shared" si="115"/>
        <v>0</v>
      </c>
      <c r="AF195" s="188">
        <f t="shared" si="115"/>
        <v>0</v>
      </c>
      <c r="AG195" s="188">
        <f t="shared" si="115"/>
        <v>0</v>
      </c>
      <c r="AH195" s="188">
        <f t="shared" si="115"/>
        <v>0</v>
      </c>
      <c r="AI195" s="188">
        <f t="shared" si="115"/>
        <v>0</v>
      </c>
      <c r="AJ195" s="188">
        <f t="shared" si="115"/>
        <v>0</v>
      </c>
      <c r="AK195" s="188">
        <f t="shared" si="115"/>
        <v>0</v>
      </c>
      <c r="AL195" s="188">
        <f t="shared" si="115"/>
        <v>38118.130420185909</v>
      </c>
      <c r="AM195" s="188">
        <f t="shared" si="116"/>
        <v>46637.436704418644</v>
      </c>
      <c r="AN195" s="188">
        <f t="shared" si="116"/>
        <v>54126.261289146969</v>
      </c>
      <c r="AO195" s="188">
        <f t="shared" si="116"/>
        <v>60769.794395889781</v>
      </c>
      <c r="AP195" s="188">
        <f t="shared" si="116"/>
        <v>66722.253376495632</v>
      </c>
      <c r="AQ195" s="188">
        <f t="shared" si="116"/>
        <v>72112.122115440696</v>
      </c>
      <c r="AR195" s="188">
        <f t="shared" si="116"/>
        <v>77046.505762283297</v>
      </c>
      <c r="AS195" s="188">
        <f t="shared" si="116"/>
        <v>81614.750214740925</v>
      </c>
      <c r="AT195" s="188">
        <f t="shared" si="116"/>
        <v>85891.450536999691</v>
      </c>
      <c r="AU195" s="188">
        <f t="shared" si="116"/>
        <v>89938.951524167511</v>
      </c>
      <c r="AV195" s="188">
        <f t="shared" si="116"/>
        <v>93809.426192392013</v>
      </c>
      <c r="AW195" s="188">
        <f t="shared" si="117"/>
        <v>97546.603486813241</v>
      </c>
      <c r="AX195" s="188">
        <f t="shared" si="117"/>
        <v>101187.20445898367</v>
      </c>
      <c r="AY195" s="188">
        <f t="shared" si="117"/>
        <v>104762.13615841325</v>
      </c>
      <c r="AZ195" s="188">
        <f t="shared" si="117"/>
        <v>108297.48416603389</v>
      </c>
      <c r="BA195" s="188">
        <f t="shared" si="117"/>
        <v>111815.33778517628</v>
      </c>
      <c r="BB195" s="188">
        <f t="shared" si="117"/>
        <v>115334.47616087666</v>
      </c>
      <c r="BC195" s="188">
        <f t="shared" si="117"/>
        <v>118870.93882381318</v>
      </c>
      <c r="BD195" s="188">
        <f t="shared" si="117"/>
        <v>122438.50018703777</v>
      </c>
      <c r="BE195" s="188">
        <f t="shared" si="117"/>
        <v>126049.06422573455</v>
      </c>
      <c r="BF195" s="188">
        <f t="shared" si="117"/>
        <v>129712.99282930081</v>
      </c>
      <c r="BG195" s="188">
        <f t="shared" si="118"/>
        <v>133439.37903704323</v>
      </c>
      <c r="BH195" s="188">
        <f t="shared" si="118"/>
        <v>137236.27447552359</v>
      </c>
      <c r="BI195" s="188">
        <f t="shared" si="118"/>
        <v>141110.87874209401</v>
      </c>
      <c r="BJ195" s="188">
        <f t="shared" si="118"/>
        <v>145069.69717142457</v>
      </c>
      <c r="BK195" s="188">
        <f t="shared" si="118"/>
        <v>149118.67233496625</v>
      </c>
      <c r="BL195" s="188">
        <f t="shared" si="118"/>
        <v>153263.29371999894</v>
      </c>
      <c r="BM195" s="188">
        <f t="shared" si="118"/>
        <v>157508.68928419132</v>
      </c>
      <c r="BN195" s="188">
        <f t="shared" si="118"/>
        <v>161859.70195767292</v>
      </c>
      <c r="BO195" s="188">
        <f t="shared" si="118"/>
        <v>166320.95364607888</v>
      </c>
      <c r="BP195" s="188">
        <f t="shared" si="118"/>
        <v>170896.89885707296</v>
      </c>
      <c r="BQ195" s="188">
        <f t="shared" si="119"/>
        <v>175591.86971469267</v>
      </c>
      <c r="BR195" s="188">
        <f t="shared" si="119"/>
        <v>180410.11382819864</v>
      </c>
      <c r="BS195" s="188">
        <f t="shared" si="119"/>
        <v>185355.8262347299</v>
      </c>
      <c r="BT195" s="188">
        <f t="shared" si="119"/>
        <v>190433.17642947729</v>
      </c>
      <c r="BU195" s="188">
        <f t="shared" si="119"/>
        <v>195646.33132622688</v>
      </c>
      <c r="BV195" s="188">
        <f t="shared" si="119"/>
        <v>200999.474849135</v>
      </c>
      <c r="BW195" s="188">
        <f t="shared" si="119"/>
        <v>206496.82473859511</v>
      </c>
      <c r="BX195" s="188">
        <f t="shared" si="119"/>
        <v>212142.64705599446</v>
      </c>
      <c r="BY195" s="188">
        <f t="shared" si="119"/>
        <v>217941.26879067061</v>
      </c>
      <c r="BZ195" s="188">
        <f t="shared" si="119"/>
        <v>223897.08890466223</v>
      </c>
      <c r="CA195" s="188">
        <f t="shared" si="119"/>
        <v>0</v>
      </c>
      <c r="CB195" s="188">
        <f t="shared" si="119"/>
        <v>0</v>
      </c>
    </row>
    <row r="196" spans="2:80">
      <c r="B196" s="111" t="s">
        <v>395</v>
      </c>
      <c r="E196" s="188">
        <f t="shared" ref="E196:AJ196" si="121">SUM(E176:E195)</f>
        <v>0</v>
      </c>
      <c r="F196" s="188">
        <f t="shared" si="121"/>
        <v>0</v>
      </c>
      <c r="G196" s="188">
        <f t="shared" si="121"/>
        <v>0</v>
      </c>
      <c r="H196" s="188">
        <f t="shared" si="121"/>
        <v>0</v>
      </c>
      <c r="I196" s="188">
        <f t="shared" si="121"/>
        <v>0</v>
      </c>
      <c r="J196" s="188">
        <f t="shared" si="121"/>
        <v>0</v>
      </c>
      <c r="K196" s="188">
        <f t="shared" si="121"/>
        <v>0</v>
      </c>
      <c r="L196" s="188">
        <f t="shared" si="121"/>
        <v>0</v>
      </c>
      <c r="M196" s="188">
        <f t="shared" si="121"/>
        <v>0</v>
      </c>
      <c r="N196" s="188">
        <f t="shared" si="121"/>
        <v>0</v>
      </c>
      <c r="O196" s="188">
        <f t="shared" si="121"/>
        <v>0</v>
      </c>
      <c r="P196" s="188">
        <f t="shared" si="121"/>
        <v>0</v>
      </c>
      <c r="Q196" s="188">
        <f t="shared" si="121"/>
        <v>0</v>
      </c>
      <c r="R196" s="188">
        <f t="shared" si="121"/>
        <v>0</v>
      </c>
      <c r="S196" s="188">
        <f t="shared" si="121"/>
        <v>0</v>
      </c>
      <c r="T196" s="188">
        <f t="shared" si="121"/>
        <v>1173.6326140290469</v>
      </c>
      <c r="U196" s="188">
        <f t="shared" si="121"/>
        <v>7464.3145397868229</v>
      </c>
      <c r="V196" s="188">
        <f t="shared" si="121"/>
        <v>23905.339108678003</v>
      </c>
      <c r="W196" s="188">
        <f t="shared" si="121"/>
        <v>52791.906182201492</v>
      </c>
      <c r="X196" s="188">
        <f t="shared" si="121"/>
        <v>88492.139788435321</v>
      </c>
      <c r="Y196" s="188">
        <f t="shared" si="121"/>
        <v>129639.25470749199</v>
      </c>
      <c r="Z196" s="188">
        <f t="shared" si="121"/>
        <v>175906.72040363599</v>
      </c>
      <c r="AA196" s="188">
        <f t="shared" si="121"/>
        <v>227047.0031378963</v>
      </c>
      <c r="AB196" s="188">
        <f t="shared" si="121"/>
        <v>282879.08387256745</v>
      </c>
      <c r="AC196" s="188">
        <f t="shared" si="121"/>
        <v>343278.11348738347</v>
      </c>
      <c r="AD196" s="188">
        <f t="shared" si="121"/>
        <v>408166.84528326924</v>
      </c>
      <c r="AE196" s="188">
        <f t="shared" si="121"/>
        <v>477508.5455852616</v>
      </c>
      <c r="AF196" s="188">
        <f t="shared" si="121"/>
        <v>551301.13381811487</v>
      </c>
      <c r="AG196" s="188">
        <f t="shared" si="121"/>
        <v>629572.34545146022</v>
      </c>
      <c r="AH196" s="188">
        <f t="shared" si="121"/>
        <v>712375.74613831006</v>
      </c>
      <c r="AI196" s="188">
        <f t="shared" si="121"/>
        <v>799787.45439974288</v>
      </c>
      <c r="AJ196" s="188">
        <f t="shared" si="121"/>
        <v>891903.45433592563</v>
      </c>
      <c r="AK196" s="188">
        <f t="shared" ref="AK196:BP196" si="122">SUM(AK176:AK195)</f>
        <v>988837.39989710832</v>
      </c>
      <c r="AL196" s="188">
        <f t="shared" si="122"/>
        <v>1090718.8289159599</v>
      </c>
      <c r="AM196" s="188">
        <f t="shared" si="122"/>
        <v>1158532.8722054157</v>
      </c>
      <c r="AN196" s="188">
        <f t="shared" si="122"/>
        <v>1221774.6008994456</v>
      </c>
      <c r="AO196" s="188">
        <f t="shared" si="122"/>
        <v>1281404.11280751</v>
      </c>
      <c r="AP196" s="188">
        <f t="shared" si="122"/>
        <v>1338224.481463837</v>
      </c>
      <c r="AQ196" s="188">
        <f t="shared" si="122"/>
        <v>1392908.4164200255</v>
      </c>
      <c r="AR196" s="188">
        <f t="shared" si="122"/>
        <v>1446020.4246325148</v>
      </c>
      <c r="AS196" s="188">
        <f t="shared" si="122"/>
        <v>1498035.2328815174</v>
      </c>
      <c r="AT196" s="188">
        <f t="shared" si="122"/>
        <v>1549353.1028130972</v>
      </c>
      <c r="AU196" s="188">
        <f t="shared" si="122"/>
        <v>1600312.5635278102</v>
      </c>
      <c r="AV196" s="188">
        <f t="shared" si="122"/>
        <v>1651200.9979865914</v>
      </c>
      <c r="AW196" s="188">
        <f t="shared" si="122"/>
        <v>1702263.4458247235</v>
      </c>
      <c r="AX196" s="188">
        <f t="shared" si="122"/>
        <v>1753709.9239289796</v>
      </c>
      <c r="AY196" s="188">
        <f t="shared" si="122"/>
        <v>1805721.5152395938</v>
      </c>
      <c r="AZ196" s="188">
        <f t="shared" si="122"/>
        <v>1858455.4339409389</v>
      </c>
      <c r="BA196" s="188">
        <f t="shared" si="122"/>
        <v>1912049.2400508698</v>
      </c>
      <c r="BB196" s="188">
        <f t="shared" si="122"/>
        <v>1966624.3472020989</v>
      </c>
      <c r="BC196" s="188">
        <f t="shared" si="122"/>
        <v>2022288.9431269784</v>
      </c>
      <c r="BD196" s="188">
        <f t="shared" si="122"/>
        <v>2079140.4221761606</v>
      </c>
      <c r="BE196" s="188">
        <f t="shared" si="122"/>
        <v>2137267.4124292857</v>
      </c>
      <c r="BF196" s="188">
        <f t="shared" si="122"/>
        <v>2196751.4660162972</v>
      </c>
      <c r="BG196" s="188">
        <f t="shared" si="122"/>
        <v>2257668.4696828541</v>
      </c>
      <c r="BH196" s="188">
        <f t="shared" si="122"/>
        <v>2320089.82300492</v>
      </c>
      <c r="BI196" s="188">
        <f t="shared" si="122"/>
        <v>2377001.4230612046</v>
      </c>
      <c r="BJ196" s="188">
        <f t="shared" si="122"/>
        <v>2406062.2383648097</v>
      </c>
      <c r="BK196" s="188">
        <f t="shared" si="122"/>
        <v>2382513.611927995</v>
      </c>
      <c r="BL196" s="188">
        <f t="shared" si="122"/>
        <v>2302049.8710620045</v>
      </c>
      <c r="BM196" s="188">
        <f t="shared" si="122"/>
        <v>2207453.601613251</v>
      </c>
      <c r="BN196" s="188">
        <f t="shared" si="122"/>
        <v>2105913.3222188344</v>
      </c>
      <c r="BO196" s="188">
        <f t="shared" si="122"/>
        <v>1997130.9440526862</v>
      </c>
      <c r="BP196" s="188">
        <f t="shared" si="122"/>
        <v>1880795.4916545178</v>
      </c>
      <c r="BQ196" s="188">
        <f t="shared" ref="BQ196:CB196" si="123">SUM(BQ176:BQ195)</f>
        <v>1756582.9230621578</v>
      </c>
      <c r="BR196" s="188">
        <f t="shared" si="123"/>
        <v>1624155.8987897187</v>
      </c>
      <c r="BS196" s="188">
        <f t="shared" si="123"/>
        <v>1483163.5055955616</v>
      </c>
      <c r="BT196" s="188">
        <f t="shared" si="123"/>
        <v>1333240.9398936913</v>
      </c>
      <c r="BU196" s="188">
        <f t="shared" si="123"/>
        <v>1174009.1547533646</v>
      </c>
      <c r="BV196" s="188">
        <f t="shared" si="123"/>
        <v>1005074.4736735214</v>
      </c>
      <c r="BW196" s="188">
        <f t="shared" si="123"/>
        <v>826028.1736856529</v>
      </c>
      <c r="BX196" s="188">
        <f t="shared" si="123"/>
        <v>636446.03980967181</v>
      </c>
      <c r="BY196" s="188">
        <f t="shared" si="123"/>
        <v>435887.89244458813</v>
      </c>
      <c r="BZ196" s="188">
        <f t="shared" si="123"/>
        <v>223897.08890466223</v>
      </c>
      <c r="CA196" s="188">
        <f t="shared" si="123"/>
        <v>0</v>
      </c>
      <c r="CB196" s="188">
        <f t="shared" si="123"/>
        <v>0</v>
      </c>
    </row>
    <row r="197" spans="2:80">
      <c r="B197" s="111" t="s">
        <v>394</v>
      </c>
      <c r="Z197" s="188">
        <f t="shared" ref="Z197:BE197" si="124">Z196/(1+$G$172)^(Z175-$Y$175)</f>
        <v>159915.2003669418</v>
      </c>
      <c r="AA197" s="188">
        <f t="shared" si="124"/>
        <v>187642.15135363329</v>
      </c>
      <c r="AB197" s="188">
        <f t="shared" si="124"/>
        <v>212531.24257893866</v>
      </c>
      <c r="AC197" s="188">
        <f t="shared" si="124"/>
        <v>234463.57044422059</v>
      </c>
      <c r="AD197" s="188">
        <f t="shared" si="124"/>
        <v>253439.49760216894</v>
      </c>
      <c r="AE197" s="188">
        <f t="shared" si="124"/>
        <v>269541.1253607758</v>
      </c>
      <c r="AF197" s="188">
        <f t="shared" si="124"/>
        <v>282904.6524085587</v>
      </c>
      <c r="AG197" s="188">
        <f t="shared" si="124"/>
        <v>293700.14552905783</v>
      </c>
      <c r="AH197" s="188">
        <f t="shared" si="124"/>
        <v>302116.85732357902</v>
      </c>
      <c r="AI197" s="188">
        <f t="shared" si="124"/>
        <v>308352.68601374829</v>
      </c>
      <c r="AJ197" s="188">
        <f t="shared" si="124"/>
        <v>312606.71967112238</v>
      </c>
      <c r="AK197" s="188">
        <f t="shared" si="124"/>
        <v>315074.06931179849</v>
      </c>
      <c r="AL197" s="188">
        <f t="shared" si="124"/>
        <v>315942.39304506802</v>
      </c>
      <c r="AM197" s="188">
        <f t="shared" si="124"/>
        <v>305077.91439267731</v>
      </c>
      <c r="AN197" s="188">
        <f t="shared" si="124"/>
        <v>292483.12557650998</v>
      </c>
      <c r="AO197" s="188">
        <f t="shared" si="124"/>
        <v>278870.86966824037</v>
      </c>
      <c r="AP197" s="188">
        <f t="shared" si="124"/>
        <v>264760.57944926771</v>
      </c>
      <c r="AQ197" s="188">
        <f t="shared" si="124"/>
        <v>250526.82223166485</v>
      </c>
      <c r="AR197" s="188">
        <f t="shared" si="124"/>
        <v>236435.89432582847</v>
      </c>
      <c r="AS197" s="188">
        <f t="shared" si="124"/>
        <v>222673.39192350142</v>
      </c>
      <c r="AT197" s="188">
        <f t="shared" si="124"/>
        <v>209364.9693569114</v>
      </c>
      <c r="AU197" s="188">
        <f t="shared" si="124"/>
        <v>196591.9548887531</v>
      </c>
      <c r="AV197" s="188">
        <f t="shared" si="124"/>
        <v>184403.08560316553</v>
      </c>
      <c r="AW197" s="188">
        <f t="shared" si="124"/>
        <v>172823.31428199363</v>
      </c>
      <c r="AX197" s="188">
        <f t="shared" si="124"/>
        <v>161860.40794204824</v>
      </c>
      <c r="AY197" s="188">
        <f t="shared" si="124"/>
        <v>151509.88152621716</v>
      </c>
      <c r="AZ197" s="188">
        <f t="shared" si="124"/>
        <v>141758.67714311375</v>
      </c>
      <c r="BA197" s="188">
        <f t="shared" si="124"/>
        <v>132587.89870337473</v>
      </c>
      <c r="BB197" s="188">
        <f t="shared" si="124"/>
        <v>123974.83584750678</v>
      </c>
      <c r="BC197" s="188">
        <f t="shared" si="124"/>
        <v>115894.45368755507</v>
      </c>
      <c r="BD197" s="188">
        <f t="shared" si="124"/>
        <v>108320.48154990487</v>
      </c>
      <c r="BE197" s="188">
        <f t="shared" si="124"/>
        <v>101226.20117690334</v>
      </c>
      <c r="BF197" s="188">
        <f t="shared" ref="BF197:CB197" si="125">BF196/(1+$G$172)^(BF175-$Y$175)</f>
        <v>94585.010127433372</v>
      </c>
      <c r="BG197" s="188">
        <f t="shared" si="125"/>
        <v>88370.81745180393</v>
      </c>
      <c r="BH197" s="188">
        <f t="shared" si="125"/>
        <v>82558.314624047503</v>
      </c>
      <c r="BI197" s="188">
        <f t="shared" si="125"/>
        <v>76894.057134050192</v>
      </c>
      <c r="BJ197" s="188">
        <f t="shared" si="125"/>
        <v>70758.318913123483</v>
      </c>
      <c r="BK197" s="188">
        <f t="shared" si="125"/>
        <v>63696.175163339103</v>
      </c>
      <c r="BL197" s="188">
        <f t="shared" si="125"/>
        <v>55949.989154235074</v>
      </c>
      <c r="BM197" s="188">
        <f t="shared" si="125"/>
        <v>48773.528726915611</v>
      </c>
      <c r="BN197" s="188">
        <f t="shared" si="125"/>
        <v>42300.003226494271</v>
      </c>
      <c r="BO197" s="188">
        <f t="shared" si="125"/>
        <v>36468.152660611056</v>
      </c>
      <c r="BP197" s="188">
        <f t="shared" si="125"/>
        <v>31221.668863298644</v>
      </c>
      <c r="BQ197" s="188">
        <f t="shared" si="125"/>
        <v>26508.826909640447</v>
      </c>
      <c r="BR197" s="188">
        <f t="shared" si="125"/>
        <v>22282.139130895212</v>
      </c>
      <c r="BS197" s="188">
        <f t="shared" si="125"/>
        <v>18498.031450268572</v>
      </c>
      <c r="BT197" s="188">
        <f t="shared" si="125"/>
        <v>15116.54142948504</v>
      </c>
      <c r="BU197" s="188">
        <f t="shared" si="125"/>
        <v>12101.037196717347</v>
      </c>
      <c r="BV197" s="188">
        <f t="shared" si="125"/>
        <v>9417.9562880754784</v>
      </c>
      <c r="BW197" s="188">
        <f t="shared" si="125"/>
        <v>7036.5633558534719</v>
      </c>
      <c r="BX197" s="188">
        <f t="shared" si="125"/>
        <v>4928.7256606852516</v>
      </c>
      <c r="BY197" s="188">
        <f t="shared" si="125"/>
        <v>3068.7052594236948</v>
      </c>
      <c r="BZ197" s="188">
        <f t="shared" si="125"/>
        <v>1432.96681680336</v>
      </c>
      <c r="CA197" s="188">
        <f t="shared" si="125"/>
        <v>0</v>
      </c>
      <c r="CB197" s="188">
        <f t="shared" si="125"/>
        <v>0</v>
      </c>
    </row>
    <row r="198" spans="2:80">
      <c r="B198" s="111" t="s">
        <v>393</v>
      </c>
      <c r="E198" s="188">
        <f t="shared" ref="E198:X198" si="126">E196</f>
        <v>0</v>
      </c>
      <c r="F198" s="188">
        <f t="shared" si="126"/>
        <v>0</v>
      </c>
      <c r="G198" s="188">
        <f t="shared" si="126"/>
        <v>0</v>
      </c>
      <c r="H198" s="188">
        <f t="shared" si="126"/>
        <v>0</v>
      </c>
      <c r="I198" s="188">
        <f t="shared" si="126"/>
        <v>0</v>
      </c>
      <c r="J198" s="188">
        <f t="shared" si="126"/>
        <v>0</v>
      </c>
      <c r="K198" s="188">
        <f t="shared" si="126"/>
        <v>0</v>
      </c>
      <c r="L198" s="188">
        <f t="shared" si="126"/>
        <v>0</v>
      </c>
      <c r="M198" s="188">
        <f t="shared" si="126"/>
        <v>0</v>
      </c>
      <c r="N198" s="188">
        <f t="shared" si="126"/>
        <v>0</v>
      </c>
      <c r="O198" s="188">
        <f t="shared" si="126"/>
        <v>0</v>
      </c>
      <c r="P198" s="188">
        <f t="shared" si="126"/>
        <v>0</v>
      </c>
      <c r="Q198" s="188">
        <f t="shared" si="126"/>
        <v>0</v>
      </c>
      <c r="R198" s="188">
        <f t="shared" si="126"/>
        <v>0</v>
      </c>
      <c r="S198" s="188">
        <f t="shared" si="126"/>
        <v>0</v>
      </c>
      <c r="T198" s="188">
        <f t="shared" si="126"/>
        <v>1173.6326140290469</v>
      </c>
      <c r="U198" s="188">
        <f t="shared" si="126"/>
        <v>7464.3145397868229</v>
      </c>
      <c r="V198" s="188">
        <f t="shared" si="126"/>
        <v>23905.339108678003</v>
      </c>
      <c r="W198" s="188">
        <f t="shared" si="126"/>
        <v>52791.906182201492</v>
      </c>
      <c r="X198" s="188">
        <f t="shared" si="126"/>
        <v>88492.139788435321</v>
      </c>
      <c r="Y198" s="188">
        <f>Y196+SUM(Z197:CB197)</f>
        <v>8040981.8545354428</v>
      </c>
    </row>
    <row r="200" spans="2:80">
      <c r="B200" s="191" t="s">
        <v>13</v>
      </c>
      <c r="C200" s="9"/>
      <c r="D200" s="190" t="str">
        <f t="shared" ref="D200:AI200" si="127">D175</f>
        <v>Units</v>
      </c>
      <c r="E200" s="130">
        <f t="shared" si="127"/>
        <v>2012</v>
      </c>
      <c r="F200" s="130">
        <f t="shared" si="127"/>
        <v>2013</v>
      </c>
      <c r="G200" s="130">
        <f t="shared" si="127"/>
        <v>2014</v>
      </c>
      <c r="H200" s="130">
        <f t="shared" si="127"/>
        <v>2015</v>
      </c>
      <c r="I200" s="130">
        <f t="shared" si="127"/>
        <v>2016</v>
      </c>
      <c r="J200" s="130">
        <f t="shared" si="127"/>
        <v>2017</v>
      </c>
      <c r="K200" s="130">
        <f t="shared" si="127"/>
        <v>2018</v>
      </c>
      <c r="L200" s="130">
        <f t="shared" si="127"/>
        <v>2019</v>
      </c>
      <c r="M200" s="130">
        <f t="shared" si="127"/>
        <v>2020</v>
      </c>
      <c r="N200" s="130">
        <f t="shared" si="127"/>
        <v>2021</v>
      </c>
      <c r="O200" s="130">
        <f t="shared" si="127"/>
        <v>2022</v>
      </c>
      <c r="P200" s="130">
        <f t="shared" si="127"/>
        <v>2023</v>
      </c>
      <c r="Q200" s="130">
        <f t="shared" si="127"/>
        <v>2024</v>
      </c>
      <c r="R200" s="130">
        <f t="shared" si="127"/>
        <v>2025</v>
      </c>
      <c r="S200" s="130">
        <f t="shared" si="127"/>
        <v>2026</v>
      </c>
      <c r="T200" s="130">
        <f t="shared" si="127"/>
        <v>2027</v>
      </c>
      <c r="U200" s="130">
        <f t="shared" si="127"/>
        <v>2028</v>
      </c>
      <c r="V200" s="130">
        <f t="shared" si="127"/>
        <v>2029</v>
      </c>
      <c r="W200" s="130">
        <f t="shared" si="127"/>
        <v>2030</v>
      </c>
      <c r="X200" s="130">
        <f t="shared" si="127"/>
        <v>2031</v>
      </c>
      <c r="Y200" s="130">
        <f t="shared" si="127"/>
        <v>2032</v>
      </c>
      <c r="Z200" s="130">
        <f t="shared" si="127"/>
        <v>2033</v>
      </c>
      <c r="AA200" s="130">
        <f t="shared" si="127"/>
        <v>2034</v>
      </c>
      <c r="AB200" s="130">
        <f t="shared" si="127"/>
        <v>2035</v>
      </c>
      <c r="AC200" s="130">
        <f t="shared" si="127"/>
        <v>2036</v>
      </c>
      <c r="AD200" s="130">
        <f t="shared" si="127"/>
        <v>2037</v>
      </c>
      <c r="AE200" s="130">
        <f t="shared" si="127"/>
        <v>2038</v>
      </c>
      <c r="AF200" s="130">
        <f t="shared" si="127"/>
        <v>2039</v>
      </c>
      <c r="AG200" s="130">
        <f t="shared" si="127"/>
        <v>2040</v>
      </c>
      <c r="AH200" s="130">
        <f t="shared" si="127"/>
        <v>2041</v>
      </c>
      <c r="AI200" s="130">
        <f t="shared" si="127"/>
        <v>2042</v>
      </c>
      <c r="AJ200" s="130">
        <f t="shared" ref="AJ200:BO200" si="128">AJ175</f>
        <v>2043</v>
      </c>
      <c r="AK200" s="130">
        <f t="shared" si="128"/>
        <v>2044</v>
      </c>
      <c r="AL200" s="130">
        <f t="shared" si="128"/>
        <v>2045</v>
      </c>
      <c r="AM200" s="130">
        <f t="shared" si="128"/>
        <v>2046</v>
      </c>
      <c r="AN200" s="130">
        <f t="shared" si="128"/>
        <v>2047</v>
      </c>
      <c r="AO200" s="130">
        <f t="shared" si="128"/>
        <v>2048</v>
      </c>
      <c r="AP200" s="130">
        <f t="shared" si="128"/>
        <v>2049</v>
      </c>
      <c r="AQ200" s="130">
        <f t="shared" si="128"/>
        <v>2050</v>
      </c>
      <c r="AR200" s="130">
        <f t="shared" si="128"/>
        <v>2051</v>
      </c>
      <c r="AS200" s="130">
        <f t="shared" si="128"/>
        <v>2052</v>
      </c>
      <c r="AT200" s="130">
        <f t="shared" si="128"/>
        <v>2053</v>
      </c>
      <c r="AU200" s="130">
        <f t="shared" si="128"/>
        <v>2054</v>
      </c>
      <c r="AV200" s="130">
        <f t="shared" si="128"/>
        <v>2055</v>
      </c>
      <c r="AW200" s="130">
        <f t="shared" si="128"/>
        <v>2056</v>
      </c>
      <c r="AX200" s="130">
        <f t="shared" si="128"/>
        <v>2057</v>
      </c>
      <c r="AY200" s="130">
        <f t="shared" si="128"/>
        <v>2058</v>
      </c>
      <c r="AZ200" s="130">
        <f t="shared" si="128"/>
        <v>2059</v>
      </c>
      <c r="BA200" s="130">
        <f t="shared" si="128"/>
        <v>2060</v>
      </c>
      <c r="BB200" s="130">
        <f t="shared" si="128"/>
        <v>2061</v>
      </c>
      <c r="BC200" s="130">
        <f t="shared" si="128"/>
        <v>2062</v>
      </c>
      <c r="BD200" s="130">
        <f t="shared" si="128"/>
        <v>2063</v>
      </c>
      <c r="BE200" s="130">
        <f t="shared" si="128"/>
        <v>2064</v>
      </c>
      <c r="BF200" s="130">
        <f t="shared" si="128"/>
        <v>2065</v>
      </c>
      <c r="BG200" s="130">
        <f t="shared" si="128"/>
        <v>2066</v>
      </c>
      <c r="BH200" s="130">
        <f t="shared" si="128"/>
        <v>2067</v>
      </c>
      <c r="BI200" s="130">
        <f t="shared" si="128"/>
        <v>2068</v>
      </c>
      <c r="BJ200" s="130">
        <f t="shared" si="128"/>
        <v>2069</v>
      </c>
      <c r="BK200" s="130">
        <f t="shared" si="128"/>
        <v>2070</v>
      </c>
      <c r="BL200" s="130">
        <f t="shared" si="128"/>
        <v>2071</v>
      </c>
      <c r="BM200" s="130">
        <f t="shared" si="128"/>
        <v>2072</v>
      </c>
      <c r="BN200" s="130">
        <f t="shared" si="128"/>
        <v>2073</v>
      </c>
      <c r="BO200" s="130">
        <f t="shared" si="128"/>
        <v>2074</v>
      </c>
      <c r="BP200" s="130">
        <f t="shared" ref="BP200:CB200" si="129">BP175</f>
        <v>2075</v>
      </c>
      <c r="BQ200" s="130">
        <f t="shared" si="129"/>
        <v>2076</v>
      </c>
      <c r="BR200" s="130">
        <f t="shared" si="129"/>
        <v>2077</v>
      </c>
      <c r="BS200" s="130">
        <f t="shared" si="129"/>
        <v>2078</v>
      </c>
      <c r="BT200" s="130">
        <f t="shared" si="129"/>
        <v>2079</v>
      </c>
      <c r="BU200" s="130">
        <f t="shared" si="129"/>
        <v>2080</v>
      </c>
      <c r="BV200" s="130">
        <f t="shared" si="129"/>
        <v>2081</v>
      </c>
      <c r="BW200" s="130">
        <f t="shared" si="129"/>
        <v>2082</v>
      </c>
      <c r="BX200" s="130">
        <f t="shared" si="129"/>
        <v>2083</v>
      </c>
      <c r="BY200" s="130">
        <f t="shared" si="129"/>
        <v>2084</v>
      </c>
      <c r="BZ200" s="130">
        <f t="shared" si="129"/>
        <v>2085</v>
      </c>
      <c r="CA200" s="130">
        <f t="shared" si="129"/>
        <v>2086</v>
      </c>
      <c r="CB200" s="130">
        <f t="shared" si="129"/>
        <v>2087</v>
      </c>
    </row>
    <row r="201" spans="2:80">
      <c r="B201" s="1">
        <v>2013</v>
      </c>
      <c r="C201" s="9">
        <f t="shared" ref="C201:C220" si="130">$B201+$C$33-$C$32</f>
        <v>2026</v>
      </c>
      <c r="E201" s="188">
        <f t="shared" ref="E201:R210" si="131">IF(E$200&gt;=$C201,E$132*HLOOKUP(E$200-$C201+1,$E$47:$CB$49,3)*E$106*$C$30,0)</f>
        <v>0</v>
      </c>
      <c r="F201" s="188">
        <f t="shared" si="131"/>
        <v>0</v>
      </c>
      <c r="G201" s="188">
        <f t="shared" si="131"/>
        <v>0</v>
      </c>
      <c r="H201" s="188">
        <f t="shared" si="131"/>
        <v>0</v>
      </c>
      <c r="I201" s="188">
        <f t="shared" si="131"/>
        <v>0</v>
      </c>
      <c r="J201" s="188">
        <f t="shared" si="131"/>
        <v>0</v>
      </c>
      <c r="K201" s="188">
        <f t="shared" si="131"/>
        <v>0</v>
      </c>
      <c r="L201" s="188">
        <f t="shared" si="131"/>
        <v>0</v>
      </c>
      <c r="M201" s="188">
        <f t="shared" si="131"/>
        <v>0</v>
      </c>
      <c r="N201" s="188">
        <f t="shared" si="131"/>
        <v>0</v>
      </c>
      <c r="O201" s="188">
        <f t="shared" si="131"/>
        <v>0</v>
      </c>
      <c r="P201" s="188">
        <f t="shared" si="131"/>
        <v>0</v>
      </c>
      <c r="Q201" s="188">
        <f t="shared" si="131"/>
        <v>0</v>
      </c>
      <c r="R201" s="188">
        <f t="shared" si="131"/>
        <v>0</v>
      </c>
      <c r="S201" s="188">
        <f t="shared" ref="S201:AX201" si="132">IF(S$200&gt;=$C201,$E138*HLOOKUP(S$200-$C201+1,$E$47:$CB$49,3)*S$106*$C$30,0)</f>
        <v>0</v>
      </c>
      <c r="T201" s="188">
        <f t="shared" si="132"/>
        <v>0</v>
      </c>
      <c r="U201" s="188">
        <f t="shared" si="132"/>
        <v>0</v>
      </c>
      <c r="V201" s="188">
        <f t="shared" si="132"/>
        <v>0</v>
      </c>
      <c r="W201" s="188">
        <f t="shared" si="132"/>
        <v>0</v>
      </c>
      <c r="X201" s="188">
        <f t="shared" si="132"/>
        <v>0</v>
      </c>
      <c r="Y201" s="188">
        <f t="shared" si="132"/>
        <v>0</v>
      </c>
      <c r="Z201" s="188">
        <f t="shared" si="132"/>
        <v>0</v>
      </c>
      <c r="AA201" s="188">
        <f t="shared" si="132"/>
        <v>0</v>
      </c>
      <c r="AB201" s="188">
        <f t="shared" si="132"/>
        <v>0</v>
      </c>
      <c r="AC201" s="188">
        <f t="shared" si="132"/>
        <v>0</v>
      </c>
      <c r="AD201" s="188">
        <f t="shared" si="132"/>
        <v>0</v>
      </c>
      <c r="AE201" s="188">
        <f t="shared" si="132"/>
        <v>0</v>
      </c>
      <c r="AF201" s="188">
        <f t="shared" si="132"/>
        <v>0</v>
      </c>
      <c r="AG201" s="188">
        <f t="shared" si="132"/>
        <v>0</v>
      </c>
      <c r="AH201" s="188">
        <f t="shared" si="132"/>
        <v>0</v>
      </c>
      <c r="AI201" s="188">
        <f t="shared" si="132"/>
        <v>0</v>
      </c>
      <c r="AJ201" s="188">
        <f t="shared" si="132"/>
        <v>0</v>
      </c>
      <c r="AK201" s="188">
        <f t="shared" si="132"/>
        <v>0</v>
      </c>
      <c r="AL201" s="188">
        <f t="shared" si="132"/>
        <v>0</v>
      </c>
      <c r="AM201" s="188">
        <f t="shared" si="132"/>
        <v>0</v>
      </c>
      <c r="AN201" s="188">
        <f t="shared" si="132"/>
        <v>0</v>
      </c>
      <c r="AO201" s="188">
        <f t="shared" si="132"/>
        <v>0</v>
      </c>
      <c r="AP201" s="188">
        <f t="shared" si="132"/>
        <v>0</v>
      </c>
      <c r="AQ201" s="188">
        <f t="shared" si="132"/>
        <v>0</v>
      </c>
      <c r="AR201" s="188">
        <f t="shared" si="132"/>
        <v>0</v>
      </c>
      <c r="AS201" s="188">
        <f t="shared" si="132"/>
        <v>0</v>
      </c>
      <c r="AT201" s="188">
        <f t="shared" si="132"/>
        <v>0</v>
      </c>
      <c r="AU201" s="188">
        <f t="shared" si="132"/>
        <v>0</v>
      </c>
      <c r="AV201" s="188">
        <f t="shared" si="132"/>
        <v>0</v>
      </c>
      <c r="AW201" s="188">
        <f t="shared" si="132"/>
        <v>0</v>
      </c>
      <c r="AX201" s="188">
        <f t="shared" si="132"/>
        <v>0</v>
      </c>
      <c r="AY201" s="188">
        <f t="shared" ref="AY201:CB201" si="133">IF(AY$200&gt;=$C201,$E138*HLOOKUP(AY$200-$C201+1,$E$47:$CB$49,3)*AY$106*$C$30,0)</f>
        <v>0</v>
      </c>
      <c r="AZ201" s="188">
        <f t="shared" si="133"/>
        <v>0</v>
      </c>
      <c r="BA201" s="188">
        <f t="shared" si="133"/>
        <v>0</v>
      </c>
      <c r="BB201" s="188">
        <f t="shared" si="133"/>
        <v>0</v>
      </c>
      <c r="BC201" s="188">
        <f t="shared" si="133"/>
        <v>0</v>
      </c>
      <c r="BD201" s="188">
        <f t="shared" si="133"/>
        <v>0</v>
      </c>
      <c r="BE201" s="188">
        <f t="shared" si="133"/>
        <v>0</v>
      </c>
      <c r="BF201" s="188">
        <f t="shared" si="133"/>
        <v>0</v>
      </c>
      <c r="BG201" s="188">
        <f t="shared" si="133"/>
        <v>0</v>
      </c>
      <c r="BH201" s="188">
        <f t="shared" si="133"/>
        <v>0</v>
      </c>
      <c r="BI201" s="188">
        <f t="shared" si="133"/>
        <v>0</v>
      </c>
      <c r="BJ201" s="188">
        <f t="shared" si="133"/>
        <v>0</v>
      </c>
      <c r="BK201" s="188">
        <f t="shared" si="133"/>
        <v>0</v>
      </c>
      <c r="BL201" s="188">
        <f t="shared" si="133"/>
        <v>0</v>
      </c>
      <c r="BM201" s="188">
        <f t="shared" si="133"/>
        <v>0</v>
      </c>
      <c r="BN201" s="188">
        <f t="shared" si="133"/>
        <v>0</v>
      </c>
      <c r="BO201" s="188">
        <f t="shared" si="133"/>
        <v>0</v>
      </c>
      <c r="BP201" s="188">
        <f t="shared" si="133"/>
        <v>0</v>
      </c>
      <c r="BQ201" s="188">
        <f t="shared" si="133"/>
        <v>0</v>
      </c>
      <c r="BR201" s="188">
        <f t="shared" si="133"/>
        <v>0</v>
      </c>
      <c r="BS201" s="188">
        <f t="shared" si="133"/>
        <v>0</v>
      </c>
      <c r="BT201" s="188">
        <f t="shared" si="133"/>
        <v>0</v>
      </c>
      <c r="BU201" s="188">
        <f t="shared" si="133"/>
        <v>0</v>
      </c>
      <c r="BV201" s="188">
        <f t="shared" si="133"/>
        <v>0</v>
      </c>
      <c r="BW201" s="188">
        <f t="shared" si="133"/>
        <v>0</v>
      </c>
      <c r="BX201" s="188">
        <f t="shared" si="133"/>
        <v>0</v>
      </c>
      <c r="BY201" s="188">
        <f t="shared" si="133"/>
        <v>0</v>
      </c>
      <c r="BZ201" s="188">
        <f t="shared" si="133"/>
        <v>0</v>
      </c>
      <c r="CA201" s="188">
        <f t="shared" si="133"/>
        <v>0</v>
      </c>
      <c r="CB201" s="188">
        <f t="shared" si="133"/>
        <v>0</v>
      </c>
    </row>
    <row r="202" spans="2:80">
      <c r="B202" s="1">
        <v>2014</v>
      </c>
      <c r="C202" s="9">
        <f t="shared" si="130"/>
        <v>2027</v>
      </c>
      <c r="E202" s="188">
        <f t="shared" si="131"/>
        <v>0</v>
      </c>
      <c r="F202" s="188">
        <f t="shared" si="131"/>
        <v>0</v>
      </c>
      <c r="G202" s="188">
        <f t="shared" si="131"/>
        <v>0</v>
      </c>
      <c r="H202" s="188">
        <f t="shared" si="131"/>
        <v>0</v>
      </c>
      <c r="I202" s="188">
        <f t="shared" si="131"/>
        <v>0</v>
      </c>
      <c r="J202" s="188">
        <f t="shared" si="131"/>
        <v>0</v>
      </c>
      <c r="K202" s="188">
        <f t="shared" si="131"/>
        <v>0</v>
      </c>
      <c r="L202" s="188">
        <f t="shared" si="131"/>
        <v>0</v>
      </c>
      <c r="M202" s="188">
        <f t="shared" si="131"/>
        <v>0</v>
      </c>
      <c r="N202" s="188">
        <f t="shared" si="131"/>
        <v>0</v>
      </c>
      <c r="O202" s="188">
        <f t="shared" si="131"/>
        <v>0</v>
      </c>
      <c r="P202" s="188">
        <f t="shared" si="131"/>
        <v>0</v>
      </c>
      <c r="Q202" s="188">
        <f t="shared" si="131"/>
        <v>0</v>
      </c>
      <c r="R202" s="188">
        <f t="shared" si="131"/>
        <v>0</v>
      </c>
      <c r="S202" s="188">
        <f t="shared" ref="S202:AX202" si="134">IF(S$200&gt;=$C202,$E139*HLOOKUP(S$200-$C202+1,$E$47:$CB$49,3)*S$106*$C$30,0)</f>
        <v>0</v>
      </c>
      <c r="T202" s="188">
        <f t="shared" si="134"/>
        <v>8931.7267680143814</v>
      </c>
      <c r="U202" s="188">
        <f t="shared" si="134"/>
        <v>10927.94523793963</v>
      </c>
      <c r="V202" s="188">
        <f t="shared" si="134"/>
        <v>12682.70430579152</v>
      </c>
      <c r="W202" s="188">
        <f t="shared" si="134"/>
        <v>14239.397192603752</v>
      </c>
      <c r="X202" s="188">
        <f t="shared" si="134"/>
        <v>15634.159648855553</v>
      </c>
      <c r="Y202" s="188">
        <f t="shared" si="134"/>
        <v>16897.097635610171</v>
      </c>
      <c r="Z202" s="188">
        <f t="shared" si="134"/>
        <v>18053.307712451122</v>
      </c>
      <c r="AA202" s="188">
        <f t="shared" si="134"/>
        <v>19123.725143974512</v>
      </c>
      <c r="AB202" s="188">
        <f t="shared" si="134"/>
        <v>20125.828823405387</v>
      </c>
      <c r="AC202" s="188">
        <f t="shared" si="134"/>
        <v>21074.227197411346</v>
      </c>
      <c r="AD202" s="188">
        <f t="shared" si="134"/>
        <v>21981.145291715242</v>
      </c>
      <c r="AE202" s="188">
        <f t="shared" si="134"/>
        <v>22856.829542475905</v>
      </c>
      <c r="AF202" s="188">
        <f t="shared" si="134"/>
        <v>23709.884317102886</v>
      </c>
      <c r="AG202" s="188">
        <f t="shared" si="134"/>
        <v>24547.551663366787</v>
      </c>
      <c r="AH202" s="188">
        <f t="shared" si="134"/>
        <v>25375.943876883892</v>
      </c>
      <c r="AI202" s="188">
        <f t="shared" si="134"/>
        <v>26200.236857407697</v>
      </c>
      <c r="AJ202" s="188">
        <f t="shared" si="134"/>
        <v>27024.830878260957</v>
      </c>
      <c r="AK202" s="188">
        <f t="shared" si="134"/>
        <v>27853.484274491173</v>
      </c>
      <c r="AL202" s="188">
        <f t="shared" si="134"/>
        <v>28689.424625531388</v>
      </c>
      <c r="AM202" s="188">
        <f t="shared" si="134"/>
        <v>29535.44123538538</v>
      </c>
      <c r="AN202" s="188">
        <f t="shared" si="134"/>
        <v>30393.962071109167</v>
      </c>
      <c r="AO202" s="188">
        <f t="shared" si="134"/>
        <v>31267.117786585361</v>
      </c>
      <c r="AP202" s="188">
        <f t="shared" si="134"/>
        <v>32156.795014964533</v>
      </c>
      <c r="AQ202" s="188">
        <f t="shared" si="134"/>
        <v>33064.680744450969</v>
      </c>
      <c r="AR202" s="188">
        <f t="shared" si="134"/>
        <v>33992.299285685505</v>
      </c>
      <c r="AS202" s="188">
        <f t="shared" si="134"/>
        <v>34941.043084307879</v>
      </c>
      <c r="AT202" s="188">
        <f t="shared" si="134"/>
        <v>35912.198420624634</v>
      </c>
      <c r="AU202" s="188">
        <f t="shared" si="134"/>
        <v>36906.966862400739</v>
      </c>
      <c r="AV202" s="188">
        <f t="shared" si="134"/>
        <v>37926.483190597297</v>
      </c>
      <c r="AW202" s="188">
        <f t="shared" si="134"/>
        <v>38971.830396374302</v>
      </c>
      <c r="AX202" s="188">
        <f t="shared" si="134"/>
        <v>40044.052246697764</v>
      </c>
      <c r="AY202" s="188">
        <f t="shared" ref="AY202:CB202" si="135">IF(AY$200&gt;=$C202,$E139*HLOOKUP(AY$200-$C202+1,$E$47:$CB$49,3)*AY$106*$C$30,0)</f>
        <v>41144.163831966987</v>
      </c>
      <c r="AZ202" s="188">
        <f t="shared" si="135"/>
        <v>42273.160439330466</v>
      </c>
      <c r="BA202" s="188">
        <f t="shared" si="135"/>
        <v>43432.025037393847</v>
      </c>
      <c r="BB202" s="188">
        <f t="shared" si="135"/>
        <v>44621.734609849504</v>
      </c>
      <c r="BC202" s="188">
        <f t="shared" si="135"/>
        <v>45843.265535522754</v>
      </c>
      <c r="BD202" s="188">
        <f t="shared" si="135"/>
        <v>47097.598179058223</v>
      </c>
      <c r="BE202" s="188">
        <f t="shared" si="135"/>
        <v>48385.720828820449</v>
      </c>
      <c r="BF202" s="188">
        <f t="shared" si="135"/>
        <v>49708.633095605299</v>
      </c>
      <c r="BG202" s="188">
        <f t="shared" si="135"/>
        <v>51067.348866664477</v>
      </c>
      <c r="BH202" s="188">
        <f t="shared" si="135"/>
        <v>52462.898893678583</v>
      </c>
      <c r="BI202" s="188">
        <f t="shared" si="135"/>
        <v>0</v>
      </c>
      <c r="BJ202" s="188">
        <f t="shared" si="135"/>
        <v>0</v>
      </c>
      <c r="BK202" s="188">
        <f t="shared" si="135"/>
        <v>0</v>
      </c>
      <c r="BL202" s="188">
        <f t="shared" si="135"/>
        <v>0</v>
      </c>
      <c r="BM202" s="188">
        <f t="shared" si="135"/>
        <v>0</v>
      </c>
      <c r="BN202" s="188">
        <f t="shared" si="135"/>
        <v>0</v>
      </c>
      <c r="BO202" s="188">
        <f t="shared" si="135"/>
        <v>0</v>
      </c>
      <c r="BP202" s="188">
        <f t="shared" si="135"/>
        <v>0</v>
      </c>
      <c r="BQ202" s="188">
        <f t="shared" si="135"/>
        <v>0</v>
      </c>
      <c r="BR202" s="188">
        <f t="shared" si="135"/>
        <v>0</v>
      </c>
      <c r="BS202" s="188">
        <f t="shared" si="135"/>
        <v>0</v>
      </c>
      <c r="BT202" s="188">
        <f t="shared" si="135"/>
        <v>0</v>
      </c>
      <c r="BU202" s="188">
        <f t="shared" si="135"/>
        <v>0</v>
      </c>
      <c r="BV202" s="188">
        <f t="shared" si="135"/>
        <v>0</v>
      </c>
      <c r="BW202" s="188">
        <f t="shared" si="135"/>
        <v>0</v>
      </c>
      <c r="BX202" s="188">
        <f t="shared" si="135"/>
        <v>0</v>
      </c>
      <c r="BY202" s="188">
        <f t="shared" si="135"/>
        <v>0</v>
      </c>
      <c r="BZ202" s="188">
        <f t="shared" si="135"/>
        <v>0</v>
      </c>
      <c r="CA202" s="188">
        <f t="shared" si="135"/>
        <v>0</v>
      </c>
      <c r="CB202" s="188">
        <f t="shared" si="135"/>
        <v>0</v>
      </c>
    </row>
    <row r="203" spans="2:80">
      <c r="B203" s="1">
        <v>2015</v>
      </c>
      <c r="C203" s="9">
        <f t="shared" si="130"/>
        <v>2028</v>
      </c>
      <c r="E203" s="188">
        <f t="shared" si="131"/>
        <v>0</v>
      </c>
      <c r="F203" s="188">
        <f t="shared" si="131"/>
        <v>0</v>
      </c>
      <c r="G203" s="188">
        <f t="shared" si="131"/>
        <v>0</v>
      </c>
      <c r="H203" s="188">
        <f t="shared" si="131"/>
        <v>0</v>
      </c>
      <c r="I203" s="188">
        <f t="shared" si="131"/>
        <v>0</v>
      </c>
      <c r="J203" s="188">
        <f t="shared" si="131"/>
        <v>0</v>
      </c>
      <c r="K203" s="188">
        <f t="shared" si="131"/>
        <v>0</v>
      </c>
      <c r="L203" s="188">
        <f t="shared" si="131"/>
        <v>0</v>
      </c>
      <c r="M203" s="188">
        <f t="shared" si="131"/>
        <v>0</v>
      </c>
      <c r="N203" s="188">
        <f t="shared" si="131"/>
        <v>0</v>
      </c>
      <c r="O203" s="188">
        <f t="shared" si="131"/>
        <v>0</v>
      </c>
      <c r="P203" s="188">
        <f t="shared" si="131"/>
        <v>0</v>
      </c>
      <c r="Q203" s="188">
        <f t="shared" si="131"/>
        <v>0</v>
      </c>
      <c r="R203" s="188">
        <f t="shared" si="131"/>
        <v>0</v>
      </c>
      <c r="S203" s="188">
        <f t="shared" ref="S203:AX203" si="136">IF(S$200&gt;=$C203,$E140*HLOOKUP(S$200-$C203+1,$E$47:$CB$49,3)*S$106*$C$30,0)</f>
        <v>0</v>
      </c>
      <c r="T203" s="188">
        <f t="shared" si="136"/>
        <v>0</v>
      </c>
      <c r="U203" s="188">
        <f t="shared" si="136"/>
        <v>46971.001384712246</v>
      </c>
      <c r="V203" s="188">
        <f t="shared" si="136"/>
        <v>57468.90206510797</v>
      </c>
      <c r="W203" s="188">
        <f t="shared" si="136"/>
        <v>66696.993423777138</v>
      </c>
      <c r="X203" s="188">
        <f t="shared" si="136"/>
        <v>74883.475796242768</v>
      </c>
      <c r="Y203" s="188">
        <f t="shared" si="136"/>
        <v>82218.383252050699</v>
      </c>
      <c r="Z203" s="188">
        <f t="shared" si="136"/>
        <v>88860.039839340665</v>
      </c>
      <c r="AA203" s="188">
        <f t="shared" si="136"/>
        <v>94940.425696507664</v>
      </c>
      <c r="AB203" s="188">
        <f t="shared" si="136"/>
        <v>100569.63715406804</v>
      </c>
      <c r="AC203" s="188">
        <f t="shared" si="136"/>
        <v>105839.59385300512</v>
      </c>
      <c r="AD203" s="188">
        <f t="shared" si="136"/>
        <v>110827.12006106398</v>
      </c>
      <c r="AE203" s="188">
        <f t="shared" si="136"/>
        <v>115596.50588866461</v>
      </c>
      <c r="AF203" s="188">
        <f t="shared" si="136"/>
        <v>120201.63625408818</v>
      </c>
      <c r="AG203" s="188">
        <f t="shared" si="136"/>
        <v>124687.76061066063</v>
      </c>
      <c r="AH203" s="188">
        <f t="shared" si="136"/>
        <v>129092.96411757858</v>
      </c>
      <c r="AI203" s="188">
        <f t="shared" si="136"/>
        <v>133449.39068758293</v>
      </c>
      <c r="AJ203" s="188">
        <f t="shared" si="136"/>
        <v>137784.25982713673</v>
      </c>
      <c r="AK203" s="188">
        <f t="shared" si="136"/>
        <v>142120.71210577429</v>
      </c>
      <c r="AL203" s="188">
        <f t="shared" si="136"/>
        <v>146478.51220789595</v>
      </c>
      <c r="AM203" s="188">
        <f t="shared" si="136"/>
        <v>150874.63363055963</v>
      </c>
      <c r="AN203" s="188">
        <f t="shared" si="136"/>
        <v>155323.74502694147</v>
      </c>
      <c r="AO203" s="188">
        <f t="shared" si="136"/>
        <v>159838.61481762934</v>
      </c>
      <c r="AP203" s="188">
        <f t="shared" si="136"/>
        <v>164430.44788484479</v>
      </c>
      <c r="AQ203" s="188">
        <f t="shared" si="136"/>
        <v>169109.16583172567</v>
      </c>
      <c r="AR203" s="188">
        <f t="shared" si="136"/>
        <v>173883.64034986499</v>
      </c>
      <c r="AS203" s="188">
        <f t="shared" si="136"/>
        <v>178761.88762684684</v>
      </c>
      <c r="AT203" s="188">
        <f t="shared" si="136"/>
        <v>183751.23038623537</v>
      </c>
      <c r="AU203" s="188">
        <f t="shared" si="136"/>
        <v>188858.43303939555</v>
      </c>
      <c r="AV203" s="188">
        <f t="shared" si="136"/>
        <v>194089.81450344372</v>
      </c>
      <c r="AW203" s="188">
        <f t="shared" si="136"/>
        <v>199451.34247079591</v>
      </c>
      <c r="AX203" s="188">
        <f t="shared" si="136"/>
        <v>204948.71227681072</v>
      </c>
      <c r="AY203" s="188">
        <f t="shared" ref="AY203:CB203" si="137">IF(AY$200&gt;=$C203,$E140*HLOOKUP(AY$200-$C203+1,$E$47:$CB$49,3)*AY$106*$C$30,0)</f>
        <v>210587.41298098135</v>
      </c>
      <c r="AZ203" s="188">
        <f t="shared" si="137"/>
        <v>216372.78283578559</v>
      </c>
      <c r="BA203" s="188">
        <f t="shared" si="137"/>
        <v>222310.05595051107</v>
      </c>
      <c r="BB203" s="188">
        <f t="shared" si="137"/>
        <v>228404.40165253813</v>
      </c>
      <c r="BC203" s="188">
        <f t="shared" si="137"/>
        <v>234660.95779522491</v>
      </c>
      <c r="BD203" s="188">
        <f t="shared" si="137"/>
        <v>241084.85905099774</v>
      </c>
      <c r="BE203" s="188">
        <f t="shared" si="137"/>
        <v>247681.26105328288</v>
      </c>
      <c r="BF203" s="188">
        <f t="shared" si="137"/>
        <v>254455.36110550736</v>
      </c>
      <c r="BG203" s="188">
        <f t="shared" si="137"/>
        <v>261412.4160545604</v>
      </c>
      <c r="BH203" s="188">
        <f t="shared" si="137"/>
        <v>268557.75782569463</v>
      </c>
      <c r="BI203" s="188">
        <f t="shared" si="137"/>
        <v>275896.80703240103</v>
      </c>
      <c r="BJ203" s="188">
        <f t="shared" si="137"/>
        <v>0</v>
      </c>
      <c r="BK203" s="188">
        <f t="shared" si="137"/>
        <v>0</v>
      </c>
      <c r="BL203" s="188">
        <f t="shared" si="137"/>
        <v>0</v>
      </c>
      <c r="BM203" s="188">
        <f t="shared" si="137"/>
        <v>0</v>
      </c>
      <c r="BN203" s="188">
        <f t="shared" si="137"/>
        <v>0</v>
      </c>
      <c r="BO203" s="188">
        <f t="shared" si="137"/>
        <v>0</v>
      </c>
      <c r="BP203" s="188">
        <f t="shared" si="137"/>
        <v>0</v>
      </c>
      <c r="BQ203" s="188">
        <f t="shared" si="137"/>
        <v>0</v>
      </c>
      <c r="BR203" s="188">
        <f t="shared" si="137"/>
        <v>0</v>
      </c>
      <c r="BS203" s="188">
        <f t="shared" si="137"/>
        <v>0</v>
      </c>
      <c r="BT203" s="188">
        <f t="shared" si="137"/>
        <v>0</v>
      </c>
      <c r="BU203" s="188">
        <f t="shared" si="137"/>
        <v>0</v>
      </c>
      <c r="BV203" s="188">
        <f t="shared" si="137"/>
        <v>0</v>
      </c>
      <c r="BW203" s="188">
        <f t="shared" si="137"/>
        <v>0</v>
      </c>
      <c r="BX203" s="188">
        <f t="shared" si="137"/>
        <v>0</v>
      </c>
      <c r="BY203" s="188">
        <f t="shared" si="137"/>
        <v>0</v>
      </c>
      <c r="BZ203" s="188">
        <f t="shared" si="137"/>
        <v>0</v>
      </c>
      <c r="CA203" s="188">
        <f t="shared" si="137"/>
        <v>0</v>
      </c>
      <c r="CB203" s="188">
        <f t="shared" si="137"/>
        <v>0</v>
      </c>
    </row>
    <row r="204" spans="2:80">
      <c r="B204" s="1">
        <v>2016</v>
      </c>
      <c r="C204" s="9">
        <f t="shared" si="130"/>
        <v>2029</v>
      </c>
      <c r="E204" s="188">
        <f t="shared" si="131"/>
        <v>0</v>
      </c>
      <c r="F204" s="188">
        <f t="shared" si="131"/>
        <v>0</v>
      </c>
      <c r="G204" s="188">
        <f t="shared" si="131"/>
        <v>0</v>
      </c>
      <c r="H204" s="188">
        <f t="shared" si="131"/>
        <v>0</v>
      </c>
      <c r="I204" s="188">
        <f t="shared" si="131"/>
        <v>0</v>
      </c>
      <c r="J204" s="188">
        <f t="shared" si="131"/>
        <v>0</v>
      </c>
      <c r="K204" s="188">
        <f t="shared" si="131"/>
        <v>0</v>
      </c>
      <c r="L204" s="188">
        <f t="shared" si="131"/>
        <v>0</v>
      </c>
      <c r="M204" s="188">
        <f t="shared" si="131"/>
        <v>0</v>
      </c>
      <c r="N204" s="188">
        <f t="shared" si="131"/>
        <v>0</v>
      </c>
      <c r="O204" s="188">
        <f t="shared" si="131"/>
        <v>0</v>
      </c>
      <c r="P204" s="188">
        <f t="shared" si="131"/>
        <v>0</v>
      </c>
      <c r="Q204" s="188">
        <f t="shared" si="131"/>
        <v>0</v>
      </c>
      <c r="R204" s="188">
        <f t="shared" si="131"/>
        <v>0</v>
      </c>
      <c r="S204" s="188">
        <f t="shared" ref="S204:AX204" si="138">IF(S$200&gt;=$C204,$E141*HLOOKUP(S$200-$C204+1,$E$47:$CB$49,3)*S$106*$C$30,0)</f>
        <v>0</v>
      </c>
      <c r="T204" s="188">
        <f t="shared" si="138"/>
        <v>0</v>
      </c>
      <c r="U204" s="188">
        <f t="shared" si="138"/>
        <v>0</v>
      </c>
      <c r="V204" s="188">
        <f t="shared" si="138"/>
        <v>118567.44094681887</v>
      </c>
      <c r="W204" s="188">
        <f t="shared" si="138"/>
        <v>145066.96580884384</v>
      </c>
      <c r="X204" s="188">
        <f t="shared" si="138"/>
        <v>168361.15041136695</v>
      </c>
      <c r="Y204" s="188">
        <f t="shared" si="138"/>
        <v>189026.03377864839</v>
      </c>
      <c r="Z204" s="188">
        <f t="shared" si="138"/>
        <v>207541.31301431623</v>
      </c>
      <c r="AA204" s="188">
        <f t="shared" si="138"/>
        <v>224306.64059915364</v>
      </c>
      <c r="AB204" s="188">
        <f t="shared" si="138"/>
        <v>239655.16990021654</v>
      </c>
      <c r="AC204" s="188">
        <f t="shared" si="138"/>
        <v>253864.81366754489</v>
      </c>
      <c r="AD204" s="188">
        <f t="shared" si="138"/>
        <v>267167.60179794405</v>
      </c>
      <c r="AE204" s="188">
        <f t="shared" si="138"/>
        <v>279757.45940607251</v>
      </c>
      <c r="AF204" s="188">
        <f t="shared" si="138"/>
        <v>291796.6720222779</v>
      </c>
      <c r="AG204" s="188">
        <f t="shared" si="138"/>
        <v>303421.25967334042</v>
      </c>
      <c r="AH204" s="188">
        <f t="shared" si="138"/>
        <v>314745.44414987386</v>
      </c>
      <c r="AI204" s="188">
        <f t="shared" si="138"/>
        <v>325865.36263718148</v>
      </c>
      <c r="AJ204" s="188">
        <f t="shared" si="138"/>
        <v>336862.15501653781</v>
      </c>
      <c r="AK204" s="188">
        <f t="shared" si="138"/>
        <v>347804.53064329037</v>
      </c>
      <c r="AL204" s="188">
        <f t="shared" si="138"/>
        <v>358750.90253889572</v>
      </c>
      <c r="AM204" s="188">
        <f t="shared" si="138"/>
        <v>369751.16208274534</v>
      </c>
      <c r="AN204" s="188">
        <f t="shared" si="138"/>
        <v>380848.15494665247</v>
      </c>
      <c r="AO204" s="188">
        <f t="shared" si="138"/>
        <v>392078.90875655558</v>
      </c>
      <c r="AP204" s="188">
        <f t="shared" si="138"/>
        <v>403475.65444024862</v>
      </c>
      <c r="AQ204" s="188">
        <f t="shared" si="138"/>
        <v>415066.67613415525</v>
      </c>
      <c r="AR204" s="188">
        <f t="shared" si="138"/>
        <v>426877.01863313746</v>
      </c>
      <c r="AS204" s="188">
        <f t="shared" si="138"/>
        <v>438929.07647293108</v>
      </c>
      <c r="AT204" s="188">
        <f t="shared" si="138"/>
        <v>451243.08466705447</v>
      </c>
      <c r="AU204" s="188">
        <f t="shared" si="138"/>
        <v>463837.52773932356</v>
      </c>
      <c r="AV204" s="188">
        <f t="shared" si="138"/>
        <v>476729.48088339885</v>
      </c>
      <c r="AW204" s="188">
        <f t="shared" si="138"/>
        <v>489934.89474563545</v>
      </c>
      <c r="AX204" s="188">
        <f t="shared" si="138"/>
        <v>503468.83338677877</v>
      </c>
      <c r="AY204" s="188">
        <f t="shared" ref="AY204:CB204" si="139">IF(AY$200&gt;=$C204,$E141*HLOOKUP(AY$200-$C204+1,$E$47:$CB$49,3)*AY$106*$C$30,0)</f>
        <v>517345.67336510704</v>
      </c>
      <c r="AZ204" s="188">
        <f t="shared" si="139"/>
        <v>531579.27054313384</v>
      </c>
      <c r="BA204" s="188">
        <f t="shared" si="139"/>
        <v>546183.10010590462</v>
      </c>
      <c r="BB204" s="188">
        <f t="shared" si="139"/>
        <v>561170.37435304187</v>
      </c>
      <c r="BC204" s="188">
        <f t="shared" si="139"/>
        <v>576554.14205721067</v>
      </c>
      <c r="BD204" s="188">
        <f t="shared" si="139"/>
        <v>592347.37254217779</v>
      </c>
      <c r="BE204" s="188">
        <f t="shared" si="139"/>
        <v>608563.02710218343</v>
      </c>
      <c r="BF204" s="188">
        <f t="shared" si="139"/>
        <v>625214.11994266894</v>
      </c>
      <c r="BG204" s="188">
        <f t="shared" si="139"/>
        <v>642313.77045536553</v>
      </c>
      <c r="BH204" s="188">
        <f t="shared" si="139"/>
        <v>659875.24833571783</v>
      </c>
      <c r="BI204" s="188">
        <f t="shared" si="139"/>
        <v>677912.01279715309</v>
      </c>
      <c r="BJ204" s="188">
        <f t="shared" si="139"/>
        <v>696437.74692606542</v>
      </c>
      <c r="BK204" s="188">
        <f t="shared" si="139"/>
        <v>0</v>
      </c>
      <c r="BL204" s="188">
        <f t="shared" si="139"/>
        <v>0</v>
      </c>
      <c r="BM204" s="188">
        <f t="shared" si="139"/>
        <v>0</v>
      </c>
      <c r="BN204" s="188">
        <f t="shared" si="139"/>
        <v>0</v>
      </c>
      <c r="BO204" s="188">
        <f t="shared" si="139"/>
        <v>0</v>
      </c>
      <c r="BP204" s="188">
        <f t="shared" si="139"/>
        <v>0</v>
      </c>
      <c r="BQ204" s="188">
        <f t="shared" si="139"/>
        <v>0</v>
      </c>
      <c r="BR204" s="188">
        <f t="shared" si="139"/>
        <v>0</v>
      </c>
      <c r="BS204" s="188">
        <f t="shared" si="139"/>
        <v>0</v>
      </c>
      <c r="BT204" s="188">
        <f t="shared" si="139"/>
        <v>0</v>
      </c>
      <c r="BU204" s="188">
        <f t="shared" si="139"/>
        <v>0</v>
      </c>
      <c r="BV204" s="188">
        <f t="shared" si="139"/>
        <v>0</v>
      </c>
      <c r="BW204" s="188">
        <f t="shared" si="139"/>
        <v>0</v>
      </c>
      <c r="BX204" s="188">
        <f t="shared" si="139"/>
        <v>0</v>
      </c>
      <c r="BY204" s="188">
        <f t="shared" si="139"/>
        <v>0</v>
      </c>
      <c r="BZ204" s="188">
        <f t="shared" si="139"/>
        <v>0</v>
      </c>
      <c r="CA204" s="188">
        <f t="shared" si="139"/>
        <v>0</v>
      </c>
      <c r="CB204" s="188">
        <f t="shared" si="139"/>
        <v>0</v>
      </c>
    </row>
    <row r="205" spans="2:80">
      <c r="B205" s="1">
        <v>2017</v>
      </c>
      <c r="C205" s="9">
        <f t="shared" si="130"/>
        <v>2030</v>
      </c>
      <c r="E205" s="188">
        <f t="shared" si="131"/>
        <v>0</v>
      </c>
      <c r="F205" s="188">
        <f t="shared" si="131"/>
        <v>0</v>
      </c>
      <c r="G205" s="188">
        <f t="shared" si="131"/>
        <v>0</v>
      </c>
      <c r="H205" s="188">
        <f t="shared" si="131"/>
        <v>0</v>
      </c>
      <c r="I205" s="188">
        <f t="shared" si="131"/>
        <v>0</v>
      </c>
      <c r="J205" s="188">
        <f t="shared" si="131"/>
        <v>0</v>
      </c>
      <c r="K205" s="188">
        <f t="shared" si="131"/>
        <v>0</v>
      </c>
      <c r="L205" s="188">
        <f t="shared" si="131"/>
        <v>0</v>
      </c>
      <c r="M205" s="188">
        <f t="shared" si="131"/>
        <v>0</v>
      </c>
      <c r="N205" s="188">
        <f t="shared" si="131"/>
        <v>0</v>
      </c>
      <c r="O205" s="188">
        <f t="shared" si="131"/>
        <v>0</v>
      </c>
      <c r="P205" s="188">
        <f t="shared" si="131"/>
        <v>0</v>
      </c>
      <c r="Q205" s="188">
        <f t="shared" si="131"/>
        <v>0</v>
      </c>
      <c r="R205" s="188">
        <f t="shared" si="131"/>
        <v>0</v>
      </c>
      <c r="S205" s="188">
        <f t="shared" ref="S205:AX205" si="140">IF(S$200&gt;=$C205,$E142*HLOOKUP(S$200-$C205+1,$E$47:$CB$49,3)*S$106*$C$30,0)</f>
        <v>0</v>
      </c>
      <c r="T205" s="188">
        <f t="shared" si="140"/>
        <v>0</v>
      </c>
      <c r="U205" s="188">
        <f t="shared" si="140"/>
        <v>0</v>
      </c>
      <c r="V205" s="188">
        <f t="shared" si="140"/>
        <v>0</v>
      </c>
      <c r="W205" s="188">
        <f t="shared" si="140"/>
        <v>197452.29557017566</v>
      </c>
      <c r="X205" s="188">
        <f t="shared" si="140"/>
        <v>241582.38705011798</v>
      </c>
      <c r="Y205" s="188">
        <f t="shared" si="140"/>
        <v>280374.57305391843</v>
      </c>
      <c r="Z205" s="188">
        <f t="shared" si="140"/>
        <v>314788.14077517681</v>
      </c>
      <c r="AA205" s="188">
        <f t="shared" si="140"/>
        <v>345621.93763383722</v>
      </c>
      <c r="AB205" s="188">
        <f t="shared" si="140"/>
        <v>373541.51143232151</v>
      </c>
      <c r="AC205" s="188">
        <f t="shared" si="140"/>
        <v>399101.66791305633</v>
      </c>
      <c r="AD205" s="188">
        <f t="shared" si="140"/>
        <v>422765.21971689316</v>
      </c>
      <c r="AE205" s="188">
        <f t="shared" si="140"/>
        <v>444918.57001994248</v>
      </c>
      <c r="AF205" s="188">
        <f t="shared" si="140"/>
        <v>465884.6654823689</v>
      </c>
      <c r="AG205" s="188">
        <f t="shared" si="140"/>
        <v>485933.76284792146</v>
      </c>
      <c r="AH205" s="188">
        <f t="shared" si="140"/>
        <v>505292.37848835287</v>
      </c>
      <c r="AI205" s="188">
        <f t="shared" si="140"/>
        <v>524150.72781677084</v>
      </c>
      <c r="AJ205" s="188">
        <f t="shared" si="140"/>
        <v>542668.90965774457</v>
      </c>
      <c r="AK205" s="188">
        <f t="shared" si="140"/>
        <v>560982.0475805446</v>
      </c>
      <c r="AL205" s="188">
        <f t="shared" si="140"/>
        <v>579204.5643966283</v>
      </c>
      <c r="AM205" s="188">
        <f t="shared" si="140"/>
        <v>597433.73626449029</v>
      </c>
      <c r="AN205" s="188">
        <f t="shared" si="140"/>
        <v>615752.64811293839</v>
      </c>
      <c r="AO205" s="188">
        <f t="shared" si="140"/>
        <v>634232.65153889661</v>
      </c>
      <c r="AP205" s="188">
        <f t="shared" si="140"/>
        <v>652935.40925248759</v>
      </c>
      <c r="AQ205" s="188">
        <f t="shared" si="140"/>
        <v>671914.59594408562</v>
      </c>
      <c r="AR205" s="188">
        <f t="shared" si="140"/>
        <v>691217.31364794576</v>
      </c>
      <c r="AS205" s="188">
        <f t="shared" si="140"/>
        <v>710885.26986992429</v>
      </c>
      <c r="AT205" s="188">
        <f t="shared" si="140"/>
        <v>730955.75859607593</v>
      </c>
      <c r="AU205" s="188">
        <f t="shared" si="140"/>
        <v>751462.47752484295</v>
      </c>
      <c r="AV205" s="188">
        <f t="shared" si="140"/>
        <v>772436.2092355818</v>
      </c>
      <c r="AW205" s="188">
        <f t="shared" si="140"/>
        <v>793905.38932712609</v>
      </c>
      <c r="AX205" s="188">
        <f t="shared" si="140"/>
        <v>815896.58067131962</v>
      </c>
      <c r="AY205" s="188">
        <f t="shared" ref="AY205:CB205" si="141">IF(AY$200&gt;=$C205,$E142*HLOOKUP(AY$200-$C205+1,$E$47:$CB$49,3)*AY$106*$C$30,0)</f>
        <v>838434.86969451129</v>
      </c>
      <c r="AZ205" s="188">
        <f t="shared" si="141"/>
        <v>861544.19791396649</v>
      </c>
      <c r="BA205" s="188">
        <f t="shared" si="141"/>
        <v>885247.63972378988</v>
      </c>
      <c r="BB205" s="188">
        <f t="shared" si="141"/>
        <v>909567.63556968176</v>
      </c>
      <c r="BC205" s="188">
        <f t="shared" si="141"/>
        <v>934526.18810995598</v>
      </c>
      <c r="BD205" s="188">
        <f t="shared" si="141"/>
        <v>960145.02767881274</v>
      </c>
      <c r="BE205" s="188">
        <f t="shared" si="141"/>
        <v>986445.7523029052</v>
      </c>
      <c r="BF205" s="188">
        <f t="shared" si="141"/>
        <v>1013449.9466371847</v>
      </c>
      <c r="BG205" s="188">
        <f t="shared" si="141"/>
        <v>1041179.2834504896</v>
      </c>
      <c r="BH205" s="188">
        <f t="shared" si="141"/>
        <v>1069655.6106801049</v>
      </c>
      <c r="BI205" s="188">
        <f t="shared" si="141"/>
        <v>1098901.0265665432</v>
      </c>
      <c r="BJ205" s="188">
        <f t="shared" si="141"/>
        <v>1128937.9449577085</v>
      </c>
      <c r="BK205" s="188">
        <f t="shared" si="141"/>
        <v>1159789.1525208137</v>
      </c>
      <c r="BL205" s="188">
        <f t="shared" si="141"/>
        <v>0</v>
      </c>
      <c r="BM205" s="188">
        <f t="shared" si="141"/>
        <v>0</v>
      </c>
      <c r="BN205" s="188">
        <f t="shared" si="141"/>
        <v>0</v>
      </c>
      <c r="BO205" s="188">
        <f t="shared" si="141"/>
        <v>0</v>
      </c>
      <c r="BP205" s="188">
        <f t="shared" si="141"/>
        <v>0</v>
      </c>
      <c r="BQ205" s="188">
        <f t="shared" si="141"/>
        <v>0</v>
      </c>
      <c r="BR205" s="188">
        <f t="shared" si="141"/>
        <v>0</v>
      </c>
      <c r="BS205" s="188">
        <f t="shared" si="141"/>
        <v>0</v>
      </c>
      <c r="BT205" s="188">
        <f t="shared" si="141"/>
        <v>0</v>
      </c>
      <c r="BU205" s="188">
        <f t="shared" si="141"/>
        <v>0</v>
      </c>
      <c r="BV205" s="188">
        <f t="shared" si="141"/>
        <v>0</v>
      </c>
      <c r="BW205" s="188">
        <f t="shared" si="141"/>
        <v>0</v>
      </c>
      <c r="BX205" s="188">
        <f t="shared" si="141"/>
        <v>0</v>
      </c>
      <c r="BY205" s="188">
        <f t="shared" si="141"/>
        <v>0</v>
      </c>
      <c r="BZ205" s="188">
        <f t="shared" si="141"/>
        <v>0</v>
      </c>
      <c r="CA205" s="188">
        <f t="shared" si="141"/>
        <v>0</v>
      </c>
      <c r="CB205" s="188">
        <f t="shared" si="141"/>
        <v>0</v>
      </c>
    </row>
    <row r="206" spans="2:80">
      <c r="B206" s="1">
        <v>2018</v>
      </c>
      <c r="C206" s="9">
        <f t="shared" si="130"/>
        <v>2031</v>
      </c>
      <c r="E206" s="188">
        <f t="shared" si="131"/>
        <v>0</v>
      </c>
      <c r="F206" s="188">
        <f t="shared" si="131"/>
        <v>0</v>
      </c>
      <c r="G206" s="188">
        <f t="shared" si="131"/>
        <v>0</v>
      </c>
      <c r="H206" s="188">
        <f t="shared" si="131"/>
        <v>0</v>
      </c>
      <c r="I206" s="188">
        <f t="shared" si="131"/>
        <v>0</v>
      </c>
      <c r="J206" s="188">
        <f t="shared" si="131"/>
        <v>0</v>
      </c>
      <c r="K206" s="188">
        <f t="shared" si="131"/>
        <v>0</v>
      </c>
      <c r="L206" s="188">
        <f t="shared" si="131"/>
        <v>0</v>
      </c>
      <c r="M206" s="188">
        <f t="shared" si="131"/>
        <v>0</v>
      </c>
      <c r="N206" s="188">
        <f t="shared" si="131"/>
        <v>0</v>
      </c>
      <c r="O206" s="188">
        <f t="shared" si="131"/>
        <v>0</v>
      </c>
      <c r="P206" s="188">
        <f t="shared" si="131"/>
        <v>0</v>
      </c>
      <c r="Q206" s="188">
        <f t="shared" si="131"/>
        <v>0</v>
      </c>
      <c r="R206" s="188">
        <f t="shared" si="131"/>
        <v>0</v>
      </c>
      <c r="S206" s="188">
        <f t="shared" ref="S206:AX206" si="142">IF(S$200&gt;=$C206,$E143*HLOOKUP(S$200-$C206+1,$E$47:$CB$49,3)*S$106*$C$30,0)</f>
        <v>0</v>
      </c>
      <c r="T206" s="188">
        <f t="shared" si="142"/>
        <v>0</v>
      </c>
      <c r="U206" s="188">
        <f t="shared" si="142"/>
        <v>0</v>
      </c>
      <c r="V206" s="188">
        <f t="shared" si="142"/>
        <v>0</v>
      </c>
      <c r="W206" s="188">
        <f t="shared" si="142"/>
        <v>0</v>
      </c>
      <c r="X206" s="188">
        <f t="shared" si="142"/>
        <v>218606.44795630354</v>
      </c>
      <c r="Y206" s="188">
        <f t="shared" si="142"/>
        <v>267464.43929319474</v>
      </c>
      <c r="Z206" s="188">
        <f t="shared" si="142"/>
        <v>310412.64592843805</v>
      </c>
      <c r="AA206" s="188">
        <f t="shared" si="142"/>
        <v>348513.12877835403</v>
      </c>
      <c r="AB206" s="188">
        <f t="shared" si="142"/>
        <v>382650.32018863253</v>
      </c>
      <c r="AC206" s="188">
        <f t="shared" si="142"/>
        <v>413561.07176493591</v>
      </c>
      <c r="AD206" s="188">
        <f t="shared" si="142"/>
        <v>441859.62864585523</v>
      </c>
      <c r="AE206" s="188">
        <f t="shared" si="142"/>
        <v>468058.38714055315</v>
      </c>
      <c r="AF206" s="188">
        <f t="shared" si="142"/>
        <v>492585.14792647754</v>
      </c>
      <c r="AG206" s="188">
        <f t="shared" si="142"/>
        <v>515797.4567189315</v>
      </c>
      <c r="AH206" s="188">
        <f t="shared" si="142"/>
        <v>537994.52435573633</v>
      </c>
      <c r="AI206" s="188">
        <f t="shared" si="142"/>
        <v>559427.13515565451</v>
      </c>
      <c r="AJ206" s="188">
        <f t="shared" si="142"/>
        <v>580305.8833570875</v>
      </c>
      <c r="AK206" s="188">
        <f t="shared" si="142"/>
        <v>600808.02005382418</v>
      </c>
      <c r="AL206" s="188">
        <f t="shared" si="142"/>
        <v>621083.14534764166</v>
      </c>
      <c r="AM206" s="188">
        <f t="shared" si="142"/>
        <v>641257.94079625828</v>
      </c>
      <c r="AN206" s="188">
        <f t="shared" si="142"/>
        <v>661440.10428901936</v>
      </c>
      <c r="AO206" s="188">
        <f t="shared" si="142"/>
        <v>681721.62210095383</v>
      </c>
      <c r="AP206" s="188">
        <f t="shared" si="142"/>
        <v>702181.49011871137</v>
      </c>
      <c r="AQ206" s="188">
        <f t="shared" si="142"/>
        <v>722887.97731831158</v>
      </c>
      <c r="AR206" s="188">
        <f t="shared" si="142"/>
        <v>743900.50885545532</v>
      </c>
      <c r="AS206" s="188">
        <f t="shared" si="142"/>
        <v>765271.23306486034</v>
      </c>
      <c r="AT206" s="188">
        <f t="shared" si="142"/>
        <v>787046.32580729283</v>
      </c>
      <c r="AU206" s="188">
        <f t="shared" si="142"/>
        <v>809267.07657902397</v>
      </c>
      <c r="AV206" s="188">
        <f t="shared" si="142"/>
        <v>831970.7932986042</v>
      </c>
      <c r="AW206" s="188">
        <f t="shared" si="142"/>
        <v>855191.55645272776</v>
      </c>
      <c r="AX206" s="188">
        <f t="shared" si="142"/>
        <v>878960.8481026123</v>
      </c>
      <c r="AY206" s="188">
        <f t="shared" ref="AY206:CB206" si="143">IF(AY$200&gt;=$C206,$E143*HLOOKUP(AY$200-$C206+1,$E$47:$CB$49,3)*AY$106*$C$30,0)</f>
        <v>903308.07694692293</v>
      </c>
      <c r="AZ206" s="188">
        <f t="shared" si="143"/>
        <v>928261.01705909008</v>
      </c>
      <c r="BA206" s="188">
        <f t="shared" si="143"/>
        <v>953846.17494304106</v>
      </c>
      <c r="BB206" s="188">
        <f t="shared" si="143"/>
        <v>980089.09707986051</v>
      </c>
      <c r="BC206" s="188">
        <f t="shared" si="143"/>
        <v>1007014.6280838441</v>
      </c>
      <c r="BD206" s="188">
        <f t="shared" si="143"/>
        <v>1034647.1278793252</v>
      </c>
      <c r="BE206" s="188">
        <f t="shared" si="143"/>
        <v>1063010.6548909405</v>
      </c>
      <c r="BF206" s="188">
        <f t="shared" si="143"/>
        <v>1092129.1210609444</v>
      </c>
      <c r="BG206" s="188">
        <f t="shared" si="143"/>
        <v>1122026.4235273039</v>
      </c>
      <c r="BH206" s="188">
        <f t="shared" si="143"/>
        <v>1152726.5569820004</v>
      </c>
      <c r="BI206" s="188">
        <f t="shared" si="143"/>
        <v>1184253.7100522218</v>
      </c>
      <c r="BJ206" s="188">
        <f t="shared" si="143"/>
        <v>1216632.3484847483</v>
      </c>
      <c r="BK206" s="188">
        <f t="shared" si="143"/>
        <v>1249887.2874465107</v>
      </c>
      <c r="BL206" s="188">
        <f t="shared" si="143"/>
        <v>1284043.7548659341</v>
      </c>
      <c r="BM206" s="188">
        <f t="shared" si="143"/>
        <v>0</v>
      </c>
      <c r="BN206" s="188">
        <f t="shared" si="143"/>
        <v>0</v>
      </c>
      <c r="BO206" s="188">
        <f t="shared" si="143"/>
        <v>0</v>
      </c>
      <c r="BP206" s="188">
        <f t="shared" si="143"/>
        <v>0</v>
      </c>
      <c r="BQ206" s="188">
        <f t="shared" si="143"/>
        <v>0</v>
      </c>
      <c r="BR206" s="188">
        <f t="shared" si="143"/>
        <v>0</v>
      </c>
      <c r="BS206" s="188">
        <f t="shared" si="143"/>
        <v>0</v>
      </c>
      <c r="BT206" s="188">
        <f t="shared" si="143"/>
        <v>0</v>
      </c>
      <c r="BU206" s="188">
        <f t="shared" si="143"/>
        <v>0</v>
      </c>
      <c r="BV206" s="188">
        <f t="shared" si="143"/>
        <v>0</v>
      </c>
      <c r="BW206" s="188">
        <f t="shared" si="143"/>
        <v>0</v>
      </c>
      <c r="BX206" s="188">
        <f t="shared" si="143"/>
        <v>0</v>
      </c>
      <c r="BY206" s="188">
        <f t="shared" si="143"/>
        <v>0</v>
      </c>
      <c r="BZ206" s="188">
        <f t="shared" si="143"/>
        <v>0</v>
      </c>
      <c r="CA206" s="188">
        <f t="shared" si="143"/>
        <v>0</v>
      </c>
      <c r="CB206" s="188">
        <f t="shared" si="143"/>
        <v>0</v>
      </c>
    </row>
    <row r="207" spans="2:80">
      <c r="B207" s="1">
        <v>2019</v>
      </c>
      <c r="C207" s="9">
        <f t="shared" si="130"/>
        <v>2032</v>
      </c>
      <c r="E207" s="188">
        <f t="shared" si="131"/>
        <v>0</v>
      </c>
      <c r="F207" s="188">
        <f t="shared" si="131"/>
        <v>0</v>
      </c>
      <c r="G207" s="188">
        <f t="shared" si="131"/>
        <v>0</v>
      </c>
      <c r="H207" s="188">
        <f t="shared" si="131"/>
        <v>0</v>
      </c>
      <c r="I207" s="188">
        <f t="shared" si="131"/>
        <v>0</v>
      </c>
      <c r="J207" s="188">
        <f t="shared" si="131"/>
        <v>0</v>
      </c>
      <c r="K207" s="188">
        <f t="shared" si="131"/>
        <v>0</v>
      </c>
      <c r="L207" s="188">
        <f t="shared" si="131"/>
        <v>0</v>
      </c>
      <c r="M207" s="188">
        <f t="shared" si="131"/>
        <v>0</v>
      </c>
      <c r="N207" s="188">
        <f t="shared" si="131"/>
        <v>0</v>
      </c>
      <c r="O207" s="188">
        <f t="shared" si="131"/>
        <v>0</v>
      </c>
      <c r="P207" s="188">
        <f t="shared" si="131"/>
        <v>0</v>
      </c>
      <c r="Q207" s="188">
        <f t="shared" si="131"/>
        <v>0</v>
      </c>
      <c r="R207" s="188">
        <f t="shared" si="131"/>
        <v>0</v>
      </c>
      <c r="S207" s="188">
        <f t="shared" ref="S207:AX207" si="144">IF(S$200&gt;=$C207,$L$132*HLOOKUP(S$200-$C207+1,$E$47:$CB$49,3)*S$106*$C$30,0)</f>
        <v>0</v>
      </c>
      <c r="T207" s="188">
        <f t="shared" si="144"/>
        <v>0</v>
      </c>
      <c r="U207" s="188">
        <f t="shared" si="144"/>
        <v>0</v>
      </c>
      <c r="V207" s="188">
        <f t="shared" si="144"/>
        <v>0</v>
      </c>
      <c r="W207" s="188">
        <f t="shared" si="144"/>
        <v>0</v>
      </c>
      <c r="X207" s="188">
        <f t="shared" si="144"/>
        <v>0</v>
      </c>
      <c r="Y207" s="188">
        <f t="shared" si="144"/>
        <v>229925.61318454394</v>
      </c>
      <c r="Z207" s="188">
        <f t="shared" si="144"/>
        <v>281313.40948296472</v>
      </c>
      <c r="AA207" s="188">
        <f t="shared" si="144"/>
        <v>326485.41990673175</v>
      </c>
      <c r="AB207" s="188">
        <f t="shared" si="144"/>
        <v>366558.6975423721</v>
      </c>
      <c r="AC207" s="188">
        <f t="shared" si="144"/>
        <v>402463.4695231847</v>
      </c>
      <c r="AD207" s="188">
        <f t="shared" si="144"/>
        <v>434974.74069848546</v>
      </c>
      <c r="AE207" s="188">
        <f t="shared" si="144"/>
        <v>464738.56104281329</v>
      </c>
      <c r="AF207" s="188">
        <f t="shared" si="144"/>
        <v>492293.85809778061</v>
      </c>
      <c r="AG207" s="188">
        <f t="shared" si="144"/>
        <v>518090.58351853088</v>
      </c>
      <c r="AH207" s="188">
        <f t="shared" si="144"/>
        <v>542504.79628503066</v>
      </c>
      <c r="AI207" s="188">
        <f t="shared" si="144"/>
        <v>565851.19999363169</v>
      </c>
      <c r="AJ207" s="188">
        <f t="shared" si="144"/>
        <v>588393.56425775401</v>
      </c>
      <c r="AK207" s="188">
        <f t="shared" si="144"/>
        <v>610353.38761895557</v>
      </c>
      <c r="AL207" s="188">
        <f t="shared" si="144"/>
        <v>631917.09900835063</v>
      </c>
      <c r="AM207" s="188">
        <f t="shared" si="144"/>
        <v>653242.04463166662</v>
      </c>
      <c r="AN207" s="188">
        <f t="shared" si="144"/>
        <v>674461.46545736492</v>
      </c>
      <c r="AO207" s="188">
        <f t="shared" si="144"/>
        <v>695688.6358352094</v>
      </c>
      <c r="AP207" s="188">
        <f t="shared" si="144"/>
        <v>717020.30497314071</v>
      </c>
      <c r="AQ207" s="188">
        <f t="shared" si="144"/>
        <v>738539.55906485009</v>
      </c>
      <c r="AR207" s="188">
        <f t="shared" si="144"/>
        <v>760318.20196754066</v>
      </c>
      <c r="AS207" s="188">
        <f t="shared" si="144"/>
        <v>782418.73579627345</v>
      </c>
      <c r="AT207" s="188">
        <f t="shared" si="144"/>
        <v>804896.00906054338</v>
      </c>
      <c r="AU207" s="188">
        <f t="shared" si="144"/>
        <v>827798.58854875166</v>
      </c>
      <c r="AV207" s="188">
        <f t="shared" si="144"/>
        <v>851169.90167503443</v>
      </c>
      <c r="AW207" s="188">
        <f t="shared" si="144"/>
        <v>875049.18811475125</v>
      </c>
      <c r="AX207" s="188">
        <f t="shared" si="144"/>
        <v>899472.29299906909</v>
      </c>
      <c r="AY207" s="188">
        <f t="shared" ref="AY207:CB207" si="145">IF(AY$200&gt;=$C207,$L$132*HLOOKUP(AY$200-$C207+1,$E$47:$CB$49,3)*AY$106*$C$30,0)</f>
        <v>924472.32849049405</v>
      </c>
      <c r="AZ207" s="188">
        <f t="shared" si="145"/>
        <v>950080.22603289201</v>
      </c>
      <c r="BA207" s="188">
        <f t="shared" si="145"/>
        <v>976325.19780606695</v>
      </c>
      <c r="BB207" s="188">
        <f t="shared" si="145"/>
        <v>1003235.1227871755</v>
      </c>
      <c r="BC207" s="188">
        <f t="shared" si="145"/>
        <v>1030836.8702217643</v>
      </c>
      <c r="BD207" s="188">
        <f t="shared" si="145"/>
        <v>1059156.5711468162</v>
      </c>
      <c r="BE207" s="188">
        <f t="shared" si="145"/>
        <v>1088219.8468127183</v>
      </c>
      <c r="BF207" s="188">
        <f t="shared" si="145"/>
        <v>1118052.00135889</v>
      </c>
      <c r="BG207" s="188">
        <f t="shared" si="145"/>
        <v>1148678.184857694</v>
      </c>
      <c r="BH207" s="188">
        <f t="shared" si="145"/>
        <v>1180123.5318106601</v>
      </c>
      <c r="BI207" s="188">
        <f t="shared" si="145"/>
        <v>1212413.2793245551</v>
      </c>
      <c r="BJ207" s="188">
        <f t="shared" si="145"/>
        <v>1245572.8684830712</v>
      </c>
      <c r="BK207" s="188">
        <f t="shared" si="145"/>
        <v>1279628.0318383966</v>
      </c>
      <c r="BL207" s="188">
        <f t="shared" si="145"/>
        <v>1314604.8694554013</v>
      </c>
      <c r="BM207" s="188">
        <f t="shared" si="145"/>
        <v>1350529.9155327182</v>
      </c>
      <c r="BN207" s="188">
        <f t="shared" si="145"/>
        <v>0</v>
      </c>
      <c r="BO207" s="188">
        <f t="shared" si="145"/>
        <v>0</v>
      </c>
      <c r="BP207" s="188">
        <f t="shared" si="145"/>
        <v>0</v>
      </c>
      <c r="BQ207" s="188">
        <f t="shared" si="145"/>
        <v>0</v>
      </c>
      <c r="BR207" s="188">
        <f t="shared" si="145"/>
        <v>0</v>
      </c>
      <c r="BS207" s="188">
        <f t="shared" si="145"/>
        <v>0</v>
      </c>
      <c r="BT207" s="188">
        <f t="shared" si="145"/>
        <v>0</v>
      </c>
      <c r="BU207" s="188">
        <f t="shared" si="145"/>
        <v>0</v>
      </c>
      <c r="BV207" s="188">
        <f t="shared" si="145"/>
        <v>0</v>
      </c>
      <c r="BW207" s="188">
        <f t="shared" si="145"/>
        <v>0</v>
      </c>
      <c r="BX207" s="188">
        <f t="shared" si="145"/>
        <v>0</v>
      </c>
      <c r="BY207" s="188">
        <f t="shared" si="145"/>
        <v>0</v>
      </c>
      <c r="BZ207" s="188">
        <f t="shared" si="145"/>
        <v>0</v>
      </c>
      <c r="CA207" s="188">
        <f t="shared" si="145"/>
        <v>0</v>
      </c>
      <c r="CB207" s="188">
        <f t="shared" si="145"/>
        <v>0</v>
      </c>
    </row>
    <row r="208" spans="2:80">
      <c r="B208" s="1">
        <v>2020</v>
      </c>
      <c r="C208" s="9">
        <f t="shared" si="130"/>
        <v>2033</v>
      </c>
      <c r="E208" s="188">
        <f t="shared" si="131"/>
        <v>0</v>
      </c>
      <c r="F208" s="188">
        <f t="shared" si="131"/>
        <v>0</v>
      </c>
      <c r="G208" s="188">
        <f t="shared" si="131"/>
        <v>0</v>
      </c>
      <c r="H208" s="188">
        <f t="shared" si="131"/>
        <v>0</v>
      </c>
      <c r="I208" s="188">
        <f t="shared" si="131"/>
        <v>0</v>
      </c>
      <c r="J208" s="188">
        <f t="shared" si="131"/>
        <v>0</v>
      </c>
      <c r="K208" s="188">
        <f t="shared" si="131"/>
        <v>0</v>
      </c>
      <c r="L208" s="188">
        <f t="shared" si="131"/>
        <v>0</v>
      </c>
      <c r="M208" s="188">
        <f t="shared" si="131"/>
        <v>0</v>
      </c>
      <c r="N208" s="188">
        <f t="shared" si="131"/>
        <v>0</v>
      </c>
      <c r="O208" s="188">
        <f t="shared" si="131"/>
        <v>0</v>
      </c>
      <c r="P208" s="188">
        <f t="shared" si="131"/>
        <v>0</v>
      </c>
      <c r="Q208" s="188">
        <f t="shared" si="131"/>
        <v>0</v>
      </c>
      <c r="R208" s="188">
        <f t="shared" si="131"/>
        <v>0</v>
      </c>
      <c r="S208" s="188">
        <f t="shared" ref="S208:AX208" si="146">IF(S$200&gt;=$C208,$M$132*HLOOKUP(S$200-$C208+1,$E$47:$CB$49,3)*S$106*$C$30,0)</f>
        <v>0</v>
      </c>
      <c r="T208" s="188">
        <f t="shared" si="146"/>
        <v>0</v>
      </c>
      <c r="U208" s="188">
        <f t="shared" si="146"/>
        <v>0</v>
      </c>
      <c r="V208" s="188">
        <f t="shared" si="146"/>
        <v>0</v>
      </c>
      <c r="W208" s="188">
        <f t="shared" si="146"/>
        <v>0</v>
      </c>
      <c r="X208" s="188">
        <f t="shared" si="146"/>
        <v>0</v>
      </c>
      <c r="Y208" s="188">
        <f t="shared" si="146"/>
        <v>0</v>
      </c>
      <c r="Z208" s="188">
        <f t="shared" si="146"/>
        <v>241830.87046387434</v>
      </c>
      <c r="AA208" s="188">
        <f t="shared" si="146"/>
        <v>295879.46182325896</v>
      </c>
      <c r="AB208" s="188">
        <f t="shared" si="146"/>
        <v>343390.42178149085</v>
      </c>
      <c r="AC208" s="188">
        <f t="shared" si="146"/>
        <v>385538.64302028442</v>
      </c>
      <c r="AD208" s="188">
        <f t="shared" si="146"/>
        <v>423302.51865669596</v>
      </c>
      <c r="AE208" s="188">
        <f t="shared" si="146"/>
        <v>457497.18231036921</v>
      </c>
      <c r="AF208" s="188">
        <f t="shared" si="146"/>
        <v>488802.13560594677</v>
      </c>
      <c r="AG208" s="188">
        <f t="shared" si="146"/>
        <v>517784.21107113169</v>
      </c>
      <c r="AH208" s="188">
        <f t="shared" si="146"/>
        <v>544916.65828835615</v>
      </c>
      <c r="AI208" s="188">
        <f t="shared" si="146"/>
        <v>570595.00809566572</v>
      </c>
      <c r="AJ208" s="188">
        <f t="shared" si="146"/>
        <v>595150.25904337317</v>
      </c>
      <c r="AK208" s="188">
        <f t="shared" si="146"/>
        <v>618859.83840168058</v>
      </c>
      <c r="AL208" s="188">
        <f t="shared" si="146"/>
        <v>641956.71362632082</v>
      </c>
      <c r="AM208" s="188">
        <f t="shared" si="146"/>
        <v>664636.96670253493</v>
      </c>
      <c r="AN208" s="188">
        <f t="shared" si="146"/>
        <v>687066.09102346108</v>
      </c>
      <c r="AO208" s="188">
        <f t="shared" si="146"/>
        <v>709384.22660629067</v>
      </c>
      <c r="AP208" s="188">
        <f t="shared" si="146"/>
        <v>731710.51300326921</v>
      </c>
      <c r="AQ208" s="188">
        <f t="shared" si="146"/>
        <v>754146.70897388889</v>
      </c>
      <c r="AR208" s="188">
        <f t="shared" si="146"/>
        <v>776780.202809804</v>
      </c>
      <c r="AS208" s="188">
        <f t="shared" si="146"/>
        <v>799686.51628107589</v>
      </c>
      <c r="AT208" s="188">
        <f t="shared" si="146"/>
        <v>822931.38778318651</v>
      </c>
      <c r="AU208" s="188">
        <f t="shared" si="146"/>
        <v>846572.50581204193</v>
      </c>
      <c r="AV208" s="188">
        <f t="shared" si="146"/>
        <v>870660.9518828853</v>
      </c>
      <c r="AW208" s="188">
        <f t="shared" si="146"/>
        <v>895242.40202639916</v>
      </c>
      <c r="AX208" s="188">
        <f t="shared" si="146"/>
        <v>920358.1276986755</v>
      </c>
      <c r="AY208" s="188">
        <f t="shared" ref="AY208:CB208" si="147">IF(AY$200&gt;=$C208,$M$132*HLOOKUP(AY$200-$C208+1,$E$47:$CB$49,3)*AY$106*$C$30,0)</f>
        <v>946045.83004641079</v>
      </c>
      <c r="AZ208" s="188">
        <f t="shared" si="147"/>
        <v>972340.3357379823</v>
      </c>
      <c r="BA208" s="188">
        <f t="shared" si="147"/>
        <v>999274.17780827545</v>
      </c>
      <c r="BB208" s="188">
        <f t="shared" si="147"/>
        <v>1026878.0810067962</v>
      </c>
      <c r="BC208" s="188">
        <f t="shared" si="147"/>
        <v>1055181.3678488578</v>
      </c>
      <c r="BD208" s="188">
        <f t="shared" si="147"/>
        <v>1084212.2988355381</v>
      </c>
      <c r="BE208" s="188">
        <f t="shared" si="147"/>
        <v>1113998.3580358457</v>
      </c>
      <c r="BF208" s="188">
        <f t="shared" si="147"/>
        <v>1144566.4933360894</v>
      </c>
      <c r="BG208" s="188">
        <f t="shared" si="147"/>
        <v>1175943.319092005</v>
      </c>
      <c r="BH208" s="188">
        <f t="shared" si="147"/>
        <v>1208155.2876148755</v>
      </c>
      <c r="BI208" s="188">
        <f t="shared" si="147"/>
        <v>1241228.8348389107</v>
      </c>
      <c r="BJ208" s="188">
        <f t="shared" si="147"/>
        <v>1275190.504616329</v>
      </c>
      <c r="BK208" s="188">
        <f t="shared" si="147"/>
        <v>1310067.0553379408</v>
      </c>
      <c r="BL208" s="188">
        <f t="shared" si="147"/>
        <v>1345885.5519549213</v>
      </c>
      <c r="BM208" s="188">
        <f t="shared" si="147"/>
        <v>1382673.4459604702</v>
      </c>
      <c r="BN208" s="188">
        <f t="shared" si="147"/>
        <v>1420458.6454604464</v>
      </c>
      <c r="BO208" s="188">
        <f t="shared" si="147"/>
        <v>0</v>
      </c>
      <c r="BP208" s="188">
        <f t="shared" si="147"/>
        <v>0</v>
      </c>
      <c r="BQ208" s="188">
        <f t="shared" si="147"/>
        <v>0</v>
      </c>
      <c r="BR208" s="188">
        <f t="shared" si="147"/>
        <v>0</v>
      </c>
      <c r="BS208" s="188">
        <f t="shared" si="147"/>
        <v>0</v>
      </c>
      <c r="BT208" s="188">
        <f t="shared" si="147"/>
        <v>0</v>
      </c>
      <c r="BU208" s="188">
        <f t="shared" si="147"/>
        <v>0</v>
      </c>
      <c r="BV208" s="188">
        <f t="shared" si="147"/>
        <v>0</v>
      </c>
      <c r="BW208" s="188">
        <f t="shared" si="147"/>
        <v>0</v>
      </c>
      <c r="BX208" s="188">
        <f t="shared" si="147"/>
        <v>0</v>
      </c>
      <c r="BY208" s="188">
        <f t="shared" si="147"/>
        <v>0</v>
      </c>
      <c r="BZ208" s="188">
        <f t="shared" si="147"/>
        <v>0</v>
      </c>
      <c r="CA208" s="188">
        <f t="shared" si="147"/>
        <v>0</v>
      </c>
      <c r="CB208" s="188">
        <f t="shared" si="147"/>
        <v>0</v>
      </c>
    </row>
    <row r="209" spans="2:80">
      <c r="B209" s="1">
        <v>2021</v>
      </c>
      <c r="C209" s="9">
        <f t="shared" si="130"/>
        <v>2034</v>
      </c>
      <c r="E209" s="188">
        <f t="shared" si="131"/>
        <v>0</v>
      </c>
      <c r="F209" s="188">
        <f t="shared" si="131"/>
        <v>0</v>
      </c>
      <c r="G209" s="188">
        <f t="shared" si="131"/>
        <v>0</v>
      </c>
      <c r="H209" s="188">
        <f t="shared" si="131"/>
        <v>0</v>
      </c>
      <c r="I209" s="188">
        <f t="shared" si="131"/>
        <v>0</v>
      </c>
      <c r="J209" s="188">
        <f t="shared" si="131"/>
        <v>0</v>
      </c>
      <c r="K209" s="188">
        <f t="shared" si="131"/>
        <v>0</v>
      </c>
      <c r="L209" s="188">
        <f t="shared" si="131"/>
        <v>0</v>
      </c>
      <c r="M209" s="188">
        <f t="shared" si="131"/>
        <v>0</v>
      </c>
      <c r="N209" s="188">
        <f t="shared" si="131"/>
        <v>0</v>
      </c>
      <c r="O209" s="188">
        <f t="shared" si="131"/>
        <v>0</v>
      </c>
      <c r="P209" s="188">
        <f t="shared" si="131"/>
        <v>0</v>
      </c>
      <c r="Q209" s="188">
        <f t="shared" si="131"/>
        <v>0</v>
      </c>
      <c r="R209" s="188">
        <f t="shared" si="131"/>
        <v>0</v>
      </c>
      <c r="S209" s="188">
        <f t="shared" ref="S209:AX209" si="148">IF(S$200&gt;=$C209,$N$132*HLOOKUP(S$200-$C209+1,$E$47:$CB$49,3)*S$106*$C$30,0)</f>
        <v>0</v>
      </c>
      <c r="T209" s="188">
        <f t="shared" si="148"/>
        <v>0</v>
      </c>
      <c r="U209" s="188">
        <f t="shared" si="148"/>
        <v>0</v>
      </c>
      <c r="V209" s="188">
        <f t="shared" si="148"/>
        <v>0</v>
      </c>
      <c r="W209" s="188">
        <f t="shared" si="148"/>
        <v>0</v>
      </c>
      <c r="X209" s="188">
        <f t="shared" si="148"/>
        <v>0</v>
      </c>
      <c r="Y209" s="188">
        <f t="shared" si="148"/>
        <v>0</v>
      </c>
      <c r="Z209" s="188">
        <f t="shared" si="148"/>
        <v>0</v>
      </c>
      <c r="AA209" s="188">
        <f t="shared" si="148"/>
        <v>254352.56689899927</v>
      </c>
      <c r="AB209" s="188">
        <f t="shared" si="148"/>
        <v>311199.72592036246</v>
      </c>
      <c r="AC209" s="188">
        <f t="shared" si="148"/>
        <v>361170.74326000811</v>
      </c>
      <c r="AD209" s="188">
        <f t="shared" si="148"/>
        <v>405501.34605588036</v>
      </c>
      <c r="AE209" s="188">
        <f t="shared" si="148"/>
        <v>445220.58738247829</v>
      </c>
      <c r="AF209" s="188">
        <f t="shared" si="148"/>
        <v>481185.80744671723</v>
      </c>
      <c r="AG209" s="188">
        <f t="shared" si="148"/>
        <v>514111.6916074531</v>
      </c>
      <c r="AH209" s="188">
        <f t="shared" si="148"/>
        <v>544594.42226334556</v>
      </c>
      <c r="AI209" s="188">
        <f t="shared" si="148"/>
        <v>573131.75326130667</v>
      </c>
      <c r="AJ209" s="188">
        <f t="shared" si="148"/>
        <v>600139.69552563096</v>
      </c>
      <c r="AK209" s="188">
        <f t="shared" si="148"/>
        <v>625966.38629268692</v>
      </c>
      <c r="AL209" s="188">
        <f t="shared" si="148"/>
        <v>650903.61766564311</v>
      </c>
      <c r="AM209" s="188">
        <f t="shared" si="148"/>
        <v>675196.41986026929</v>
      </c>
      <c r="AN209" s="188">
        <f t="shared" si="148"/>
        <v>699051.02773886023</v>
      </c>
      <c r="AO209" s="188">
        <f t="shared" si="148"/>
        <v>722641.50373301795</v>
      </c>
      <c r="AP209" s="188">
        <f t="shared" si="148"/>
        <v>746115.24413267709</v>
      </c>
      <c r="AQ209" s="188">
        <f t="shared" si="148"/>
        <v>769597.55738532718</v>
      </c>
      <c r="AR209" s="188">
        <f t="shared" si="148"/>
        <v>793195.47119025048</v>
      </c>
      <c r="AS209" s="188">
        <f t="shared" si="148"/>
        <v>817000.89869425353</v>
      </c>
      <c r="AT209" s="188">
        <f t="shared" si="148"/>
        <v>841093.27208907809</v>
      </c>
      <c r="AU209" s="188">
        <f t="shared" si="148"/>
        <v>865541.73362113233</v>
      </c>
      <c r="AV209" s="188">
        <f t="shared" si="148"/>
        <v>890406.95882363536</v>
      </c>
      <c r="AW209" s="188">
        <f t="shared" si="148"/>
        <v>915742.67414804583</v>
      </c>
      <c r="AX209" s="188">
        <f t="shared" si="148"/>
        <v>941596.92067211226</v>
      </c>
      <c r="AY209" s="188">
        <f t="shared" ref="AY209:CB209" si="149">IF(AY$200&gt;=$C209,$N$132*HLOOKUP(AY$200-$C209+1,$E$47:$CB$49,3)*AY$106*$C$30,0)</f>
        <v>968013.10683569335</v>
      </c>
      <c r="AZ209" s="188">
        <f t="shared" si="149"/>
        <v>995030.88590315089</v>
      </c>
      <c r="BA209" s="188">
        <f t="shared" si="149"/>
        <v>1022686.8878236777</v>
      </c>
      <c r="BB209" s="188">
        <f t="shared" si="149"/>
        <v>1051015.3301515344</v>
      </c>
      <c r="BC209" s="188">
        <f t="shared" si="149"/>
        <v>1080048.5285248749</v>
      </c>
      <c r="BD209" s="188">
        <f t="shared" si="149"/>
        <v>1109817.3237417475</v>
      </c>
      <c r="BE209" s="188">
        <f t="shared" si="149"/>
        <v>1140351.4395962115</v>
      </c>
      <c r="BF209" s="188">
        <f t="shared" si="149"/>
        <v>1171679.783247588</v>
      </c>
      <c r="BG209" s="188">
        <f t="shared" si="149"/>
        <v>1203830.6979096364</v>
      </c>
      <c r="BH209" s="188">
        <f t="shared" si="149"/>
        <v>1236832.175995752</v>
      </c>
      <c r="BI209" s="188">
        <f t="shared" si="149"/>
        <v>1270712.0394844196</v>
      </c>
      <c r="BJ209" s="188">
        <f t="shared" si="149"/>
        <v>1305498.0931290695</v>
      </c>
      <c r="BK209" s="188">
        <f t="shared" si="149"/>
        <v>1341218.2551889955</v>
      </c>
      <c r="BL209" s="188">
        <f t="shared" si="149"/>
        <v>1377900.6695706213</v>
      </c>
      <c r="BM209" s="188">
        <f t="shared" si="149"/>
        <v>1415573.8026140432</v>
      </c>
      <c r="BN209" s="188">
        <f t="shared" si="149"/>
        <v>1454266.5272160391</v>
      </c>
      <c r="BO209" s="188">
        <f t="shared" si="149"/>
        <v>1494008.1965288718</v>
      </c>
      <c r="BP209" s="188">
        <f t="shared" si="149"/>
        <v>0</v>
      </c>
      <c r="BQ209" s="188">
        <f t="shared" si="149"/>
        <v>0</v>
      </c>
      <c r="BR209" s="188">
        <f t="shared" si="149"/>
        <v>0</v>
      </c>
      <c r="BS209" s="188">
        <f t="shared" si="149"/>
        <v>0</v>
      </c>
      <c r="BT209" s="188">
        <f t="shared" si="149"/>
        <v>0</v>
      </c>
      <c r="BU209" s="188">
        <f t="shared" si="149"/>
        <v>0</v>
      </c>
      <c r="BV209" s="188">
        <f t="shared" si="149"/>
        <v>0</v>
      </c>
      <c r="BW209" s="188">
        <f t="shared" si="149"/>
        <v>0</v>
      </c>
      <c r="BX209" s="188">
        <f t="shared" si="149"/>
        <v>0</v>
      </c>
      <c r="BY209" s="188">
        <f t="shared" si="149"/>
        <v>0</v>
      </c>
      <c r="BZ209" s="188">
        <f t="shared" si="149"/>
        <v>0</v>
      </c>
      <c r="CA209" s="188">
        <f t="shared" si="149"/>
        <v>0</v>
      </c>
      <c r="CB209" s="188">
        <f t="shared" si="149"/>
        <v>0</v>
      </c>
    </row>
    <row r="210" spans="2:80">
      <c r="B210" s="1">
        <v>2022</v>
      </c>
      <c r="C210" s="9">
        <f t="shared" si="130"/>
        <v>2035</v>
      </c>
      <c r="E210" s="188">
        <f t="shared" si="131"/>
        <v>0</v>
      </c>
      <c r="F210" s="188">
        <f t="shared" si="131"/>
        <v>0</v>
      </c>
      <c r="G210" s="188">
        <f t="shared" si="131"/>
        <v>0</v>
      </c>
      <c r="H210" s="188">
        <f t="shared" si="131"/>
        <v>0</v>
      </c>
      <c r="I210" s="188">
        <f t="shared" si="131"/>
        <v>0</v>
      </c>
      <c r="J210" s="188">
        <f t="shared" si="131"/>
        <v>0</v>
      </c>
      <c r="K210" s="188">
        <f t="shared" si="131"/>
        <v>0</v>
      </c>
      <c r="L210" s="188">
        <f t="shared" si="131"/>
        <v>0</v>
      </c>
      <c r="M210" s="188">
        <f t="shared" si="131"/>
        <v>0</v>
      </c>
      <c r="N210" s="188">
        <f t="shared" si="131"/>
        <v>0</v>
      </c>
      <c r="O210" s="188">
        <f t="shared" si="131"/>
        <v>0</v>
      </c>
      <c r="P210" s="188">
        <f t="shared" si="131"/>
        <v>0</v>
      </c>
      <c r="Q210" s="188">
        <f t="shared" si="131"/>
        <v>0</v>
      </c>
      <c r="R210" s="188">
        <f t="shared" si="131"/>
        <v>0</v>
      </c>
      <c r="S210" s="188">
        <f t="shared" ref="S210:AX210" si="150">IF(S$200&gt;=$C210,$O$132*HLOOKUP(S$200-$C210+1,$E$47:$CB$49,3)*S$106*$C$30,0)</f>
        <v>0</v>
      </c>
      <c r="T210" s="188">
        <f t="shared" si="150"/>
        <v>0</v>
      </c>
      <c r="U210" s="188">
        <f t="shared" si="150"/>
        <v>0</v>
      </c>
      <c r="V210" s="188">
        <f t="shared" si="150"/>
        <v>0</v>
      </c>
      <c r="W210" s="188">
        <f t="shared" si="150"/>
        <v>0</v>
      </c>
      <c r="X210" s="188">
        <f t="shared" si="150"/>
        <v>0</v>
      </c>
      <c r="Y210" s="188">
        <f t="shared" si="150"/>
        <v>0</v>
      </c>
      <c r="Z210" s="188">
        <f t="shared" si="150"/>
        <v>0</v>
      </c>
      <c r="AA210" s="188">
        <f t="shared" si="150"/>
        <v>0</v>
      </c>
      <c r="AB210" s="188">
        <f t="shared" si="150"/>
        <v>267522.62092930084</v>
      </c>
      <c r="AC210" s="188">
        <f t="shared" si="150"/>
        <v>327313.25390458643</v>
      </c>
      <c r="AD210" s="188">
        <f t="shared" si="150"/>
        <v>379871.70728364732</v>
      </c>
      <c r="AE210" s="188">
        <f t="shared" si="150"/>
        <v>426497.6925918152</v>
      </c>
      <c r="AF210" s="188">
        <f t="shared" si="150"/>
        <v>468273.54596951784</v>
      </c>
      <c r="AG210" s="188">
        <f t="shared" si="150"/>
        <v>506100.99961461854</v>
      </c>
      <c r="AH210" s="188">
        <f t="shared" si="150"/>
        <v>540731.74438941909</v>
      </c>
      <c r="AI210" s="188">
        <f t="shared" si="150"/>
        <v>572792.83226271148</v>
      </c>
      <c r="AJ210" s="188">
        <f t="shared" si="150"/>
        <v>602807.7901456923</v>
      </c>
      <c r="AK210" s="188">
        <f t="shared" si="150"/>
        <v>631214.16948185326</v>
      </c>
      <c r="AL210" s="188">
        <f t="shared" si="150"/>
        <v>658378.13361309399</v>
      </c>
      <c r="AM210" s="188">
        <f t="shared" si="150"/>
        <v>684606.58326842124</v>
      </c>
      <c r="AN210" s="188">
        <f t="shared" si="150"/>
        <v>710157.23601809086</v>
      </c>
      <c r="AO210" s="188">
        <f t="shared" si="150"/>
        <v>735247.00530457671</v>
      </c>
      <c r="AP210" s="188">
        <f t="shared" si="150"/>
        <v>760058.96629191306</v>
      </c>
      <c r="AQ210" s="188">
        <f t="shared" si="150"/>
        <v>784748.147263397</v>
      </c>
      <c r="AR210" s="188">
        <f t="shared" si="150"/>
        <v>809446.34497935057</v>
      </c>
      <c r="AS210" s="188">
        <f t="shared" si="150"/>
        <v>834266.12889788137</v>
      </c>
      <c r="AT210" s="188">
        <f t="shared" si="150"/>
        <v>859304.17131222121</v>
      </c>
      <c r="AU210" s="188">
        <f t="shared" si="150"/>
        <v>884644.01731247862</v>
      </c>
      <c r="AV210" s="188">
        <f t="shared" si="150"/>
        <v>910358.38924308121</v>
      </c>
      <c r="AW210" s="188">
        <f t="shared" si="150"/>
        <v>936511.10433957307</v>
      </c>
      <c r="AX210" s="188">
        <f t="shared" si="150"/>
        <v>963158.67094107857</v>
      </c>
      <c r="AY210" s="188">
        <f t="shared" ref="AY210:CB210" si="151">IF(AY$200&gt;=$C210,$O$132*HLOOKUP(AY$200-$C210+1,$E$47:$CB$49,3)*AY$106*$C$30,0)</f>
        <v>990351.61763155565</v>
      </c>
      <c r="AZ210" s="188">
        <f t="shared" si="151"/>
        <v>1018135.6004849457</v>
      </c>
      <c r="BA210" s="188">
        <f t="shared" si="151"/>
        <v>1046552.325961458</v>
      </c>
      <c r="BB210" s="188">
        <f t="shared" si="151"/>
        <v>1075640.3206626987</v>
      </c>
      <c r="BC210" s="188">
        <f t="shared" si="151"/>
        <v>1105435.5738845863</v>
      </c>
      <c r="BD210" s="188">
        <f t="shared" si="151"/>
        <v>1135972.0745281228</v>
      </c>
      <c r="BE210" s="188">
        <f t="shared" si="151"/>
        <v>1167282.2602888492</v>
      </c>
      <c r="BF210" s="188">
        <f t="shared" si="151"/>
        <v>1199397.3940212673</v>
      </c>
      <c r="BG210" s="188">
        <f t="shared" si="151"/>
        <v>1232347.8796608248</v>
      </c>
      <c r="BH210" s="188">
        <f t="shared" si="151"/>
        <v>1266163.5279970216</v>
      </c>
      <c r="BI210" s="188">
        <f t="shared" si="151"/>
        <v>1300873.7808549933</v>
      </c>
      <c r="BJ210" s="188">
        <f t="shared" si="151"/>
        <v>1336507.900800063</v>
      </c>
      <c r="BK210" s="188">
        <f t="shared" si="151"/>
        <v>1373095.1322806061</v>
      </c>
      <c r="BL210" s="188">
        <f t="shared" si="151"/>
        <v>1410664.8391280517</v>
      </c>
      <c r="BM210" s="188">
        <f t="shared" si="151"/>
        <v>1449246.6225046827</v>
      </c>
      <c r="BN210" s="188">
        <f t="shared" si="151"/>
        <v>1488870.422701661</v>
      </c>
      <c r="BO210" s="188">
        <f t="shared" si="151"/>
        <v>1529566.6076178208</v>
      </c>
      <c r="BP210" s="188">
        <f t="shared" si="151"/>
        <v>1571366.0502745027</v>
      </c>
      <c r="BQ210" s="188">
        <f t="shared" si="151"/>
        <v>0</v>
      </c>
      <c r="BR210" s="188">
        <f t="shared" si="151"/>
        <v>0</v>
      </c>
      <c r="BS210" s="188">
        <f t="shared" si="151"/>
        <v>0</v>
      </c>
      <c r="BT210" s="188">
        <f t="shared" si="151"/>
        <v>0</v>
      </c>
      <c r="BU210" s="188">
        <f t="shared" si="151"/>
        <v>0</v>
      </c>
      <c r="BV210" s="188">
        <f t="shared" si="151"/>
        <v>0</v>
      </c>
      <c r="BW210" s="188">
        <f t="shared" si="151"/>
        <v>0</v>
      </c>
      <c r="BX210" s="188">
        <f t="shared" si="151"/>
        <v>0</v>
      </c>
      <c r="BY210" s="188">
        <f t="shared" si="151"/>
        <v>0</v>
      </c>
      <c r="BZ210" s="188">
        <f t="shared" si="151"/>
        <v>0</v>
      </c>
      <c r="CA210" s="188">
        <f t="shared" si="151"/>
        <v>0</v>
      </c>
      <c r="CB210" s="188">
        <f t="shared" si="151"/>
        <v>0</v>
      </c>
    </row>
    <row r="211" spans="2:80">
      <c r="B211" s="1">
        <v>2023</v>
      </c>
      <c r="C211" s="9">
        <f t="shared" si="130"/>
        <v>2036</v>
      </c>
      <c r="E211" s="188">
        <f t="shared" ref="E211:R220" si="152">IF(E$200&gt;=$C211,E$132*HLOOKUP(E$200-$C211+1,$E$47:$CB$49,3)*E$106*$C$30,0)</f>
        <v>0</v>
      </c>
      <c r="F211" s="188">
        <f t="shared" si="152"/>
        <v>0</v>
      </c>
      <c r="G211" s="188">
        <f t="shared" si="152"/>
        <v>0</v>
      </c>
      <c r="H211" s="188">
        <f t="shared" si="152"/>
        <v>0</v>
      </c>
      <c r="I211" s="188">
        <f t="shared" si="152"/>
        <v>0</v>
      </c>
      <c r="J211" s="188">
        <f t="shared" si="152"/>
        <v>0</v>
      </c>
      <c r="K211" s="188">
        <f t="shared" si="152"/>
        <v>0</v>
      </c>
      <c r="L211" s="188">
        <f t="shared" si="152"/>
        <v>0</v>
      </c>
      <c r="M211" s="188">
        <f t="shared" si="152"/>
        <v>0</v>
      </c>
      <c r="N211" s="188">
        <f t="shared" si="152"/>
        <v>0</v>
      </c>
      <c r="O211" s="188">
        <f t="shared" si="152"/>
        <v>0</v>
      </c>
      <c r="P211" s="188">
        <f t="shared" si="152"/>
        <v>0</v>
      </c>
      <c r="Q211" s="188">
        <f t="shared" si="152"/>
        <v>0</v>
      </c>
      <c r="R211" s="188">
        <f t="shared" si="152"/>
        <v>0</v>
      </c>
      <c r="S211" s="188">
        <f t="shared" ref="S211:AX211" si="153">IF(S$200&gt;=$C211,$P$132*HLOOKUP(S$200-$C211+1,$E$47:$CB$49,3)*S$106*$C$30,0)</f>
        <v>0</v>
      </c>
      <c r="T211" s="188">
        <f t="shared" si="153"/>
        <v>0</v>
      </c>
      <c r="U211" s="188">
        <f t="shared" si="153"/>
        <v>0</v>
      </c>
      <c r="V211" s="188">
        <f t="shared" si="153"/>
        <v>0</v>
      </c>
      <c r="W211" s="188">
        <f t="shared" si="153"/>
        <v>0</v>
      </c>
      <c r="X211" s="188">
        <f t="shared" si="153"/>
        <v>0</v>
      </c>
      <c r="Y211" s="188">
        <f t="shared" si="153"/>
        <v>0</v>
      </c>
      <c r="Z211" s="188">
        <f t="shared" si="153"/>
        <v>0</v>
      </c>
      <c r="AA211" s="188">
        <f t="shared" si="153"/>
        <v>0</v>
      </c>
      <c r="AB211" s="188">
        <f t="shared" si="153"/>
        <v>0</v>
      </c>
      <c r="AC211" s="188">
        <f t="shared" si="153"/>
        <v>281374.60369055928</v>
      </c>
      <c r="AD211" s="188">
        <f t="shared" si="153"/>
        <v>344261.11997612851</v>
      </c>
      <c r="AE211" s="188">
        <f t="shared" si="153"/>
        <v>399540.98355831974</v>
      </c>
      <c r="AF211" s="188">
        <f t="shared" si="153"/>
        <v>448581.20338045835</v>
      </c>
      <c r="AG211" s="188">
        <f t="shared" si="153"/>
        <v>492520.15757862478</v>
      </c>
      <c r="AH211" s="188">
        <f t="shared" si="153"/>
        <v>532306.2689027437</v>
      </c>
      <c r="AI211" s="188">
        <f t="shared" si="153"/>
        <v>568730.14981670014</v>
      </c>
      <c r="AJ211" s="188">
        <f t="shared" si="153"/>
        <v>602451.32024669508</v>
      </c>
      <c r="AK211" s="188">
        <f t="shared" si="153"/>
        <v>634020.41466486186</v>
      </c>
      <c r="AL211" s="188">
        <f t="shared" si="153"/>
        <v>663897.64037471439</v>
      </c>
      <c r="AM211" s="188">
        <f t="shared" si="153"/>
        <v>692468.12019261485</v>
      </c>
      <c r="AN211" s="188">
        <f t="shared" si="153"/>
        <v>720054.64577893435</v>
      </c>
      <c r="AO211" s="188">
        <f t="shared" si="153"/>
        <v>746928.27899357525</v>
      </c>
      <c r="AP211" s="188">
        <f t="shared" si="153"/>
        <v>773317.16478255729</v>
      </c>
      <c r="AQ211" s="188">
        <f t="shared" si="153"/>
        <v>799413.85771022725</v>
      </c>
      <c r="AR211" s="188">
        <f t="shared" si="153"/>
        <v>825381.41322820226</v>
      </c>
      <c r="AS211" s="188">
        <f t="shared" si="153"/>
        <v>851358.45236626489</v>
      </c>
      <c r="AT211" s="188">
        <f t="shared" si="153"/>
        <v>877463.37328660639</v>
      </c>
      <c r="AU211" s="188">
        <f t="shared" si="153"/>
        <v>903797.85385146341</v>
      </c>
      <c r="AV211" s="188">
        <f t="shared" si="153"/>
        <v>930449.76500998379</v>
      </c>
      <c r="AW211" s="188">
        <f t="shared" si="153"/>
        <v>957495.59457755915</v>
      </c>
      <c r="AX211" s="188">
        <f t="shared" si="153"/>
        <v>985002.46416542935</v>
      </c>
      <c r="AY211" s="188">
        <f t="shared" ref="AY211:CB211" si="154">IF(AY$200&gt;=$C211,$P$132*HLOOKUP(AY$200-$C211+1,$E$47:$CB$49,3)*AY$106*$C$30,0)</f>
        <v>1013029.8080430072</v>
      </c>
      <c r="AZ211" s="188">
        <f t="shared" si="154"/>
        <v>1041630.7711003836</v>
      </c>
      <c r="BA211" s="188">
        <f t="shared" si="154"/>
        <v>1070853.3734252313</v>
      </c>
      <c r="BB211" s="188">
        <f t="shared" si="154"/>
        <v>1100741.4809854892</v>
      </c>
      <c r="BC211" s="188">
        <f t="shared" si="154"/>
        <v>1131335.6152414395</v>
      </c>
      <c r="BD211" s="188">
        <f t="shared" si="154"/>
        <v>1162673.6289691986</v>
      </c>
      <c r="BE211" s="188">
        <f t="shared" si="154"/>
        <v>1194791.2709720486</v>
      </c>
      <c r="BF211" s="188">
        <f t="shared" si="154"/>
        <v>1227722.6585283577</v>
      </c>
      <c r="BG211" s="188">
        <f t="shared" si="154"/>
        <v>1261500.6732436682</v>
      </c>
      <c r="BH211" s="188">
        <f t="shared" si="154"/>
        <v>1296157.2933307306</v>
      </c>
      <c r="BI211" s="188">
        <f t="shared" si="154"/>
        <v>1331723.8731439987</v>
      </c>
      <c r="BJ211" s="188">
        <f t="shared" si="154"/>
        <v>1368231.3789690556</v>
      </c>
      <c r="BK211" s="188">
        <f t="shared" si="154"/>
        <v>1405710.5885498247</v>
      </c>
      <c r="BL211" s="188">
        <f t="shared" si="154"/>
        <v>1444192.2605752083</v>
      </c>
      <c r="BM211" s="188">
        <f t="shared" si="154"/>
        <v>1483707.279298669</v>
      </c>
      <c r="BN211" s="188">
        <f t="shared" si="154"/>
        <v>1524286.778593211</v>
      </c>
      <c r="BO211" s="188">
        <f t="shared" si="154"/>
        <v>1565962.2490203832</v>
      </c>
      <c r="BP211" s="188">
        <f t="shared" si="154"/>
        <v>1608765.6308903908</v>
      </c>
      <c r="BQ211" s="188">
        <f t="shared" si="154"/>
        <v>1652729.3957905499</v>
      </c>
      <c r="BR211" s="188">
        <f t="shared" si="154"/>
        <v>0</v>
      </c>
      <c r="BS211" s="188">
        <f t="shared" si="154"/>
        <v>0</v>
      </c>
      <c r="BT211" s="188">
        <f t="shared" si="154"/>
        <v>0</v>
      </c>
      <c r="BU211" s="188">
        <f t="shared" si="154"/>
        <v>0</v>
      </c>
      <c r="BV211" s="188">
        <f t="shared" si="154"/>
        <v>0</v>
      </c>
      <c r="BW211" s="188">
        <f t="shared" si="154"/>
        <v>0</v>
      </c>
      <c r="BX211" s="188">
        <f t="shared" si="154"/>
        <v>0</v>
      </c>
      <c r="BY211" s="188">
        <f t="shared" si="154"/>
        <v>0</v>
      </c>
      <c r="BZ211" s="188">
        <f t="shared" si="154"/>
        <v>0</v>
      </c>
      <c r="CA211" s="188">
        <f t="shared" si="154"/>
        <v>0</v>
      </c>
      <c r="CB211" s="188">
        <f t="shared" si="154"/>
        <v>0</v>
      </c>
    </row>
    <row r="212" spans="2:80">
      <c r="B212" s="1">
        <v>2024</v>
      </c>
      <c r="C212" s="9">
        <f t="shared" si="130"/>
        <v>2037</v>
      </c>
      <c r="E212" s="188">
        <f t="shared" si="152"/>
        <v>0</v>
      </c>
      <c r="F212" s="188">
        <f t="shared" si="152"/>
        <v>0</v>
      </c>
      <c r="G212" s="188">
        <f t="shared" si="152"/>
        <v>0</v>
      </c>
      <c r="H212" s="188">
        <f t="shared" si="152"/>
        <v>0</v>
      </c>
      <c r="I212" s="188">
        <f t="shared" si="152"/>
        <v>0</v>
      </c>
      <c r="J212" s="188">
        <f t="shared" si="152"/>
        <v>0</v>
      </c>
      <c r="K212" s="188">
        <f t="shared" si="152"/>
        <v>0</v>
      </c>
      <c r="L212" s="188">
        <f t="shared" si="152"/>
        <v>0</v>
      </c>
      <c r="M212" s="188">
        <f t="shared" si="152"/>
        <v>0</v>
      </c>
      <c r="N212" s="188">
        <f t="shared" si="152"/>
        <v>0</v>
      </c>
      <c r="O212" s="188">
        <f t="shared" si="152"/>
        <v>0</v>
      </c>
      <c r="P212" s="188">
        <f t="shared" si="152"/>
        <v>0</v>
      </c>
      <c r="Q212" s="188">
        <f t="shared" si="152"/>
        <v>0</v>
      </c>
      <c r="R212" s="188">
        <f t="shared" si="152"/>
        <v>0</v>
      </c>
      <c r="S212" s="188">
        <f t="shared" ref="S212:AX212" si="155">IF(S$200&gt;=$C212,$Q$132*HLOOKUP(S$200-$C212+1,$E$47:$CB$49,3)*S$106*$C$30,0)</f>
        <v>0</v>
      </c>
      <c r="T212" s="188">
        <f t="shared" si="155"/>
        <v>0</v>
      </c>
      <c r="U212" s="188">
        <f t="shared" si="155"/>
        <v>0</v>
      </c>
      <c r="V212" s="188">
        <f t="shared" si="155"/>
        <v>0</v>
      </c>
      <c r="W212" s="188">
        <f t="shared" si="155"/>
        <v>0</v>
      </c>
      <c r="X212" s="188">
        <f t="shared" si="155"/>
        <v>0</v>
      </c>
      <c r="Y212" s="188">
        <f t="shared" si="155"/>
        <v>0</v>
      </c>
      <c r="Z212" s="188">
        <f t="shared" si="155"/>
        <v>0</v>
      </c>
      <c r="AA212" s="188">
        <f t="shared" si="155"/>
        <v>0</v>
      </c>
      <c r="AB212" s="188">
        <f t="shared" si="155"/>
        <v>0</v>
      </c>
      <c r="AC212" s="188">
        <f t="shared" si="155"/>
        <v>0</v>
      </c>
      <c r="AD212" s="188">
        <f t="shared" si="155"/>
        <v>295943.82458948129</v>
      </c>
      <c r="AE212" s="188">
        <f t="shared" si="155"/>
        <v>362086.52510529372</v>
      </c>
      <c r="AF212" s="188">
        <f t="shared" si="155"/>
        <v>420228.71006698278</v>
      </c>
      <c r="AG212" s="188">
        <f t="shared" si="155"/>
        <v>471808.17041100649</v>
      </c>
      <c r="AH212" s="188">
        <f t="shared" si="155"/>
        <v>518022.22805271158</v>
      </c>
      <c r="AI212" s="188">
        <f t="shared" si="155"/>
        <v>559868.4138717826</v>
      </c>
      <c r="AJ212" s="188">
        <f t="shared" si="155"/>
        <v>598178.27724496298</v>
      </c>
      <c r="AK212" s="188">
        <f t="shared" si="155"/>
        <v>633645.48720560805</v>
      </c>
      <c r="AL212" s="188">
        <f t="shared" si="155"/>
        <v>666849.18938198965</v>
      </c>
      <c r="AM212" s="188">
        <f t="shared" si="155"/>
        <v>698273.42002940411</v>
      </c>
      <c r="AN212" s="188">
        <f t="shared" si="155"/>
        <v>728323.24313627079</v>
      </c>
      <c r="AO212" s="188">
        <f t="shared" si="155"/>
        <v>757338.16410664178</v>
      </c>
      <c r="AP212" s="188">
        <f t="shared" si="155"/>
        <v>785603.2800404951</v>
      </c>
      <c r="AQ212" s="188">
        <f t="shared" si="155"/>
        <v>813358.54894043843</v>
      </c>
      <c r="AR212" s="188">
        <f t="shared" si="155"/>
        <v>840806.49560248107</v>
      </c>
      <c r="AS212" s="188">
        <f t="shared" si="155"/>
        <v>868118.61828317866</v>
      </c>
      <c r="AT212" s="188">
        <f t="shared" si="155"/>
        <v>895440.71563381026</v>
      </c>
      <c r="AU212" s="188">
        <f t="shared" si="155"/>
        <v>922897.31632357277</v>
      </c>
      <c r="AV212" s="188">
        <f t="shared" si="155"/>
        <v>950595.36296573537</v>
      </c>
      <c r="AW212" s="188">
        <f t="shared" si="155"/>
        <v>978627.27635599219</v>
      </c>
      <c r="AX212" s="188">
        <f t="shared" si="155"/>
        <v>1007073.5047520204</v>
      </c>
      <c r="AY212" s="188">
        <f t="shared" ref="AY212:CB212" si="156">IF(AY$200&gt;=$C212,$Q$132*HLOOKUP(AY$200-$C212+1,$E$47:$CB$49,3)*AY$106*$C$30,0)</f>
        <v>1036004.6452371469</v>
      </c>
      <c r="AZ212" s="188">
        <f t="shared" si="156"/>
        <v>1065483.2095120407</v>
      </c>
      <c r="BA212" s="188">
        <f t="shared" si="156"/>
        <v>1095565.0942419472</v>
      </c>
      <c r="BB212" s="188">
        <f t="shared" si="156"/>
        <v>1126300.8059339083</v>
      </c>
      <c r="BC212" s="188">
        <f t="shared" si="156"/>
        <v>1157736.481880171</v>
      </c>
      <c r="BD212" s="188">
        <f t="shared" si="156"/>
        <v>1189914.7416909512</v>
      </c>
      <c r="BE212" s="188">
        <f t="shared" si="156"/>
        <v>1222875.3981112086</v>
      </c>
      <c r="BF212" s="188">
        <f t="shared" si="156"/>
        <v>1256656.0509720203</v>
      </c>
      <c r="BG212" s="188">
        <f t="shared" si="156"/>
        <v>1291292.5841012518</v>
      </c>
      <c r="BH212" s="188">
        <f t="shared" si="156"/>
        <v>1326819.5816723702</v>
      </c>
      <c r="BI212" s="188">
        <f t="shared" si="156"/>
        <v>1363270.677689512</v>
      </c>
      <c r="BJ212" s="188">
        <f t="shared" si="156"/>
        <v>1400678.8499959267</v>
      </c>
      <c r="BK212" s="188">
        <f t="shared" si="156"/>
        <v>1439076.6682722766</v>
      </c>
      <c r="BL212" s="188">
        <f t="shared" si="156"/>
        <v>1478496.5038951163</v>
      </c>
      <c r="BM212" s="188">
        <f t="shared" si="156"/>
        <v>1518970.7081993348</v>
      </c>
      <c r="BN212" s="188">
        <f t="shared" si="156"/>
        <v>1560531.7645859539</v>
      </c>
      <c r="BO212" s="188">
        <f t="shared" si="156"/>
        <v>1603212.4190005218</v>
      </c>
      <c r="BP212" s="188">
        <f t="shared" si="156"/>
        <v>1647045.7925460143</v>
      </c>
      <c r="BQ212" s="188">
        <f t="shared" si="156"/>
        <v>1692065.479361478</v>
      </c>
      <c r="BR212" s="188">
        <f t="shared" si="156"/>
        <v>1738305.6323719267</v>
      </c>
      <c r="BS212" s="188">
        <f t="shared" si="156"/>
        <v>0</v>
      </c>
      <c r="BT212" s="188">
        <f t="shared" si="156"/>
        <v>0</v>
      </c>
      <c r="BU212" s="188">
        <f t="shared" si="156"/>
        <v>0</v>
      </c>
      <c r="BV212" s="188">
        <f t="shared" si="156"/>
        <v>0</v>
      </c>
      <c r="BW212" s="188">
        <f t="shared" si="156"/>
        <v>0</v>
      </c>
      <c r="BX212" s="188">
        <f t="shared" si="156"/>
        <v>0</v>
      </c>
      <c r="BY212" s="188">
        <f t="shared" si="156"/>
        <v>0</v>
      </c>
      <c r="BZ212" s="188">
        <f t="shared" si="156"/>
        <v>0</v>
      </c>
      <c r="CA212" s="188">
        <f t="shared" si="156"/>
        <v>0</v>
      </c>
      <c r="CB212" s="188">
        <f t="shared" si="156"/>
        <v>0</v>
      </c>
    </row>
    <row r="213" spans="2:80">
      <c r="B213" s="1">
        <v>2025</v>
      </c>
      <c r="C213" s="9">
        <f t="shared" si="130"/>
        <v>2038</v>
      </c>
      <c r="E213" s="188">
        <f t="shared" si="152"/>
        <v>0</v>
      </c>
      <c r="F213" s="188">
        <f t="shared" si="152"/>
        <v>0</v>
      </c>
      <c r="G213" s="188">
        <f t="shared" si="152"/>
        <v>0</v>
      </c>
      <c r="H213" s="188">
        <f t="shared" si="152"/>
        <v>0</v>
      </c>
      <c r="I213" s="188">
        <f t="shared" si="152"/>
        <v>0</v>
      </c>
      <c r="J213" s="188">
        <f t="shared" si="152"/>
        <v>0</v>
      </c>
      <c r="K213" s="188">
        <f t="shared" si="152"/>
        <v>0</v>
      </c>
      <c r="L213" s="188">
        <f t="shared" si="152"/>
        <v>0</v>
      </c>
      <c r="M213" s="188">
        <f t="shared" si="152"/>
        <v>0</v>
      </c>
      <c r="N213" s="188">
        <f t="shared" si="152"/>
        <v>0</v>
      </c>
      <c r="O213" s="188">
        <f t="shared" si="152"/>
        <v>0</v>
      </c>
      <c r="P213" s="188">
        <f t="shared" si="152"/>
        <v>0</v>
      </c>
      <c r="Q213" s="188">
        <f t="shared" si="152"/>
        <v>0</v>
      </c>
      <c r="R213" s="188">
        <f t="shared" si="152"/>
        <v>0</v>
      </c>
      <c r="S213" s="188">
        <f t="shared" ref="S213:AX213" si="157">IF(S$200&gt;=$C213,$R$132*HLOOKUP(S$200-$C213+1,$E$47:$CB$49,3)*S$106*$C$30,0)</f>
        <v>0</v>
      </c>
      <c r="T213" s="188">
        <f t="shared" si="157"/>
        <v>0</v>
      </c>
      <c r="U213" s="188">
        <f t="shared" si="157"/>
        <v>0</v>
      </c>
      <c r="V213" s="188">
        <f t="shared" si="157"/>
        <v>0</v>
      </c>
      <c r="W213" s="188">
        <f t="shared" si="157"/>
        <v>0</v>
      </c>
      <c r="X213" s="188">
        <f t="shared" si="157"/>
        <v>0</v>
      </c>
      <c r="Y213" s="188">
        <f t="shared" si="157"/>
        <v>0</v>
      </c>
      <c r="Z213" s="188">
        <f t="shared" si="157"/>
        <v>0</v>
      </c>
      <c r="AA213" s="188">
        <f t="shared" si="157"/>
        <v>0</v>
      </c>
      <c r="AB213" s="188">
        <f t="shared" si="157"/>
        <v>0</v>
      </c>
      <c r="AC213" s="188">
        <f t="shared" si="157"/>
        <v>0</v>
      </c>
      <c r="AD213" s="188">
        <f t="shared" si="157"/>
        <v>0</v>
      </c>
      <c r="AE213" s="188">
        <f t="shared" si="157"/>
        <v>311267.4213091688</v>
      </c>
      <c r="AF213" s="188">
        <f t="shared" si="157"/>
        <v>380834.90715395816</v>
      </c>
      <c r="AG213" s="188">
        <f t="shared" si="157"/>
        <v>441987.62087390141</v>
      </c>
      <c r="AH213" s="188">
        <f t="shared" si="157"/>
        <v>496237.80040061916</v>
      </c>
      <c r="AI213" s="188">
        <f t="shared" si="157"/>
        <v>544844.76346302091</v>
      </c>
      <c r="AJ213" s="188">
        <f t="shared" si="157"/>
        <v>588857.69182736392</v>
      </c>
      <c r="AK213" s="188">
        <f t="shared" si="157"/>
        <v>629151.19144479197</v>
      </c>
      <c r="AL213" s="188">
        <f t="shared" si="157"/>
        <v>666454.8486533676</v>
      </c>
      <c r="AM213" s="188">
        <f t="shared" si="157"/>
        <v>701377.79650908476</v>
      </c>
      <c r="AN213" s="188">
        <f t="shared" si="157"/>
        <v>734429.13405198976</v>
      </c>
      <c r="AO213" s="188">
        <f t="shared" si="157"/>
        <v>766034.89897121326</v>
      </c>
      <c r="AP213" s="188">
        <f t="shared" si="157"/>
        <v>796552.17583098437</v>
      </c>
      <c r="AQ213" s="188">
        <f t="shared" si="157"/>
        <v>826280.82369832683</v>
      </c>
      <c r="AR213" s="188">
        <f t="shared" si="157"/>
        <v>855473.22529755556</v>
      </c>
      <c r="AS213" s="188">
        <f t="shared" si="157"/>
        <v>884342.39190232265</v>
      </c>
      <c r="AT213" s="188">
        <f t="shared" si="157"/>
        <v>913068.70173187566</v>
      </c>
      <c r="AU213" s="188">
        <f t="shared" si="157"/>
        <v>941805.50270714925</v>
      </c>
      <c r="AV213" s="188">
        <f t="shared" si="157"/>
        <v>970683.77143423946</v>
      </c>
      <c r="AW213" s="188">
        <f t="shared" si="157"/>
        <v>999815.98787959479</v>
      </c>
      <c r="AX213" s="188">
        <f t="shared" si="157"/>
        <v>1029299.3582707515</v>
      </c>
      <c r="AY213" s="188">
        <f t="shared" ref="AY213:CB213" si="158">IF(AY$200&gt;=$C213,$R$132*HLOOKUP(AY$200-$C213+1,$E$47:$CB$49,3)*AY$106*$C$30,0)</f>
        <v>1059218.4963743619</v>
      </c>
      <c r="AZ213" s="188">
        <f t="shared" si="158"/>
        <v>1089647.654701387</v>
      </c>
      <c r="BA213" s="188">
        <f t="shared" si="158"/>
        <v>1120652.5817292475</v>
      </c>
      <c r="BB213" s="188">
        <f t="shared" si="158"/>
        <v>1152292.0683817775</v>
      </c>
      <c r="BC213" s="188">
        <f t="shared" si="158"/>
        <v>1184619.2363290382</v>
      </c>
      <c r="BD213" s="188">
        <f t="shared" si="158"/>
        <v>1217682.611793882</v>
      </c>
      <c r="BE213" s="188">
        <f t="shared" si="158"/>
        <v>1251527.0211760059</v>
      </c>
      <c r="BF213" s="188">
        <f t="shared" si="158"/>
        <v>1286194.3386739218</v>
      </c>
      <c r="BG213" s="188">
        <f t="shared" si="158"/>
        <v>1321724.1109903764</v>
      </c>
      <c r="BH213" s="188">
        <f t="shared" si="158"/>
        <v>1358154.0799724313</v>
      </c>
      <c r="BI213" s="188">
        <f t="shared" si="158"/>
        <v>1395520.6205182893</v>
      </c>
      <c r="BJ213" s="188">
        <f t="shared" si="158"/>
        <v>1433859.1081582571</v>
      </c>
      <c r="BK213" s="188">
        <f t="shared" si="158"/>
        <v>1473204.2282865746</v>
      </c>
      <c r="BL213" s="188">
        <f t="shared" si="158"/>
        <v>1513590.2370007508</v>
      </c>
      <c r="BM213" s="188">
        <f t="shared" si="158"/>
        <v>1555051.1818262532</v>
      </c>
      <c r="BN213" s="188">
        <f t="shared" si="158"/>
        <v>1597621.0892091503</v>
      </c>
      <c r="BO213" s="188">
        <f t="shared" si="158"/>
        <v>1641334.1244998607</v>
      </c>
      <c r="BP213" s="188">
        <f t="shared" si="158"/>
        <v>1686224.729187554</v>
      </c>
      <c r="BQ213" s="188">
        <f t="shared" si="158"/>
        <v>1732327.7393440022</v>
      </c>
      <c r="BR213" s="188">
        <f t="shared" si="158"/>
        <v>1779678.4885702587</v>
      </c>
      <c r="BS213" s="188">
        <f t="shared" si="158"/>
        <v>1828312.8981865735</v>
      </c>
      <c r="BT213" s="188">
        <f t="shared" si="158"/>
        <v>0</v>
      </c>
      <c r="BU213" s="188">
        <f t="shared" si="158"/>
        <v>0</v>
      </c>
      <c r="BV213" s="188">
        <f t="shared" si="158"/>
        <v>0</v>
      </c>
      <c r="BW213" s="188">
        <f t="shared" si="158"/>
        <v>0</v>
      </c>
      <c r="BX213" s="188">
        <f t="shared" si="158"/>
        <v>0</v>
      </c>
      <c r="BY213" s="188">
        <f t="shared" si="158"/>
        <v>0</v>
      </c>
      <c r="BZ213" s="188">
        <f t="shared" si="158"/>
        <v>0</v>
      </c>
      <c r="CA213" s="188">
        <f t="shared" si="158"/>
        <v>0</v>
      </c>
      <c r="CB213" s="188">
        <f t="shared" si="158"/>
        <v>0</v>
      </c>
    </row>
    <row r="214" spans="2:80">
      <c r="B214" s="1">
        <v>2026</v>
      </c>
      <c r="C214" s="9">
        <f t="shared" si="130"/>
        <v>2039</v>
      </c>
      <c r="E214" s="188">
        <f t="shared" si="152"/>
        <v>0</v>
      </c>
      <c r="F214" s="188">
        <f t="shared" si="152"/>
        <v>0</v>
      </c>
      <c r="G214" s="188">
        <f t="shared" si="152"/>
        <v>0</v>
      </c>
      <c r="H214" s="188">
        <f t="shared" si="152"/>
        <v>0</v>
      </c>
      <c r="I214" s="188">
        <f t="shared" si="152"/>
        <v>0</v>
      </c>
      <c r="J214" s="188">
        <f t="shared" si="152"/>
        <v>0</v>
      </c>
      <c r="K214" s="188">
        <f t="shared" si="152"/>
        <v>0</v>
      </c>
      <c r="L214" s="188">
        <f t="shared" si="152"/>
        <v>0</v>
      </c>
      <c r="M214" s="188">
        <f t="shared" si="152"/>
        <v>0</v>
      </c>
      <c r="N214" s="188">
        <f t="shared" si="152"/>
        <v>0</v>
      </c>
      <c r="O214" s="188">
        <f t="shared" si="152"/>
        <v>0</v>
      </c>
      <c r="P214" s="188">
        <f t="shared" si="152"/>
        <v>0</v>
      </c>
      <c r="Q214" s="188">
        <f t="shared" si="152"/>
        <v>0</v>
      </c>
      <c r="R214" s="188">
        <f t="shared" si="152"/>
        <v>0</v>
      </c>
      <c r="S214" s="188">
        <f t="shared" ref="S214:AX214" si="159">IF(S$200&gt;=$C214,$S$132*HLOOKUP(S$200-$C214+1,$E$47:$CB$49,3)*S$106*$C$30,0)</f>
        <v>0</v>
      </c>
      <c r="T214" s="188">
        <f t="shared" si="159"/>
        <v>0</v>
      </c>
      <c r="U214" s="188">
        <f t="shared" si="159"/>
        <v>0</v>
      </c>
      <c r="V214" s="188">
        <f t="shared" si="159"/>
        <v>0</v>
      </c>
      <c r="W214" s="188">
        <f t="shared" si="159"/>
        <v>0</v>
      </c>
      <c r="X214" s="188">
        <f t="shared" si="159"/>
        <v>0</v>
      </c>
      <c r="Y214" s="188">
        <f t="shared" si="159"/>
        <v>0</v>
      </c>
      <c r="Z214" s="188">
        <f t="shared" si="159"/>
        <v>0</v>
      </c>
      <c r="AA214" s="188">
        <f t="shared" si="159"/>
        <v>0</v>
      </c>
      <c r="AB214" s="188">
        <f t="shared" si="159"/>
        <v>0</v>
      </c>
      <c r="AC214" s="188">
        <f t="shared" si="159"/>
        <v>0</v>
      </c>
      <c r="AD214" s="188">
        <f t="shared" si="159"/>
        <v>0</v>
      </c>
      <c r="AE214" s="188">
        <f t="shared" si="159"/>
        <v>0</v>
      </c>
      <c r="AF214" s="188">
        <f t="shared" si="159"/>
        <v>327384.45447495644</v>
      </c>
      <c r="AG214" s="188">
        <f t="shared" si="159"/>
        <v>400554.05669898383</v>
      </c>
      <c r="AH214" s="188">
        <f t="shared" si="159"/>
        <v>464873.18054645316</v>
      </c>
      <c r="AI214" s="188">
        <f t="shared" si="159"/>
        <v>521932.36571534368</v>
      </c>
      <c r="AJ214" s="188">
        <f t="shared" si="159"/>
        <v>573056.13581289863</v>
      </c>
      <c r="AK214" s="188">
        <f t="shared" si="159"/>
        <v>619347.9979094906</v>
      </c>
      <c r="AL214" s="188">
        <f t="shared" si="159"/>
        <v>661727.84394559718</v>
      </c>
      <c r="AM214" s="188">
        <f t="shared" si="159"/>
        <v>700963.03731657343</v>
      </c>
      <c r="AN214" s="188">
        <f t="shared" si="159"/>
        <v>737694.25121719262</v>
      </c>
      <c r="AO214" s="188">
        <f t="shared" si="159"/>
        <v>772456.94519152958</v>
      </c>
      <c r="AP214" s="188">
        <f t="shared" si="159"/>
        <v>805699.21662110602</v>
      </c>
      <c r="AQ214" s="188">
        <f t="shared" si="159"/>
        <v>837796.63945699553</v>
      </c>
      <c r="AR214" s="188">
        <f t="shared" si="159"/>
        <v>869064.59908924007</v>
      </c>
      <c r="AS214" s="188">
        <f t="shared" si="159"/>
        <v>899768.54630022915</v>
      </c>
      <c r="AT214" s="188">
        <f t="shared" si="159"/>
        <v>930132.52181779768</v>
      </c>
      <c r="AU214" s="188">
        <f t="shared" si="159"/>
        <v>960346.24361711729</v>
      </c>
      <c r="AV214" s="188">
        <f t="shared" si="159"/>
        <v>990570.99978040601</v>
      </c>
      <c r="AW214" s="188">
        <f t="shared" si="159"/>
        <v>1020944.5487166729</v>
      </c>
      <c r="AX214" s="188">
        <f t="shared" si="159"/>
        <v>1051585.1944626851</v>
      </c>
      <c r="AY214" s="188">
        <f t="shared" ref="AY214:CB214" si="160">IF(AY$200&gt;=$C214,$S$132*HLOOKUP(AY$200-$C214+1,$E$47:$CB$49,3)*AY$106*$C$30,0)</f>
        <v>1082595.1764614265</v>
      </c>
      <c r="AZ214" s="188">
        <f t="shared" si="160"/>
        <v>1114063.4896733074</v>
      </c>
      <c r="BA214" s="188">
        <f t="shared" si="160"/>
        <v>1146068.2313103396</v>
      </c>
      <c r="BB214" s="188">
        <f t="shared" si="160"/>
        <v>1178678.5542228997</v>
      </c>
      <c r="BC214" s="188">
        <f t="shared" si="160"/>
        <v>1211956.2934544585</v>
      </c>
      <c r="BD214" s="188">
        <f t="shared" si="160"/>
        <v>1245957.3212479267</v>
      </c>
      <c r="BE214" s="188">
        <f t="shared" si="160"/>
        <v>1280732.6764525662</v>
      </c>
      <c r="BF214" s="188">
        <f t="shared" si="160"/>
        <v>1316329.5065223225</v>
      </c>
      <c r="BG214" s="188">
        <f t="shared" si="160"/>
        <v>1352791.8538487146</v>
      </c>
      <c r="BH214" s="188">
        <f t="shared" si="160"/>
        <v>1390161.3128127111</v>
      </c>
      <c r="BI214" s="188">
        <f t="shared" si="160"/>
        <v>1428477.5794864513</v>
      </c>
      <c r="BJ214" s="188">
        <f t="shared" si="160"/>
        <v>1467778.9122143348</v>
      </c>
      <c r="BK214" s="188">
        <f t="shared" si="160"/>
        <v>1508102.5182268608</v>
      </c>
      <c r="BL214" s="188">
        <f t="shared" si="160"/>
        <v>1549484.8788840866</v>
      </c>
      <c r="BM214" s="188">
        <f t="shared" si="160"/>
        <v>1591962.0240209012</v>
      </c>
      <c r="BN214" s="188">
        <f t="shared" si="160"/>
        <v>1635569.7641005518</v>
      </c>
      <c r="BO214" s="188">
        <f t="shared" si="160"/>
        <v>1680343.8874154245</v>
      </c>
      <c r="BP214" s="188">
        <f t="shared" si="160"/>
        <v>1726320.3283545463</v>
      </c>
      <c r="BQ214" s="188">
        <f t="shared" si="160"/>
        <v>1773535.3117438103</v>
      </c>
      <c r="BR214" s="188">
        <f t="shared" si="160"/>
        <v>1822025.4774226993</v>
      </c>
      <c r="BS214" s="188">
        <f t="shared" si="160"/>
        <v>1871827.9885214146</v>
      </c>
      <c r="BT214" s="188">
        <f t="shared" si="160"/>
        <v>1922980.6263207113</v>
      </c>
      <c r="BU214" s="188">
        <f t="shared" si="160"/>
        <v>0</v>
      </c>
      <c r="BV214" s="188">
        <f t="shared" si="160"/>
        <v>0</v>
      </c>
      <c r="BW214" s="188">
        <f t="shared" si="160"/>
        <v>0</v>
      </c>
      <c r="BX214" s="188">
        <f t="shared" si="160"/>
        <v>0</v>
      </c>
      <c r="BY214" s="188">
        <f t="shared" si="160"/>
        <v>0</v>
      </c>
      <c r="BZ214" s="188">
        <f t="shared" si="160"/>
        <v>0</v>
      </c>
      <c r="CA214" s="188">
        <f t="shared" si="160"/>
        <v>0</v>
      </c>
      <c r="CB214" s="188">
        <f t="shared" si="160"/>
        <v>0</v>
      </c>
    </row>
    <row r="215" spans="2:80">
      <c r="B215" s="1">
        <v>2027</v>
      </c>
      <c r="C215" s="9">
        <f t="shared" si="130"/>
        <v>2040</v>
      </c>
      <c r="E215" s="188">
        <f t="shared" si="152"/>
        <v>0</v>
      </c>
      <c r="F215" s="188">
        <f t="shared" si="152"/>
        <v>0</v>
      </c>
      <c r="G215" s="188">
        <f t="shared" si="152"/>
        <v>0</v>
      </c>
      <c r="H215" s="188">
        <f t="shared" si="152"/>
        <v>0</v>
      </c>
      <c r="I215" s="188">
        <f t="shared" si="152"/>
        <v>0</v>
      </c>
      <c r="J215" s="188">
        <f t="shared" si="152"/>
        <v>0</v>
      </c>
      <c r="K215" s="188">
        <f t="shared" si="152"/>
        <v>0</v>
      </c>
      <c r="L215" s="188">
        <f t="shared" si="152"/>
        <v>0</v>
      </c>
      <c r="M215" s="188">
        <f t="shared" si="152"/>
        <v>0</v>
      </c>
      <c r="N215" s="188">
        <f t="shared" si="152"/>
        <v>0</v>
      </c>
      <c r="O215" s="188">
        <f t="shared" si="152"/>
        <v>0</v>
      </c>
      <c r="P215" s="188">
        <f t="shared" si="152"/>
        <v>0</v>
      </c>
      <c r="Q215" s="188">
        <f t="shared" si="152"/>
        <v>0</v>
      </c>
      <c r="R215" s="188">
        <f t="shared" si="152"/>
        <v>0</v>
      </c>
      <c r="S215" s="188">
        <f t="shared" ref="S215:AX215" si="161">IF(S$200&gt;=$C215,$T$132*HLOOKUP(S$200-$C215+1,$E$47:$CB$49,3)*S$106*$C$30,0)</f>
        <v>0</v>
      </c>
      <c r="T215" s="188">
        <f t="shared" si="161"/>
        <v>0</v>
      </c>
      <c r="U215" s="188">
        <f t="shared" si="161"/>
        <v>0</v>
      </c>
      <c r="V215" s="188">
        <f t="shared" si="161"/>
        <v>0</v>
      </c>
      <c r="W215" s="188">
        <f t="shared" si="161"/>
        <v>0</v>
      </c>
      <c r="X215" s="188">
        <f t="shared" si="161"/>
        <v>0</v>
      </c>
      <c r="Y215" s="188">
        <f t="shared" si="161"/>
        <v>0</v>
      </c>
      <c r="Z215" s="188">
        <f t="shared" si="161"/>
        <v>0</v>
      </c>
      <c r="AA215" s="188">
        <f t="shared" si="161"/>
        <v>0</v>
      </c>
      <c r="AB215" s="188">
        <f t="shared" si="161"/>
        <v>0</v>
      </c>
      <c r="AC215" s="188">
        <f t="shared" si="161"/>
        <v>0</v>
      </c>
      <c r="AD215" s="188">
        <f t="shared" si="161"/>
        <v>0</v>
      </c>
      <c r="AE215" s="188">
        <f t="shared" si="161"/>
        <v>0</v>
      </c>
      <c r="AF215" s="188">
        <f t="shared" si="161"/>
        <v>0</v>
      </c>
      <c r="AG215" s="188">
        <f t="shared" si="161"/>
        <v>344336.00722192804</v>
      </c>
      <c r="AH215" s="188">
        <f t="shared" si="161"/>
        <v>421294.23885282432</v>
      </c>
      <c r="AI215" s="188">
        <f t="shared" si="161"/>
        <v>488943.72553712403</v>
      </c>
      <c r="AJ215" s="188">
        <f t="shared" si="161"/>
        <v>548957.36310553632</v>
      </c>
      <c r="AK215" s="188">
        <f t="shared" si="161"/>
        <v>602728.2573215001</v>
      </c>
      <c r="AL215" s="188">
        <f t="shared" si="161"/>
        <v>651417.05345500098</v>
      </c>
      <c r="AM215" s="188">
        <f t="shared" si="161"/>
        <v>695991.27428706945</v>
      </c>
      <c r="AN215" s="188">
        <f t="shared" si="161"/>
        <v>737258.0163185721</v>
      </c>
      <c r="AO215" s="188">
        <f t="shared" si="161"/>
        <v>775891.12599153421</v>
      </c>
      <c r="AP215" s="188">
        <f t="shared" si="161"/>
        <v>812453.78826759709</v>
      </c>
      <c r="AQ215" s="188">
        <f t="shared" si="161"/>
        <v>847417.30244362995</v>
      </c>
      <c r="AR215" s="188">
        <f t="shared" si="161"/>
        <v>881176.68921460316</v>
      </c>
      <c r="AS215" s="188">
        <f t="shared" si="161"/>
        <v>914063.66422693431</v>
      </c>
      <c r="AT215" s="188">
        <f t="shared" si="161"/>
        <v>946357.4229685961</v>
      </c>
      <c r="AU215" s="188">
        <f t="shared" si="161"/>
        <v>978293.60671278706</v>
      </c>
      <c r="AV215" s="188">
        <f t="shared" si="161"/>
        <v>1010071.7567913446</v>
      </c>
      <c r="AW215" s="188">
        <f t="shared" si="161"/>
        <v>1041861.5125792735</v>
      </c>
      <c r="AX215" s="188">
        <f t="shared" si="161"/>
        <v>1073807.765441668</v>
      </c>
      <c r="AY215" s="188">
        <f t="shared" ref="AY215:CB215" si="162">IF(AY$200&gt;=$C215,$T$132*HLOOKUP(AY$200-$C215+1,$E$47:$CB$49,3)*AY$106*$C$30,0)</f>
        <v>1106034.9450486046</v>
      </c>
      <c r="AZ215" s="188">
        <f t="shared" si="162"/>
        <v>1138650.584672041</v>
      </c>
      <c r="BA215" s="188">
        <f t="shared" si="162"/>
        <v>1171748.2873188138</v>
      </c>
      <c r="BB215" s="188">
        <f t="shared" si="162"/>
        <v>1205410.193975741</v>
      </c>
      <c r="BC215" s="188">
        <f t="shared" si="162"/>
        <v>1239709.0381402788</v>
      </c>
      <c r="BD215" s="188">
        <f t="shared" si="162"/>
        <v>1274709.8565961961</v>
      </c>
      <c r="BE215" s="188">
        <f t="shared" si="162"/>
        <v>1310471.4145804353</v>
      </c>
      <c r="BF215" s="188">
        <f t="shared" si="162"/>
        <v>1347047.3936692833</v>
      </c>
      <c r="BG215" s="188">
        <f t="shared" si="162"/>
        <v>1384487.3825521853</v>
      </c>
      <c r="BH215" s="188">
        <f t="shared" si="162"/>
        <v>1422837.7040799579</v>
      </c>
      <c r="BI215" s="188">
        <f t="shared" si="162"/>
        <v>1462142.106337978</v>
      </c>
      <c r="BJ215" s="188">
        <f t="shared" si="162"/>
        <v>1502442.3408107655</v>
      </c>
      <c r="BK215" s="188">
        <f t="shared" si="162"/>
        <v>1543778.6468113766</v>
      </c>
      <c r="BL215" s="188">
        <f t="shared" si="162"/>
        <v>1586190.1581136195</v>
      </c>
      <c r="BM215" s="188">
        <f t="shared" si="162"/>
        <v>1629715.2450362088</v>
      </c>
      <c r="BN215" s="188">
        <f t="shared" si="162"/>
        <v>1674391.802993288</v>
      </c>
      <c r="BO215" s="188">
        <f t="shared" si="162"/>
        <v>1720257.4966685725</v>
      </c>
      <c r="BP215" s="188">
        <f t="shared" si="162"/>
        <v>1767349.9674269389</v>
      </c>
      <c r="BQ215" s="188">
        <f t="shared" si="162"/>
        <v>1815707.010294602</v>
      </c>
      <c r="BR215" s="188">
        <f t="shared" si="162"/>
        <v>1865366.7257730975</v>
      </c>
      <c r="BS215" s="188">
        <f t="shared" si="162"/>
        <v>1916367.6508664289</v>
      </c>
      <c r="BT215" s="188">
        <f t="shared" si="162"/>
        <v>1968748.8729646492</v>
      </c>
      <c r="BU215" s="188">
        <f t="shared" si="162"/>
        <v>2022550.1296154186</v>
      </c>
      <c r="BV215" s="188">
        <f t="shared" si="162"/>
        <v>0</v>
      </c>
      <c r="BW215" s="188">
        <f t="shared" si="162"/>
        <v>0</v>
      </c>
      <c r="BX215" s="188">
        <f t="shared" si="162"/>
        <v>0</v>
      </c>
      <c r="BY215" s="188">
        <f t="shared" si="162"/>
        <v>0</v>
      </c>
      <c r="BZ215" s="188">
        <f t="shared" si="162"/>
        <v>0</v>
      </c>
      <c r="CA215" s="188">
        <f t="shared" si="162"/>
        <v>0</v>
      </c>
      <c r="CB215" s="188">
        <f t="shared" si="162"/>
        <v>0</v>
      </c>
    </row>
    <row r="216" spans="2:80">
      <c r="B216" s="1">
        <v>2028</v>
      </c>
      <c r="C216" s="9">
        <f t="shared" si="130"/>
        <v>2041</v>
      </c>
      <c r="E216" s="188">
        <f t="shared" si="152"/>
        <v>0</v>
      </c>
      <c r="F216" s="188">
        <f t="shared" si="152"/>
        <v>0</v>
      </c>
      <c r="G216" s="188">
        <f t="shared" si="152"/>
        <v>0</v>
      </c>
      <c r="H216" s="188">
        <f t="shared" si="152"/>
        <v>0</v>
      </c>
      <c r="I216" s="188">
        <f t="shared" si="152"/>
        <v>0</v>
      </c>
      <c r="J216" s="188">
        <f t="shared" si="152"/>
        <v>0</v>
      </c>
      <c r="K216" s="188">
        <f t="shared" si="152"/>
        <v>0</v>
      </c>
      <c r="L216" s="188">
        <f t="shared" si="152"/>
        <v>0</v>
      </c>
      <c r="M216" s="188">
        <f t="shared" si="152"/>
        <v>0</v>
      </c>
      <c r="N216" s="188">
        <f t="shared" si="152"/>
        <v>0</v>
      </c>
      <c r="O216" s="188">
        <f t="shared" si="152"/>
        <v>0</v>
      </c>
      <c r="P216" s="188">
        <f t="shared" si="152"/>
        <v>0</v>
      </c>
      <c r="Q216" s="188">
        <f t="shared" si="152"/>
        <v>0</v>
      </c>
      <c r="R216" s="188">
        <f t="shared" si="152"/>
        <v>0</v>
      </c>
      <c r="S216" s="188">
        <f t="shared" ref="S216:AX216" si="163">IF(S$200&gt;=$C216,$U$132*HLOOKUP(S$200-$C216+1,$E$47:$CB$49,3)*S$106*$C$30,0)</f>
        <v>0</v>
      </c>
      <c r="T216" s="188">
        <f t="shared" si="163"/>
        <v>0</v>
      </c>
      <c r="U216" s="188">
        <f t="shared" si="163"/>
        <v>0</v>
      </c>
      <c r="V216" s="188">
        <f t="shared" si="163"/>
        <v>0</v>
      </c>
      <c r="W216" s="188">
        <f t="shared" si="163"/>
        <v>0</v>
      </c>
      <c r="X216" s="188">
        <f t="shared" si="163"/>
        <v>0</v>
      </c>
      <c r="Y216" s="188">
        <f t="shared" si="163"/>
        <v>0</v>
      </c>
      <c r="Z216" s="188">
        <f t="shared" si="163"/>
        <v>0</v>
      </c>
      <c r="AA216" s="188">
        <f t="shared" si="163"/>
        <v>0</v>
      </c>
      <c r="AB216" s="188">
        <f t="shared" si="163"/>
        <v>0</v>
      </c>
      <c r="AC216" s="188">
        <f t="shared" si="163"/>
        <v>0</v>
      </c>
      <c r="AD216" s="188">
        <f t="shared" si="163"/>
        <v>0</v>
      </c>
      <c r="AE216" s="188">
        <f t="shared" si="163"/>
        <v>0</v>
      </c>
      <c r="AF216" s="188">
        <f t="shared" si="163"/>
        <v>0</v>
      </c>
      <c r="AG216" s="188">
        <f t="shared" si="163"/>
        <v>0</v>
      </c>
      <c r="AH216" s="188">
        <f t="shared" si="163"/>
        <v>362165.28991791088</v>
      </c>
      <c r="AI216" s="188">
        <f t="shared" si="163"/>
        <v>443108.32139184471</v>
      </c>
      <c r="AJ216" s="188">
        <f t="shared" si="163"/>
        <v>514260.61288608442</v>
      </c>
      <c r="AK216" s="188">
        <f t="shared" si="163"/>
        <v>577381.68066039972</v>
      </c>
      <c r="AL216" s="188">
        <f t="shared" si="163"/>
        <v>633936.76373168209</v>
      </c>
      <c r="AM216" s="188">
        <f t="shared" si="163"/>
        <v>685146.60411319777</v>
      </c>
      <c r="AN216" s="188">
        <f t="shared" si="163"/>
        <v>732028.82169117732</v>
      </c>
      <c r="AO216" s="188">
        <f t="shared" si="163"/>
        <v>775432.30340191885</v>
      </c>
      <c r="AP216" s="188">
        <f t="shared" si="163"/>
        <v>816065.78660346242</v>
      </c>
      <c r="AQ216" s="188">
        <f t="shared" si="163"/>
        <v>854521.61726205098</v>
      </c>
      <c r="AR216" s="188">
        <f t="shared" si="163"/>
        <v>891295.49795571528</v>
      </c>
      <c r="AS216" s="188">
        <f t="shared" si="163"/>
        <v>926802.90305111173</v>
      </c>
      <c r="AT216" s="188">
        <f t="shared" si="163"/>
        <v>961392.72401104285</v>
      </c>
      <c r="AU216" s="188">
        <f t="shared" si="163"/>
        <v>995358.61271252565</v>
      </c>
      <c r="AV216" s="188">
        <f t="shared" si="163"/>
        <v>1028948.4116356806</v>
      </c>
      <c r="AW216" s="188">
        <f t="shared" si="163"/>
        <v>1062371.9941099873</v>
      </c>
      <c r="AX216" s="188">
        <f t="shared" si="163"/>
        <v>1095807.7832226101</v>
      </c>
      <c r="AY216" s="188">
        <f t="shared" ref="AY216:CB216" si="164">IF(AY$200&gt;=$C216,$U$132*HLOOKUP(AY$200-$C216+1,$E$47:$CB$49,3)*AY$106*$C$30,0)</f>
        <v>1129408.1726301666</v>
      </c>
      <c r="AZ216" s="188">
        <f t="shared" si="164"/>
        <v>1163304.0348135843</v>
      </c>
      <c r="BA216" s="188">
        <f t="shared" si="164"/>
        <v>1197608.470981559</v>
      </c>
      <c r="BB216" s="188">
        <f t="shared" si="164"/>
        <v>1232419.9307861668</v>
      </c>
      <c r="BC216" s="188">
        <f t="shared" si="164"/>
        <v>1267824.8083705734</v>
      </c>
      <c r="BD216" s="188">
        <f t="shared" si="164"/>
        <v>1303899.6032806886</v>
      </c>
      <c r="BE216" s="188">
        <f t="shared" si="164"/>
        <v>1340712.7198226412</v>
      </c>
      <c r="BF216" s="188">
        <f t="shared" si="164"/>
        <v>1378325.966022975</v>
      </c>
      <c r="BG216" s="188">
        <f t="shared" si="164"/>
        <v>1416795.8030220619</v>
      </c>
      <c r="BH216" s="188">
        <f t="shared" si="164"/>
        <v>1456174.3871489333</v>
      </c>
      <c r="BI216" s="188">
        <f t="shared" si="164"/>
        <v>1496510.4397929979</v>
      </c>
      <c r="BJ216" s="188">
        <f t="shared" si="164"/>
        <v>1537849.9742601316</v>
      </c>
      <c r="BK216" s="188">
        <f t="shared" si="164"/>
        <v>1580236.9038738855</v>
      </c>
      <c r="BL216" s="188">
        <f t="shared" si="164"/>
        <v>1623713.5514880228</v>
      </c>
      <c r="BM216" s="188">
        <f t="shared" si="164"/>
        <v>1668321.0771736356</v>
      </c>
      <c r="BN216" s="188">
        <f t="shared" si="164"/>
        <v>1714099.838015984</v>
      </c>
      <c r="BO216" s="188">
        <f t="shared" si="164"/>
        <v>1761089.6916057989</v>
      </c>
      <c r="BP216" s="188">
        <f t="shared" si="164"/>
        <v>1809330.2528564543</v>
      </c>
      <c r="BQ216" s="188">
        <f t="shared" si="164"/>
        <v>1858861.1121550647</v>
      </c>
      <c r="BR216" s="188">
        <f t="shared" si="164"/>
        <v>1909722.021506472</v>
      </c>
      <c r="BS216" s="188">
        <f t="shared" si="164"/>
        <v>1961953.0542079655</v>
      </c>
      <c r="BT216" s="188">
        <f t="shared" si="164"/>
        <v>2015594.7426608477</v>
      </c>
      <c r="BU216" s="188">
        <f t="shared" si="164"/>
        <v>2070688.1981507631</v>
      </c>
      <c r="BV216" s="188">
        <f t="shared" si="164"/>
        <v>2127275.2157853013</v>
      </c>
      <c r="BW216" s="188">
        <f t="shared" si="164"/>
        <v>0</v>
      </c>
      <c r="BX216" s="188">
        <f t="shared" si="164"/>
        <v>0</v>
      </c>
      <c r="BY216" s="188">
        <f t="shared" si="164"/>
        <v>0</v>
      </c>
      <c r="BZ216" s="188">
        <f t="shared" si="164"/>
        <v>0</v>
      </c>
      <c r="CA216" s="188">
        <f t="shared" si="164"/>
        <v>0</v>
      </c>
      <c r="CB216" s="188">
        <f t="shared" si="164"/>
        <v>0</v>
      </c>
    </row>
    <row r="217" spans="2:80">
      <c r="B217" s="1">
        <v>2029</v>
      </c>
      <c r="C217" s="9">
        <f t="shared" si="130"/>
        <v>2042</v>
      </c>
      <c r="E217" s="188">
        <f t="shared" si="152"/>
        <v>0</v>
      </c>
      <c r="F217" s="188">
        <f t="shared" si="152"/>
        <v>0</v>
      </c>
      <c r="G217" s="188">
        <f t="shared" si="152"/>
        <v>0</v>
      </c>
      <c r="H217" s="188">
        <f t="shared" si="152"/>
        <v>0</v>
      </c>
      <c r="I217" s="188">
        <f t="shared" si="152"/>
        <v>0</v>
      </c>
      <c r="J217" s="188">
        <f t="shared" si="152"/>
        <v>0</v>
      </c>
      <c r="K217" s="188">
        <f t="shared" si="152"/>
        <v>0</v>
      </c>
      <c r="L217" s="188">
        <f t="shared" si="152"/>
        <v>0</v>
      </c>
      <c r="M217" s="188">
        <f t="shared" si="152"/>
        <v>0</v>
      </c>
      <c r="N217" s="188">
        <f t="shared" si="152"/>
        <v>0</v>
      </c>
      <c r="O217" s="188">
        <f t="shared" si="152"/>
        <v>0</v>
      </c>
      <c r="P217" s="188">
        <f t="shared" si="152"/>
        <v>0</v>
      </c>
      <c r="Q217" s="188">
        <f t="shared" si="152"/>
        <v>0</v>
      </c>
      <c r="R217" s="188">
        <f t="shared" si="152"/>
        <v>0</v>
      </c>
      <c r="S217" s="188">
        <f t="shared" ref="S217:AX217" si="165">IF(S$200&gt;=$C217,$V$132*HLOOKUP(S$200-$C217+1,$E$47:$CB$49,3)*S$106*$C$30,0)</f>
        <v>0</v>
      </c>
      <c r="T217" s="188">
        <f t="shared" si="165"/>
        <v>0</v>
      </c>
      <c r="U217" s="188">
        <f t="shared" si="165"/>
        <v>0</v>
      </c>
      <c r="V217" s="188">
        <f t="shared" si="165"/>
        <v>0</v>
      </c>
      <c r="W217" s="188">
        <f t="shared" si="165"/>
        <v>0</v>
      </c>
      <c r="X217" s="188">
        <f t="shared" si="165"/>
        <v>0</v>
      </c>
      <c r="Y217" s="188">
        <f t="shared" si="165"/>
        <v>0</v>
      </c>
      <c r="Z217" s="188">
        <f t="shared" si="165"/>
        <v>0</v>
      </c>
      <c r="AA217" s="188">
        <f t="shared" si="165"/>
        <v>0</v>
      </c>
      <c r="AB217" s="188">
        <f t="shared" si="165"/>
        <v>0</v>
      </c>
      <c r="AC217" s="188">
        <f t="shared" si="165"/>
        <v>0</v>
      </c>
      <c r="AD217" s="188">
        <f t="shared" si="165"/>
        <v>0</v>
      </c>
      <c r="AE217" s="188">
        <f t="shared" si="165"/>
        <v>0</v>
      </c>
      <c r="AF217" s="188">
        <f t="shared" si="165"/>
        <v>0</v>
      </c>
      <c r="AG217" s="188">
        <f t="shared" si="165"/>
        <v>0</v>
      </c>
      <c r="AH217" s="188">
        <f t="shared" si="165"/>
        <v>0</v>
      </c>
      <c r="AI217" s="188">
        <f t="shared" si="165"/>
        <v>380917.75030889531</v>
      </c>
      <c r="AJ217" s="188">
        <f t="shared" si="165"/>
        <v>466051.90951896651</v>
      </c>
      <c r="AK217" s="188">
        <f t="shared" si="165"/>
        <v>540888.37662339781</v>
      </c>
      <c r="AL217" s="188">
        <f t="shared" si="165"/>
        <v>607277.77340721816</v>
      </c>
      <c r="AM217" s="188">
        <f t="shared" si="165"/>
        <v>666761.20710935048</v>
      </c>
      <c r="AN217" s="188">
        <f t="shared" si="165"/>
        <v>720622.62821965641</v>
      </c>
      <c r="AO217" s="188">
        <f t="shared" si="165"/>
        <v>769932.34769427497</v>
      </c>
      <c r="AP217" s="188">
        <f t="shared" si="165"/>
        <v>815583.20676079788</v>
      </c>
      <c r="AQ217" s="188">
        <f t="shared" si="165"/>
        <v>858320.64030075551</v>
      </c>
      <c r="AR217" s="188">
        <f t="shared" si="165"/>
        <v>898767.66520490812</v>
      </c>
      <c r="AS217" s="188">
        <f t="shared" si="165"/>
        <v>937445.65090346429</v>
      </c>
      <c r="AT217" s="188">
        <f t="shared" si="165"/>
        <v>974791.58450000163</v>
      </c>
      <c r="AU217" s="188">
        <f t="shared" si="165"/>
        <v>1011172.4226157439</v>
      </c>
      <c r="AV217" s="188">
        <f t="shared" si="165"/>
        <v>1046897.0220502834</v>
      </c>
      <c r="AW217" s="188">
        <f t="shared" si="165"/>
        <v>1082226.0582537153</v>
      </c>
      <c r="AX217" s="188">
        <f t="shared" si="165"/>
        <v>1117380.2715309251</v>
      </c>
      <c r="AY217" s="188">
        <f t="shared" ref="AY217:CB217" si="166">IF(AY$200&gt;=$C217,$V$132*HLOOKUP(AY$200-$C217+1,$E$47:$CB$49,3)*AY$106*$C$30,0)</f>
        <v>1152547.3234907354</v>
      </c>
      <c r="AZ217" s="188">
        <f t="shared" si="166"/>
        <v>1187887.4985404492</v>
      </c>
      <c r="BA217" s="188">
        <f t="shared" si="166"/>
        <v>1223538.4455724366</v>
      </c>
      <c r="BB217" s="188">
        <f t="shared" si="166"/>
        <v>1259619.12203285</v>
      </c>
      <c r="BC217" s="188">
        <f t="shared" si="166"/>
        <v>1296233.0751721621</v>
      </c>
      <c r="BD217" s="188">
        <f t="shared" si="166"/>
        <v>1333471.1725129397</v>
      </c>
      <c r="BE217" s="188">
        <f t="shared" si="166"/>
        <v>1371413.8746507692</v>
      </c>
      <c r="BF217" s="188">
        <f t="shared" si="166"/>
        <v>1410133.1277801846</v>
      </c>
      <c r="BG217" s="188">
        <f t="shared" si="166"/>
        <v>1449693.9402691263</v>
      </c>
      <c r="BH217" s="188">
        <f t="shared" si="166"/>
        <v>1490155.6967443633</v>
      </c>
      <c r="BI217" s="188">
        <f t="shared" si="166"/>
        <v>1531573.2541236395</v>
      </c>
      <c r="BJ217" s="188">
        <f t="shared" si="166"/>
        <v>1573997.8565282514</v>
      </c>
      <c r="BK217" s="188">
        <f t="shared" si="166"/>
        <v>1617477.8997748224</v>
      </c>
      <c r="BL217" s="188">
        <f t="shared" si="166"/>
        <v>1662059.5709632242</v>
      </c>
      <c r="BM217" s="188">
        <f t="shared" si="166"/>
        <v>1707787.384371029</v>
      </c>
      <c r="BN217" s="188">
        <f t="shared" si="166"/>
        <v>1754704.6312857217</v>
      </c>
      <c r="BO217" s="188">
        <f t="shared" si="166"/>
        <v>1802853.7584313652</v>
      </c>
      <c r="BP217" s="188">
        <f t="shared" si="166"/>
        <v>1852276.6871742988</v>
      </c>
      <c r="BQ217" s="188">
        <f t="shared" si="166"/>
        <v>1903015.0836379777</v>
      </c>
      <c r="BR217" s="188">
        <f t="shared" si="166"/>
        <v>1955110.5881496591</v>
      </c>
      <c r="BS217" s="188">
        <f t="shared" si="166"/>
        <v>2008605.0110226905</v>
      </c>
      <c r="BT217" s="188">
        <f t="shared" si="166"/>
        <v>2063540.5004989817</v>
      </c>
      <c r="BU217" s="188">
        <f t="shared" si="166"/>
        <v>2119959.6876962804</v>
      </c>
      <c r="BV217" s="188">
        <f t="shared" si="166"/>
        <v>2177905.8125905748</v>
      </c>
      <c r="BW217" s="188">
        <f t="shared" si="166"/>
        <v>2237422.8343872353</v>
      </c>
      <c r="BX217" s="188">
        <f t="shared" si="166"/>
        <v>0</v>
      </c>
      <c r="BY217" s="188">
        <f t="shared" si="166"/>
        <v>0</v>
      </c>
      <c r="BZ217" s="188">
        <f t="shared" si="166"/>
        <v>0</v>
      </c>
      <c r="CA217" s="188">
        <f t="shared" si="166"/>
        <v>0</v>
      </c>
      <c r="CB217" s="188">
        <f t="shared" si="166"/>
        <v>0</v>
      </c>
    </row>
    <row r="218" spans="2:80">
      <c r="B218" s="1">
        <v>2030</v>
      </c>
      <c r="C218" s="9">
        <f t="shared" si="130"/>
        <v>2043</v>
      </c>
      <c r="E218" s="188">
        <f t="shared" si="152"/>
        <v>0</v>
      </c>
      <c r="F218" s="188">
        <f t="shared" si="152"/>
        <v>0</v>
      </c>
      <c r="G218" s="188">
        <f t="shared" si="152"/>
        <v>0</v>
      </c>
      <c r="H218" s="188">
        <f t="shared" si="152"/>
        <v>0</v>
      </c>
      <c r="I218" s="188">
        <f t="shared" si="152"/>
        <v>0</v>
      </c>
      <c r="J218" s="188">
        <f t="shared" si="152"/>
        <v>0</v>
      </c>
      <c r="K218" s="188">
        <f t="shared" si="152"/>
        <v>0</v>
      </c>
      <c r="L218" s="188">
        <f t="shared" si="152"/>
        <v>0</v>
      </c>
      <c r="M218" s="188">
        <f t="shared" si="152"/>
        <v>0</v>
      </c>
      <c r="N218" s="188">
        <f t="shared" si="152"/>
        <v>0</v>
      </c>
      <c r="O218" s="188">
        <f t="shared" si="152"/>
        <v>0</v>
      </c>
      <c r="P218" s="188">
        <f t="shared" si="152"/>
        <v>0</v>
      </c>
      <c r="Q218" s="188">
        <f t="shared" si="152"/>
        <v>0</v>
      </c>
      <c r="R218" s="188">
        <f t="shared" si="152"/>
        <v>0</v>
      </c>
      <c r="S218" s="188">
        <f t="shared" ref="S218:AX218" si="167">IF(S$200&gt;=$C218,$W$132*HLOOKUP(S$200-$C218+1,$E$47:$CB$49,3)*S$106*$C$30,0)</f>
        <v>0</v>
      </c>
      <c r="T218" s="188">
        <f t="shared" si="167"/>
        <v>0</v>
      </c>
      <c r="U218" s="188">
        <f t="shared" si="167"/>
        <v>0</v>
      </c>
      <c r="V218" s="188">
        <f t="shared" si="167"/>
        <v>0</v>
      </c>
      <c r="W218" s="188">
        <f t="shared" si="167"/>
        <v>0</v>
      </c>
      <c r="X218" s="188">
        <f t="shared" si="167"/>
        <v>0</v>
      </c>
      <c r="Y218" s="188">
        <f t="shared" si="167"/>
        <v>0</v>
      </c>
      <c r="Z218" s="188">
        <f t="shared" si="167"/>
        <v>0</v>
      </c>
      <c r="AA218" s="188">
        <f t="shared" si="167"/>
        <v>0</v>
      </c>
      <c r="AB218" s="188">
        <f t="shared" si="167"/>
        <v>0</v>
      </c>
      <c r="AC218" s="188">
        <f t="shared" si="167"/>
        <v>0</v>
      </c>
      <c r="AD218" s="188">
        <f t="shared" si="167"/>
        <v>0</v>
      </c>
      <c r="AE218" s="188">
        <f t="shared" si="167"/>
        <v>0</v>
      </c>
      <c r="AF218" s="188">
        <f t="shared" si="167"/>
        <v>0</v>
      </c>
      <c r="AG218" s="188">
        <f t="shared" si="167"/>
        <v>0</v>
      </c>
      <c r="AH218" s="188">
        <f t="shared" si="167"/>
        <v>0</v>
      </c>
      <c r="AI218" s="188">
        <f t="shared" si="167"/>
        <v>0</v>
      </c>
      <c r="AJ218" s="188">
        <f t="shared" si="167"/>
        <v>400641.18936764548</v>
      </c>
      <c r="AK218" s="188">
        <f t="shared" si="167"/>
        <v>490183.48760414985</v>
      </c>
      <c r="AL218" s="188">
        <f t="shared" si="167"/>
        <v>568894.89226953592</v>
      </c>
      <c r="AM218" s="188">
        <f t="shared" si="167"/>
        <v>638721.84800289595</v>
      </c>
      <c r="AN218" s="188">
        <f t="shared" si="167"/>
        <v>701285.25862570968</v>
      </c>
      <c r="AO218" s="188">
        <f t="shared" si="167"/>
        <v>757935.55595936126</v>
      </c>
      <c r="AP218" s="188">
        <f t="shared" si="167"/>
        <v>809798.47030681779</v>
      </c>
      <c r="AQ218" s="188">
        <f t="shared" si="167"/>
        <v>857813.07308454358</v>
      </c>
      <c r="AR218" s="188">
        <f t="shared" si="167"/>
        <v>902763.39684888488</v>
      </c>
      <c r="AS218" s="188">
        <f t="shared" si="167"/>
        <v>945304.71751677629</v>
      </c>
      <c r="AT218" s="188">
        <f t="shared" si="167"/>
        <v>985985.4003677282</v>
      </c>
      <c r="AU218" s="188">
        <f t="shared" si="167"/>
        <v>1025265.0591445339</v>
      </c>
      <c r="AV218" s="188">
        <f t="shared" si="167"/>
        <v>1063529.6510178794</v>
      </c>
      <c r="AW218" s="188">
        <f t="shared" si="167"/>
        <v>1101104.0250015804</v>
      </c>
      <c r="AX218" s="188">
        <f t="shared" si="167"/>
        <v>1138262.3539906538</v>
      </c>
      <c r="AY218" s="188">
        <f t="shared" ref="AY218:CB218" si="168">IF(AY$200&gt;=$C218,$W$132*HLOOKUP(AY$200-$C218+1,$E$47:$CB$49,3)*AY$106*$C$30,0)</f>
        <v>1175236.807943624</v>
      </c>
      <c r="AZ218" s="188">
        <f t="shared" si="168"/>
        <v>1212224.7653499322</v>
      </c>
      <c r="BA218" s="188">
        <f t="shared" si="168"/>
        <v>1249394.8099406513</v>
      </c>
      <c r="BB218" s="188">
        <f t="shared" si="168"/>
        <v>1286891.717893604</v>
      </c>
      <c r="BC218" s="188">
        <f t="shared" si="168"/>
        <v>1324840.6061209626</v>
      </c>
      <c r="BD218" s="188">
        <f t="shared" si="168"/>
        <v>1363350.3834187908</v>
      </c>
      <c r="BE218" s="188">
        <f t="shared" si="168"/>
        <v>1402516.6223149805</v>
      </c>
      <c r="BF218" s="188">
        <f t="shared" si="168"/>
        <v>1442423.9495529344</v>
      </c>
      <c r="BG218" s="188">
        <f t="shared" si="168"/>
        <v>1483148.0366100913</v>
      </c>
      <c r="BH218" s="188">
        <f t="shared" si="168"/>
        <v>1524757.257905416</v>
      </c>
      <c r="BI218" s="188">
        <f t="shared" si="168"/>
        <v>1567314.0729264996</v>
      </c>
      <c r="BJ218" s="188">
        <f t="shared" si="168"/>
        <v>1610876.1790128658</v>
      </c>
      <c r="BK218" s="188">
        <f t="shared" si="168"/>
        <v>1655497.4736415613</v>
      </c>
      <c r="BL218" s="188">
        <f t="shared" si="168"/>
        <v>1701228.8585033498</v>
      </c>
      <c r="BM218" s="188">
        <f t="shared" si="168"/>
        <v>1748118.9122076849</v>
      </c>
      <c r="BN218" s="188">
        <f t="shared" si="168"/>
        <v>1796214.4539250983</v>
      </c>
      <c r="BO218" s="188">
        <f t="shared" si="168"/>
        <v>1845561.0165111555</v>
      </c>
      <c r="BP218" s="188">
        <f t="shared" si="168"/>
        <v>1896203.2445275751</v>
      </c>
      <c r="BQ218" s="188">
        <f t="shared" si="168"/>
        <v>1948185.2299759933</v>
      </c>
      <c r="BR218" s="188">
        <f t="shared" si="168"/>
        <v>2001550.7963990101</v>
      </c>
      <c r="BS218" s="188">
        <f t="shared" si="168"/>
        <v>2056343.7402073315</v>
      </c>
      <c r="BT218" s="188">
        <f t="shared" si="168"/>
        <v>2112608.03659942</v>
      </c>
      <c r="BU218" s="188">
        <f t="shared" si="168"/>
        <v>2170388.0161998114</v>
      </c>
      <c r="BV218" s="188">
        <f t="shared" si="168"/>
        <v>2229728.5175115815</v>
      </c>
      <c r="BW218" s="188">
        <f t="shared" si="168"/>
        <v>2290675.0194219556</v>
      </c>
      <c r="BX218" s="188">
        <f t="shared" si="168"/>
        <v>2353273.757288326</v>
      </c>
      <c r="BY218" s="188">
        <f t="shared" si="168"/>
        <v>0</v>
      </c>
      <c r="BZ218" s="188">
        <f t="shared" si="168"/>
        <v>0</v>
      </c>
      <c r="CA218" s="188">
        <f t="shared" si="168"/>
        <v>0</v>
      </c>
      <c r="CB218" s="188">
        <f t="shared" si="168"/>
        <v>0</v>
      </c>
    </row>
    <row r="219" spans="2:80">
      <c r="B219" s="1">
        <v>2031</v>
      </c>
      <c r="C219" s="9">
        <f t="shared" si="130"/>
        <v>2044</v>
      </c>
      <c r="E219" s="188">
        <f t="shared" si="152"/>
        <v>0</v>
      </c>
      <c r="F219" s="188">
        <f t="shared" si="152"/>
        <v>0</v>
      </c>
      <c r="G219" s="188">
        <f t="shared" si="152"/>
        <v>0</v>
      </c>
      <c r="H219" s="188">
        <f t="shared" si="152"/>
        <v>0</v>
      </c>
      <c r="I219" s="188">
        <f t="shared" si="152"/>
        <v>0</v>
      </c>
      <c r="J219" s="188">
        <f t="shared" si="152"/>
        <v>0</v>
      </c>
      <c r="K219" s="188">
        <f t="shared" si="152"/>
        <v>0</v>
      </c>
      <c r="L219" s="188">
        <f t="shared" si="152"/>
        <v>0</v>
      </c>
      <c r="M219" s="188">
        <f t="shared" si="152"/>
        <v>0</v>
      </c>
      <c r="N219" s="188">
        <f t="shared" si="152"/>
        <v>0</v>
      </c>
      <c r="O219" s="188">
        <f t="shared" si="152"/>
        <v>0</v>
      </c>
      <c r="P219" s="188">
        <f t="shared" si="152"/>
        <v>0</v>
      </c>
      <c r="Q219" s="188">
        <f t="shared" si="152"/>
        <v>0</v>
      </c>
      <c r="R219" s="188">
        <f t="shared" si="152"/>
        <v>0</v>
      </c>
      <c r="S219" s="188">
        <f t="shared" ref="S219:AX219" si="169">IF(S$200&gt;=$C219,$X$132*HLOOKUP(S$200-$C219+1,$E$47:$CB$49,3)*S$106*$C$30,0)</f>
        <v>0</v>
      </c>
      <c r="T219" s="188">
        <f t="shared" si="169"/>
        <v>0</v>
      </c>
      <c r="U219" s="188">
        <f t="shared" si="169"/>
        <v>0</v>
      </c>
      <c r="V219" s="188">
        <f t="shared" si="169"/>
        <v>0</v>
      </c>
      <c r="W219" s="188">
        <f t="shared" si="169"/>
        <v>0</v>
      </c>
      <c r="X219" s="188">
        <f t="shared" si="169"/>
        <v>0</v>
      </c>
      <c r="Y219" s="188">
        <f t="shared" si="169"/>
        <v>0</v>
      </c>
      <c r="Z219" s="188">
        <f t="shared" si="169"/>
        <v>0</v>
      </c>
      <c r="AA219" s="188">
        <f t="shared" si="169"/>
        <v>0</v>
      </c>
      <c r="AB219" s="188">
        <f t="shared" si="169"/>
        <v>0</v>
      </c>
      <c r="AC219" s="188">
        <f t="shared" si="169"/>
        <v>0</v>
      </c>
      <c r="AD219" s="188">
        <f t="shared" si="169"/>
        <v>0</v>
      </c>
      <c r="AE219" s="188">
        <f t="shared" si="169"/>
        <v>0</v>
      </c>
      <c r="AF219" s="188">
        <f t="shared" si="169"/>
        <v>0</v>
      </c>
      <c r="AG219" s="188">
        <f t="shared" si="169"/>
        <v>0</v>
      </c>
      <c r="AH219" s="188">
        <f t="shared" si="169"/>
        <v>0</v>
      </c>
      <c r="AI219" s="188">
        <f t="shared" si="169"/>
        <v>0</v>
      </c>
      <c r="AJ219" s="188">
        <f t="shared" si="169"/>
        <v>0</v>
      </c>
      <c r="AK219" s="188">
        <f t="shared" si="169"/>
        <v>421385.88314080262</v>
      </c>
      <c r="AL219" s="188">
        <f t="shared" si="169"/>
        <v>515564.56826401927</v>
      </c>
      <c r="AM219" s="188">
        <f t="shared" si="169"/>
        <v>598351.54985352478</v>
      </c>
      <c r="AN219" s="188">
        <f t="shared" si="169"/>
        <v>671794.05698859342</v>
      </c>
      <c r="AO219" s="188">
        <f t="shared" si="169"/>
        <v>737596.92183932359</v>
      </c>
      <c r="AP219" s="188">
        <f t="shared" si="169"/>
        <v>797180.49987783679</v>
      </c>
      <c r="AQ219" s="188">
        <f t="shared" si="169"/>
        <v>851728.81029757322</v>
      </c>
      <c r="AR219" s="188">
        <f t="shared" si="169"/>
        <v>902229.54844454513</v>
      </c>
      <c r="AS219" s="188">
        <f t="shared" si="169"/>
        <v>949507.34308867122</v>
      </c>
      <c r="AT219" s="188">
        <f t="shared" si="169"/>
        <v>994251.39950461173</v>
      </c>
      <c r="AU219" s="188">
        <f t="shared" si="169"/>
        <v>1037038.4766320932</v>
      </c>
      <c r="AV219" s="188">
        <f t="shared" si="169"/>
        <v>1078351.9864318678</v>
      </c>
      <c r="AW219" s="188">
        <f t="shared" si="169"/>
        <v>1118597.8704484906</v>
      </c>
      <c r="AX219" s="188">
        <f t="shared" si="169"/>
        <v>1158117.7979666155</v>
      </c>
      <c r="AY219" s="188">
        <f t="shared" ref="AY219:CB219" si="170">IF(AY$200&gt;=$C219,$X$132*HLOOKUP(AY$200-$C219+1,$E$47:$CB$49,3)*AY$106*$C$30,0)</f>
        <v>1197200.1382067965</v>
      </c>
      <c r="AZ219" s="188">
        <f t="shared" si="170"/>
        <v>1236089.0825941993</v>
      </c>
      <c r="BA219" s="188">
        <f t="shared" si="170"/>
        <v>1274992.2296266656</v>
      </c>
      <c r="BB219" s="188">
        <f t="shared" si="170"/>
        <v>1314086.8920875194</v>
      </c>
      <c r="BC219" s="188">
        <f t="shared" si="170"/>
        <v>1353525.3424818572</v>
      </c>
      <c r="BD219" s="188">
        <f t="shared" si="170"/>
        <v>1393439.1761172276</v>
      </c>
      <c r="BE219" s="188">
        <f t="shared" si="170"/>
        <v>1433942.9409493301</v>
      </c>
      <c r="BF219" s="188">
        <f t="shared" si="170"/>
        <v>1475137.1581306036</v>
      </c>
      <c r="BG219" s="188">
        <f t="shared" si="170"/>
        <v>1517110.8362701288</v>
      </c>
      <c r="BH219" s="188">
        <f t="shared" si="170"/>
        <v>1559943.5650186846</v>
      </c>
      <c r="BI219" s="188">
        <f t="shared" si="170"/>
        <v>1603707.2591361206</v>
      </c>
      <c r="BJ219" s="188">
        <f t="shared" si="170"/>
        <v>1648467.6121832537</v>
      </c>
      <c r="BK219" s="188">
        <f t="shared" si="170"/>
        <v>1694285.3089948315</v>
      </c>
      <c r="BL219" s="188">
        <f t="shared" si="170"/>
        <v>1741217.0377910556</v>
      </c>
      <c r="BM219" s="188">
        <f t="shared" si="170"/>
        <v>1789316.33588782</v>
      </c>
      <c r="BN219" s="188">
        <f t="shared" si="170"/>
        <v>1838634.2972335005</v>
      </c>
      <c r="BO219" s="188">
        <f t="shared" si="170"/>
        <v>1889220.1652360281</v>
      </c>
      <c r="BP219" s="188">
        <f t="shared" si="170"/>
        <v>1941121.8303846088</v>
      </c>
      <c r="BQ219" s="188">
        <f t="shared" si="170"/>
        <v>1994386.2488798688</v>
      </c>
      <c r="BR219" s="188">
        <f t="shared" si="170"/>
        <v>2049059.7957514897</v>
      </c>
      <c r="BS219" s="188">
        <f t="shared" si="170"/>
        <v>2105188.5636696499</v>
      </c>
      <c r="BT219" s="188">
        <f t="shared" si="170"/>
        <v>2162818.6167677762</v>
      </c>
      <c r="BU219" s="188">
        <f t="shared" si="170"/>
        <v>2221996.2072244571</v>
      </c>
      <c r="BV219" s="188">
        <f t="shared" si="170"/>
        <v>2282767.9610478664</v>
      </c>
      <c r="BW219" s="188">
        <f t="shared" si="170"/>
        <v>2345181.0384220257</v>
      </c>
      <c r="BX219" s="188">
        <f t="shared" si="170"/>
        <v>2409283.2730733878</v>
      </c>
      <c r="BY219" s="188">
        <f t="shared" si="170"/>
        <v>2475123.2943676398</v>
      </c>
      <c r="BZ219" s="188">
        <f t="shared" si="170"/>
        <v>0</v>
      </c>
      <c r="CA219" s="188">
        <f t="shared" si="170"/>
        <v>0</v>
      </c>
      <c r="CB219" s="188">
        <f t="shared" si="170"/>
        <v>0</v>
      </c>
    </row>
    <row r="220" spans="2:80">
      <c r="B220" s="1">
        <v>2032</v>
      </c>
      <c r="C220" s="9">
        <f t="shared" si="130"/>
        <v>2045</v>
      </c>
      <c r="E220" s="189">
        <f t="shared" si="152"/>
        <v>0</v>
      </c>
      <c r="F220" s="189">
        <f t="shared" si="152"/>
        <v>0</v>
      </c>
      <c r="G220" s="189">
        <f t="shared" si="152"/>
        <v>0</v>
      </c>
      <c r="H220" s="189">
        <f t="shared" si="152"/>
        <v>0</v>
      </c>
      <c r="I220" s="189">
        <f t="shared" si="152"/>
        <v>0</v>
      </c>
      <c r="J220" s="189">
        <f t="shared" si="152"/>
        <v>0</v>
      </c>
      <c r="K220" s="189">
        <f t="shared" si="152"/>
        <v>0</v>
      </c>
      <c r="L220" s="189">
        <f t="shared" si="152"/>
        <v>0</v>
      </c>
      <c r="M220" s="189">
        <f t="shared" si="152"/>
        <v>0</v>
      </c>
      <c r="N220" s="189">
        <f t="shared" si="152"/>
        <v>0</v>
      </c>
      <c r="O220" s="189">
        <f t="shared" si="152"/>
        <v>0</v>
      </c>
      <c r="P220" s="189">
        <f t="shared" si="152"/>
        <v>0</v>
      </c>
      <c r="Q220" s="189">
        <f t="shared" si="152"/>
        <v>0</v>
      </c>
      <c r="R220" s="189">
        <f t="shared" si="152"/>
        <v>0</v>
      </c>
      <c r="S220" s="189">
        <f t="shared" ref="S220:AX220" si="171">IF(S$200&gt;=$C220,$Y$132*HLOOKUP(S$200-$C220+1,$E$47:$CB$49,3)*S$106*$C$30,0)</f>
        <v>0</v>
      </c>
      <c r="T220" s="189">
        <f t="shared" si="171"/>
        <v>0</v>
      </c>
      <c r="U220" s="189">
        <f t="shared" si="171"/>
        <v>0</v>
      </c>
      <c r="V220" s="189">
        <f t="shared" si="171"/>
        <v>0</v>
      </c>
      <c r="W220" s="189">
        <f t="shared" si="171"/>
        <v>0</v>
      </c>
      <c r="X220" s="189">
        <f t="shared" si="171"/>
        <v>0</v>
      </c>
      <c r="Y220" s="189">
        <f t="shared" si="171"/>
        <v>0</v>
      </c>
      <c r="Z220" s="189">
        <f t="shared" si="171"/>
        <v>0</v>
      </c>
      <c r="AA220" s="189">
        <f t="shared" si="171"/>
        <v>0</v>
      </c>
      <c r="AB220" s="189">
        <f t="shared" si="171"/>
        <v>0</v>
      </c>
      <c r="AC220" s="189">
        <f t="shared" si="171"/>
        <v>0</v>
      </c>
      <c r="AD220" s="189">
        <f t="shared" si="171"/>
        <v>0</v>
      </c>
      <c r="AE220" s="189">
        <f t="shared" si="171"/>
        <v>0</v>
      </c>
      <c r="AF220" s="189">
        <f t="shared" si="171"/>
        <v>0</v>
      </c>
      <c r="AG220" s="189">
        <f t="shared" si="171"/>
        <v>0</v>
      </c>
      <c r="AH220" s="189">
        <f t="shared" si="171"/>
        <v>0</v>
      </c>
      <c r="AI220" s="189">
        <f t="shared" si="171"/>
        <v>0</v>
      </c>
      <c r="AJ220" s="189">
        <f t="shared" si="171"/>
        <v>0</v>
      </c>
      <c r="AK220" s="189">
        <f t="shared" si="171"/>
        <v>0</v>
      </c>
      <c r="AL220" s="189">
        <f t="shared" si="171"/>
        <v>443204.71090507845</v>
      </c>
      <c r="AM220" s="189">
        <f t="shared" si="171"/>
        <v>542259.84916064376</v>
      </c>
      <c r="AN220" s="189">
        <f t="shared" si="171"/>
        <v>629333.43588974793</v>
      </c>
      <c r="AO220" s="189">
        <f t="shared" si="171"/>
        <v>706578.70310261729</v>
      </c>
      <c r="AP220" s="189">
        <f t="shared" si="171"/>
        <v>775788.75702164916</v>
      </c>
      <c r="AQ220" s="189">
        <f t="shared" si="171"/>
        <v>838457.49732784845</v>
      </c>
      <c r="AR220" s="189">
        <f t="shared" si="171"/>
        <v>895830.25023011304</v>
      </c>
      <c r="AS220" s="189">
        <f t="shared" si="171"/>
        <v>948945.85268954071</v>
      </c>
      <c r="AT220" s="189">
        <f t="shared" si="171"/>
        <v>998671.6317101873</v>
      </c>
      <c r="AU220" s="189">
        <f t="shared" si="171"/>
        <v>1045732.4787436444</v>
      </c>
      <c r="AV220" s="189">
        <f t="shared" si="171"/>
        <v>1090735.0165776471</v>
      </c>
      <c r="AW220" s="189">
        <f t="shared" si="171"/>
        <v>1134187.6876325172</v>
      </c>
      <c r="AX220" s="189">
        <f t="shared" si="171"/>
        <v>1176517.4525922667</v>
      </c>
      <c r="AY220" s="189">
        <f t="shared" ref="AY220:CB220" si="172">IF(AY$200&gt;=$C220,$Y$132*HLOOKUP(AY$200-$C220+1,$E$47:$CB$49,3)*AY$106*$C$30,0)</f>
        <v>1218083.6719447256</v>
      </c>
      <c r="AZ220" s="189">
        <f t="shared" si="172"/>
        <v>1259189.6463037566</v>
      </c>
      <c r="BA220" s="189">
        <f t="shared" si="172"/>
        <v>1300092.211017495</v>
      </c>
      <c r="BB220" s="189">
        <f t="shared" si="172"/>
        <v>1341009.7137712846</v>
      </c>
      <c r="BC220" s="189">
        <f t="shared" si="172"/>
        <v>1382128.6483799808</v>
      </c>
      <c r="BD220" s="189">
        <f t="shared" si="172"/>
        <v>1423609.1718262923</v>
      </c>
      <c r="BE220" s="189">
        <f t="shared" si="172"/>
        <v>1465589.693256259</v>
      </c>
      <c r="BF220" s="189">
        <f t="shared" si="172"/>
        <v>1508190.6917737648</v>
      </c>
      <c r="BG220" s="189">
        <f t="shared" si="172"/>
        <v>1551517.8933893128</v>
      </c>
      <c r="BH220" s="189">
        <f t="shared" si="172"/>
        <v>1595664.9154651216</v>
      </c>
      <c r="BI220" s="189">
        <f t="shared" si="172"/>
        <v>1640715.4687033654</v>
      </c>
      <c r="BJ220" s="189">
        <f t="shared" si="172"/>
        <v>1686745.1915191521</v>
      </c>
      <c r="BK220" s="189">
        <f t="shared" si="172"/>
        <v>1733823.1790027409</v>
      </c>
      <c r="BL220" s="189">
        <f t="shared" si="172"/>
        <v>1782013.2581728273</v>
      </c>
      <c r="BM220" s="189">
        <f t="shared" si="172"/>
        <v>1831375.052493914</v>
      </c>
      <c r="BN220" s="189">
        <f t="shared" si="172"/>
        <v>1881964.8713763626</v>
      </c>
      <c r="BO220" s="189">
        <f t="shared" si="172"/>
        <v>1933836.4543485346</v>
      </c>
      <c r="BP220" s="189">
        <f t="shared" si="172"/>
        <v>1987041.5945797071</v>
      </c>
      <c r="BQ220" s="189">
        <f t="shared" si="172"/>
        <v>2041630.6622680109</v>
      </c>
      <c r="BR220" s="189">
        <f t="shared" si="172"/>
        <v>2097653.0449467171</v>
      </c>
      <c r="BS220" s="189">
        <f t="shared" si="172"/>
        <v>2155157.5188858579</v>
      </c>
      <c r="BT220" s="189">
        <f t="shared" si="172"/>
        <v>2214192.5633757417</v>
      </c>
      <c r="BU220" s="189">
        <f t="shared" si="172"/>
        <v>2274806.6276923311</v>
      </c>
      <c r="BV220" s="189">
        <f t="shared" si="172"/>
        <v>2337048.3588934885</v>
      </c>
      <c r="BW220" s="189">
        <f t="shared" si="172"/>
        <v>2400966.7972230874</v>
      </c>
      <c r="BX220" s="189">
        <f t="shared" si="172"/>
        <v>2466611.5447597955</v>
      </c>
      <c r="BY220" s="189">
        <f t="shared" si="172"/>
        <v>2534032.9119998864</v>
      </c>
      <c r="BZ220" s="189">
        <f t="shared" si="172"/>
        <v>2603282.0462760646</v>
      </c>
      <c r="CA220" s="189">
        <f t="shared" si="172"/>
        <v>0</v>
      </c>
      <c r="CB220" s="189">
        <f t="shared" si="172"/>
        <v>0</v>
      </c>
    </row>
    <row r="221" spans="2:80">
      <c r="B221" s="111" t="s">
        <v>395</v>
      </c>
      <c r="E221" s="188">
        <f t="shared" ref="E221:AJ221" si="173">SUM(E201:E220)</f>
        <v>0</v>
      </c>
      <c r="F221" s="188">
        <f t="shared" si="173"/>
        <v>0</v>
      </c>
      <c r="G221" s="188">
        <f t="shared" si="173"/>
        <v>0</v>
      </c>
      <c r="H221" s="188">
        <f t="shared" si="173"/>
        <v>0</v>
      </c>
      <c r="I221" s="188">
        <f t="shared" si="173"/>
        <v>0</v>
      </c>
      <c r="J221" s="188">
        <f t="shared" si="173"/>
        <v>0</v>
      </c>
      <c r="K221" s="188">
        <f t="shared" si="173"/>
        <v>0</v>
      </c>
      <c r="L221" s="188">
        <f t="shared" si="173"/>
        <v>0</v>
      </c>
      <c r="M221" s="188">
        <f t="shared" si="173"/>
        <v>0</v>
      </c>
      <c r="N221" s="188">
        <f t="shared" si="173"/>
        <v>0</v>
      </c>
      <c r="O221" s="188">
        <f t="shared" si="173"/>
        <v>0</v>
      </c>
      <c r="P221" s="188">
        <f t="shared" si="173"/>
        <v>0</v>
      </c>
      <c r="Q221" s="188">
        <f t="shared" si="173"/>
        <v>0</v>
      </c>
      <c r="R221" s="188">
        <f t="shared" si="173"/>
        <v>0</v>
      </c>
      <c r="S221" s="188">
        <f t="shared" si="173"/>
        <v>0</v>
      </c>
      <c r="T221" s="188">
        <f t="shared" si="173"/>
        <v>8931.7267680143814</v>
      </c>
      <c r="U221" s="188">
        <f t="shared" si="173"/>
        <v>57898.946622651878</v>
      </c>
      <c r="V221" s="188">
        <f t="shared" si="173"/>
        <v>188719.04731771836</v>
      </c>
      <c r="W221" s="188">
        <f t="shared" si="173"/>
        <v>423455.65199540043</v>
      </c>
      <c r="X221" s="188">
        <f t="shared" si="173"/>
        <v>719067.62086288678</v>
      </c>
      <c r="Y221" s="188">
        <f t="shared" si="173"/>
        <v>1065906.1401979665</v>
      </c>
      <c r="Z221" s="188">
        <f t="shared" si="173"/>
        <v>1462799.727216562</v>
      </c>
      <c r="AA221" s="188">
        <f t="shared" si="173"/>
        <v>1909223.306480817</v>
      </c>
      <c r="AB221" s="188">
        <f t="shared" si="173"/>
        <v>2405213.9336721702</v>
      </c>
      <c r="AC221" s="188">
        <f t="shared" si="173"/>
        <v>2951302.0877945768</v>
      </c>
      <c r="AD221" s="188">
        <f t="shared" si="173"/>
        <v>3548455.9727737899</v>
      </c>
      <c r="AE221" s="188">
        <f t="shared" si="173"/>
        <v>4198036.7052979665</v>
      </c>
      <c r="AF221" s="188">
        <f t="shared" si="173"/>
        <v>4901762.6281986339</v>
      </c>
      <c r="AG221" s="188">
        <f t="shared" si="173"/>
        <v>5661681.290110399</v>
      </c>
      <c r="AH221" s="188">
        <f t="shared" si="173"/>
        <v>6480147.8828878384</v>
      </c>
      <c r="AI221" s="188">
        <f t="shared" si="173"/>
        <v>7359809.1368726259</v>
      </c>
      <c r="AJ221" s="188">
        <f t="shared" si="173"/>
        <v>8303591.8477193713</v>
      </c>
      <c r="AK221" s="188">
        <f t="shared" ref="AK221:BP221" si="174">SUM(AK201:AK220)</f>
        <v>9314695.3530281037</v>
      </c>
      <c r="AL221" s="188">
        <f t="shared" si="174"/>
        <v>10396587.397418205</v>
      </c>
      <c r="AM221" s="188">
        <f t="shared" si="174"/>
        <v>11086849.635046689</v>
      </c>
      <c r="AN221" s="188">
        <f t="shared" si="174"/>
        <v>11727317.926602282</v>
      </c>
      <c r="AO221" s="188">
        <f t="shared" si="174"/>
        <v>12328225.531731702</v>
      </c>
      <c r="AP221" s="188">
        <f t="shared" si="174"/>
        <v>12898127.171225561</v>
      </c>
      <c r="AQ221" s="188">
        <f t="shared" si="174"/>
        <v>13444183.879182585</v>
      </c>
      <c r="AR221" s="188">
        <f t="shared" si="174"/>
        <v>13972399.782835284</v>
      </c>
      <c r="AS221" s="188">
        <f t="shared" si="174"/>
        <v>14487818.930116849</v>
      </c>
      <c r="AT221" s="188">
        <f t="shared" si="174"/>
        <v>14994688.91365457</v>
      </c>
      <c r="AU221" s="188">
        <f t="shared" si="174"/>
        <v>15496596.900100023</v>
      </c>
      <c r="AV221" s="188">
        <f t="shared" si="174"/>
        <v>15996582.726431329</v>
      </c>
      <c r="AW221" s="188">
        <f t="shared" si="174"/>
        <v>16497232.937576812</v>
      </c>
      <c r="AX221" s="188">
        <f t="shared" si="174"/>
        <v>17000758.985390779</v>
      </c>
      <c r="AY221" s="188">
        <f t="shared" si="174"/>
        <v>17509062.265204236</v>
      </c>
      <c r="AZ221" s="188">
        <f t="shared" si="174"/>
        <v>18023788.21421136</v>
      </c>
      <c r="BA221" s="188">
        <f t="shared" si="174"/>
        <v>18546371.32032451</v>
      </c>
      <c r="BB221" s="188">
        <f t="shared" si="174"/>
        <v>19078072.577944417</v>
      </c>
      <c r="BC221" s="188">
        <f t="shared" si="174"/>
        <v>19620010.667632766</v>
      </c>
      <c r="BD221" s="188">
        <f t="shared" si="174"/>
        <v>20173187.921036683</v>
      </c>
      <c r="BE221" s="188">
        <f t="shared" si="174"/>
        <v>20738511.953198001</v>
      </c>
      <c r="BF221" s="188">
        <f t="shared" si="174"/>
        <v>21316813.695432115</v>
      </c>
      <c r="BG221" s="188">
        <f t="shared" si="174"/>
        <v>21908862.438171465</v>
      </c>
      <c r="BH221" s="188">
        <f t="shared" si="174"/>
        <v>22515378.390286222</v>
      </c>
      <c r="BI221" s="188">
        <f t="shared" si="174"/>
        <v>23083146.842810053</v>
      </c>
      <c r="BJ221" s="188">
        <f t="shared" si="174"/>
        <v>23435704.811049052</v>
      </c>
      <c r="BK221" s="188">
        <f t="shared" si="174"/>
        <v>23364878.330048017</v>
      </c>
      <c r="BL221" s="188">
        <f t="shared" si="174"/>
        <v>22815286.000362191</v>
      </c>
      <c r="BM221" s="188">
        <f t="shared" si="174"/>
        <v>22122348.987127364</v>
      </c>
      <c r="BN221" s="188">
        <f t="shared" si="174"/>
        <v>21341614.886696968</v>
      </c>
      <c r="BO221" s="188">
        <f t="shared" si="174"/>
        <v>20467246.066884339</v>
      </c>
      <c r="BP221" s="188">
        <f t="shared" si="174"/>
        <v>19493046.108202592</v>
      </c>
      <c r="BQ221" s="188">
        <f t="shared" ref="BQ221:CB221" si="175">SUM(BQ201:BQ220)</f>
        <v>18412443.273451358</v>
      </c>
      <c r="BR221" s="188">
        <f t="shared" si="175"/>
        <v>17218472.570891328</v>
      </c>
      <c r="BS221" s="188">
        <f t="shared" si="175"/>
        <v>15903756.425567912</v>
      </c>
      <c r="BT221" s="188">
        <f t="shared" si="175"/>
        <v>14460483.959188126</v>
      </c>
      <c r="BU221" s="188">
        <f t="shared" si="175"/>
        <v>12880388.866579061</v>
      </c>
      <c r="BV221" s="188">
        <f t="shared" si="175"/>
        <v>11154725.865828812</v>
      </c>
      <c r="BW221" s="188">
        <f t="shared" si="175"/>
        <v>9274245.6894543041</v>
      </c>
      <c r="BX221" s="188">
        <f t="shared" si="175"/>
        <v>7229168.5751215089</v>
      </c>
      <c r="BY221" s="188">
        <f t="shared" si="175"/>
        <v>5009156.2063675262</v>
      </c>
      <c r="BZ221" s="188">
        <f t="shared" si="175"/>
        <v>2603282.0462760646</v>
      </c>
      <c r="CA221" s="188">
        <f t="shared" si="175"/>
        <v>0</v>
      </c>
      <c r="CB221" s="188">
        <f t="shared" si="175"/>
        <v>0</v>
      </c>
    </row>
    <row r="222" spans="2:80">
      <c r="B222" s="111" t="s">
        <v>394</v>
      </c>
      <c r="Z222" s="188">
        <f t="shared" ref="Z222:BE222" si="176">Z221/(1+$G172)^(Z200-$Y$200)</f>
        <v>1329817.9338332382</v>
      </c>
      <c r="AA222" s="188">
        <f t="shared" si="176"/>
        <v>1577870.5012238154</v>
      </c>
      <c r="AB222" s="188">
        <f t="shared" si="176"/>
        <v>1807072.8277026066</v>
      </c>
      <c r="AC222" s="188">
        <f t="shared" si="176"/>
        <v>2015779.0368107206</v>
      </c>
      <c r="AD222" s="188">
        <f t="shared" si="176"/>
        <v>2203311.9774318621</v>
      </c>
      <c r="AE222" s="188">
        <f t="shared" si="176"/>
        <v>2369682.2775495537</v>
      </c>
      <c r="AF222" s="188">
        <f t="shared" si="176"/>
        <v>2515379.2863000128</v>
      </c>
      <c r="AG222" s="188">
        <f t="shared" si="176"/>
        <v>2641216.1062318645</v>
      </c>
      <c r="AH222" s="188">
        <f t="shared" si="176"/>
        <v>2748215.2838342311</v>
      </c>
      <c r="AI222" s="188">
        <f t="shared" si="176"/>
        <v>2837525.0242033931</v>
      </c>
      <c r="AJ222" s="188">
        <f t="shared" si="176"/>
        <v>2910358.2864090609</v>
      </c>
      <c r="AK222" s="188">
        <f t="shared" si="176"/>
        <v>2967948.997058203</v>
      </c>
      <c r="AL222" s="188">
        <f t="shared" si="176"/>
        <v>3011521.0398514094</v>
      </c>
      <c r="AM222" s="188">
        <f t="shared" si="176"/>
        <v>2919514.0206997469</v>
      </c>
      <c r="AN222" s="188">
        <f t="shared" si="176"/>
        <v>2807426.6720530484</v>
      </c>
      <c r="AO222" s="188">
        <f t="shared" si="176"/>
        <v>2682981.0682968148</v>
      </c>
      <c r="AP222" s="188">
        <f t="shared" si="176"/>
        <v>2551825.6996229561</v>
      </c>
      <c r="AQ222" s="188">
        <f t="shared" si="176"/>
        <v>2418054.6438267375</v>
      </c>
      <c r="AR222" s="188">
        <f t="shared" si="176"/>
        <v>2284599.0155168301</v>
      </c>
      <c r="AS222" s="188">
        <f t="shared" si="176"/>
        <v>2153521.9679294336</v>
      </c>
      <c r="AT222" s="188">
        <f t="shared" si="176"/>
        <v>2026240.8738354708</v>
      </c>
      <c r="AU222" s="188">
        <f t="shared" si="176"/>
        <v>1903694.533271539</v>
      </c>
      <c r="AV222" s="188">
        <f t="shared" si="176"/>
        <v>1786468.889891132</v>
      </c>
      <c r="AW222" s="188">
        <f t="shared" si="176"/>
        <v>1674891.4392465099</v>
      </c>
      <c r="AX222" s="188">
        <f t="shared" si="176"/>
        <v>1569102.0203243326</v>
      </c>
      <c r="AY222" s="188">
        <f t="shared" si="176"/>
        <v>1469105.7990103555</v>
      </c>
      <c r="AZ222" s="188">
        <f t="shared" si="176"/>
        <v>1374812.8298864793</v>
      </c>
      <c r="BA222" s="188">
        <f t="shared" si="176"/>
        <v>1286067.5083184249</v>
      </c>
      <c r="BB222" s="188">
        <f t="shared" si="176"/>
        <v>1202670.4131383465</v>
      </c>
      <c r="BC222" s="188">
        <f t="shared" si="176"/>
        <v>1124394.4271155165</v>
      </c>
      <c r="BD222" s="188">
        <f t="shared" si="176"/>
        <v>1050996.5592974622</v>
      </c>
      <c r="BE222" s="188">
        <f t="shared" si="176"/>
        <v>982226.54351798061</v>
      </c>
      <c r="BF222" s="188">
        <f t="shared" ref="BF222:CB222" si="177">BF221/(1+$G172)^(BF200-$Y$200)</f>
        <v>917833.02319739922</v>
      </c>
      <c r="BG222" s="188">
        <f t="shared" si="177"/>
        <v>857567.93306871515</v>
      </c>
      <c r="BH222" s="188">
        <f t="shared" si="177"/>
        <v>801189.53783316014</v>
      </c>
      <c r="BI222" s="188">
        <f t="shared" si="177"/>
        <v>746720.97161761101</v>
      </c>
      <c r="BJ222" s="188">
        <f t="shared" si="177"/>
        <v>689205.39482844505</v>
      </c>
      <c r="BK222" s="188">
        <f t="shared" si="177"/>
        <v>624656.8226640725</v>
      </c>
      <c r="BL222" s="188">
        <f t="shared" si="177"/>
        <v>554512.31544438319</v>
      </c>
      <c r="BM222" s="188">
        <f t="shared" si="177"/>
        <v>488791.71142802964</v>
      </c>
      <c r="BN222" s="188">
        <f t="shared" si="177"/>
        <v>428674.04324823926</v>
      </c>
      <c r="BO222" s="188">
        <f t="shared" si="177"/>
        <v>373737.46390148491</v>
      </c>
      <c r="BP222" s="188">
        <f t="shared" si="177"/>
        <v>323589.37132071133</v>
      </c>
      <c r="BQ222" s="188">
        <f t="shared" si="177"/>
        <v>277864.63440543431</v>
      </c>
      <c r="BR222" s="188">
        <f t="shared" si="177"/>
        <v>236223.87588038863</v>
      </c>
      <c r="BS222" s="188">
        <f t="shared" si="177"/>
        <v>198351.8239409723</v>
      </c>
      <c r="BT222" s="188">
        <f t="shared" si="177"/>
        <v>163955.73997067707</v>
      </c>
      <c r="BU222" s="188">
        <f t="shared" si="177"/>
        <v>132763.92620243365</v>
      </c>
      <c r="BV222" s="188">
        <f t="shared" si="177"/>
        <v>104524.31472651806</v>
      </c>
      <c r="BW222" s="188">
        <f t="shared" si="177"/>
        <v>79003.137484303996</v>
      </c>
      <c r="BX222" s="188">
        <f t="shared" si="177"/>
        <v>55983.675650297213</v>
      </c>
      <c r="BY222" s="188">
        <f t="shared" si="177"/>
        <v>35265.085959479758</v>
      </c>
      <c r="BZ222" s="188">
        <f t="shared" si="177"/>
        <v>16661.300981371853</v>
      </c>
      <c r="CA222" s="188">
        <f t="shared" si="177"/>
        <v>0</v>
      </c>
      <c r="CB222" s="188">
        <f t="shared" si="177"/>
        <v>0</v>
      </c>
    </row>
    <row r="223" spans="2:80">
      <c r="B223" s="111" t="s">
        <v>393</v>
      </c>
      <c r="E223" s="188">
        <f t="shared" ref="E223:X223" si="178">E221</f>
        <v>0</v>
      </c>
      <c r="F223" s="188">
        <f t="shared" si="178"/>
        <v>0</v>
      </c>
      <c r="G223" s="188">
        <f t="shared" si="178"/>
        <v>0</v>
      </c>
      <c r="H223" s="188">
        <f t="shared" si="178"/>
        <v>0</v>
      </c>
      <c r="I223" s="188">
        <f t="shared" si="178"/>
        <v>0</v>
      </c>
      <c r="J223" s="188">
        <f t="shared" si="178"/>
        <v>0</v>
      </c>
      <c r="K223" s="188">
        <f t="shared" si="178"/>
        <v>0</v>
      </c>
      <c r="L223" s="188">
        <f t="shared" si="178"/>
        <v>0</v>
      </c>
      <c r="M223" s="188">
        <f t="shared" si="178"/>
        <v>0</v>
      </c>
      <c r="N223" s="188">
        <f t="shared" si="178"/>
        <v>0</v>
      </c>
      <c r="O223" s="188">
        <f t="shared" si="178"/>
        <v>0</v>
      </c>
      <c r="P223" s="188">
        <f t="shared" si="178"/>
        <v>0</v>
      </c>
      <c r="Q223" s="188">
        <f t="shared" si="178"/>
        <v>0</v>
      </c>
      <c r="R223" s="188">
        <f t="shared" si="178"/>
        <v>0</v>
      </c>
      <c r="S223" s="188">
        <f t="shared" si="178"/>
        <v>0</v>
      </c>
      <c r="T223" s="188">
        <f t="shared" si="178"/>
        <v>8931.7267680143814</v>
      </c>
      <c r="U223" s="188">
        <f t="shared" si="178"/>
        <v>57898.946622651878</v>
      </c>
      <c r="V223" s="188">
        <f t="shared" si="178"/>
        <v>188719.04731771836</v>
      </c>
      <c r="W223" s="188">
        <f t="shared" si="178"/>
        <v>423455.65199540043</v>
      </c>
      <c r="X223" s="188">
        <f t="shared" si="178"/>
        <v>719067.62086288678</v>
      </c>
      <c r="Y223" s="188">
        <f>Y221+SUM(Z222:CB222)</f>
        <v>75377275.747191176</v>
      </c>
    </row>
    <row r="226" spans="2:27" s="173" customFormat="1">
      <c r="B226" s="266"/>
      <c r="C226" s="276"/>
      <c r="D226" s="275"/>
      <c r="E226" s="275"/>
      <c r="F226" s="275"/>
      <c r="G226" s="275"/>
      <c r="H226" s="275"/>
      <c r="I226" s="275"/>
      <c r="J226" s="275"/>
      <c r="K226" s="275"/>
      <c r="L226" s="275"/>
      <c r="M226" s="275"/>
      <c r="N226" s="275"/>
      <c r="O226" s="275"/>
      <c r="P226" s="275"/>
      <c r="Q226" s="275"/>
      <c r="R226" s="275"/>
      <c r="S226" s="275"/>
      <c r="T226" s="275"/>
      <c r="U226" s="275"/>
      <c r="V226" s="275"/>
      <c r="W226" s="275"/>
      <c r="X226" s="275"/>
      <c r="Z226" s="274"/>
      <c r="AA226" s="273"/>
    </row>
    <row r="227" spans="2:27">
      <c r="B227" s="262"/>
      <c r="C227" s="9"/>
      <c r="D227" s="2"/>
      <c r="E227" s="2"/>
      <c r="F227" s="2"/>
      <c r="G227" s="2"/>
      <c r="H227" s="2"/>
      <c r="I227" s="2"/>
      <c r="J227" s="2"/>
      <c r="K227" s="2"/>
      <c r="L227" s="2"/>
      <c r="M227" s="2"/>
      <c r="N227" s="2"/>
      <c r="O227" s="2"/>
      <c r="P227" s="2"/>
      <c r="Q227" s="2"/>
      <c r="R227" s="2"/>
      <c r="S227" s="2"/>
      <c r="T227" s="2"/>
      <c r="U227" s="2"/>
      <c r="V227" s="2"/>
      <c r="W227" s="2"/>
      <c r="X227" s="2"/>
    </row>
    <row r="228" spans="2:27">
      <c r="B228" s="262"/>
      <c r="C228" s="9"/>
      <c r="D228" s="2"/>
      <c r="E228" s="2"/>
      <c r="F228" s="2"/>
      <c r="G228" s="2"/>
      <c r="H228" s="2"/>
      <c r="I228" s="2"/>
      <c r="J228" s="2"/>
      <c r="K228" s="2"/>
      <c r="L228" s="2"/>
      <c r="M228" s="2"/>
      <c r="N228" s="2"/>
      <c r="O228" s="2"/>
      <c r="P228" s="2"/>
      <c r="Q228" s="2"/>
      <c r="R228" s="2"/>
      <c r="S228" s="2"/>
      <c r="T228" s="2"/>
      <c r="U228" s="2"/>
      <c r="V228" s="2"/>
      <c r="W228" s="2"/>
      <c r="X228" s="2"/>
    </row>
    <row r="229" spans="2:27">
      <c r="B229" s="262"/>
      <c r="C229" s="9"/>
      <c r="D229" s="2"/>
      <c r="E229" s="2"/>
      <c r="F229" s="2"/>
      <c r="G229" s="2"/>
      <c r="H229" s="2"/>
      <c r="I229" s="2"/>
      <c r="J229" s="2"/>
      <c r="K229" s="2"/>
      <c r="L229" s="2"/>
      <c r="M229" s="2"/>
      <c r="N229" s="2"/>
      <c r="O229" s="2"/>
      <c r="P229" s="2"/>
      <c r="Q229" s="2"/>
      <c r="R229" s="2"/>
      <c r="S229" s="2"/>
      <c r="T229" s="2"/>
      <c r="U229" s="2"/>
      <c r="V229" s="2"/>
      <c r="W229" s="2"/>
      <c r="X229" s="2"/>
    </row>
    <row r="230" spans="2:27">
      <c r="B230" s="262"/>
      <c r="C230" s="9"/>
      <c r="D230" s="2"/>
      <c r="E230" s="2"/>
      <c r="F230" s="2"/>
      <c r="G230" s="2"/>
      <c r="H230" s="2"/>
      <c r="I230" s="2"/>
      <c r="J230" s="2"/>
      <c r="K230" s="2"/>
      <c r="L230" s="2"/>
      <c r="M230" s="2"/>
      <c r="N230" s="2"/>
      <c r="O230" s="2"/>
      <c r="P230" s="2"/>
      <c r="Q230" s="2"/>
      <c r="R230" s="2"/>
      <c r="S230" s="2"/>
      <c r="T230" s="2"/>
      <c r="U230" s="2"/>
      <c r="V230" s="2"/>
      <c r="W230" s="2"/>
      <c r="X230" s="2"/>
    </row>
    <row r="231" spans="2:27">
      <c r="B231" s="261"/>
      <c r="C231" s="9"/>
      <c r="D231" s="2"/>
      <c r="E231" s="2"/>
      <c r="F231" s="2"/>
      <c r="G231" s="2"/>
      <c r="H231" s="2"/>
      <c r="I231" s="2"/>
      <c r="J231" s="2"/>
      <c r="K231" s="2"/>
      <c r="L231" s="2"/>
      <c r="M231" s="2"/>
      <c r="N231" s="2"/>
      <c r="O231" s="2"/>
      <c r="P231" s="2"/>
      <c r="Q231" s="2"/>
      <c r="R231" s="2"/>
      <c r="S231" s="2"/>
      <c r="T231" s="2"/>
      <c r="U231" s="2"/>
      <c r="V231" s="2"/>
      <c r="W231" s="2"/>
      <c r="X231" s="2"/>
    </row>
  </sheetData>
  <mergeCells count="5">
    <mergeCell ref="C149:C150"/>
    <mergeCell ref="G12:N12"/>
    <mergeCell ref="B1:C1"/>
    <mergeCell ref="O12:R12"/>
    <mergeCell ref="O1:Q1"/>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CB315"/>
  <sheetViews>
    <sheetView topLeftCell="U1" zoomScale="80" zoomScaleNormal="80" workbookViewId="0">
      <selection activeCell="X2" sqref="X2:Z2"/>
    </sheetView>
  </sheetViews>
  <sheetFormatPr defaultColWidth="9.1796875" defaultRowHeight="14.5"/>
  <cols>
    <col min="1" max="1" width="3.26953125" style="1" customWidth="1"/>
    <col min="2" max="2" width="55" style="1" customWidth="1"/>
    <col min="3" max="3" width="20.81640625" style="1" customWidth="1"/>
    <col min="4" max="4" width="12" style="1" customWidth="1"/>
    <col min="5" max="6" width="11.1796875" style="1" customWidth="1"/>
    <col min="7" max="7" width="11.54296875" style="1" customWidth="1"/>
    <col min="8" max="8" width="11.1796875" style="1" customWidth="1"/>
    <col min="9" max="9" width="11.7265625" style="1" customWidth="1"/>
    <col min="10" max="10" width="11.1796875" style="1" customWidth="1"/>
    <col min="11" max="11" width="12" style="1" customWidth="1"/>
    <col min="12" max="12" width="11.1796875" style="1" customWidth="1"/>
    <col min="13" max="14" width="11.1796875" style="1" bestFit="1" customWidth="1"/>
    <col min="15" max="15" width="13.81640625" style="1" customWidth="1"/>
    <col min="16" max="24" width="11.1796875" style="1" bestFit="1" customWidth="1"/>
    <col min="25" max="25" width="16.1796875" style="1" customWidth="1"/>
    <col min="26" max="16384" width="9.1796875" style="1"/>
  </cols>
  <sheetData>
    <row r="1" spans="2:31" s="1137" customFormat="1"/>
    <row r="2" spans="2:31" ht="18.5">
      <c r="B2" s="124" t="s">
        <v>691</v>
      </c>
      <c r="C2" s="440"/>
      <c r="I2" s="439"/>
      <c r="L2" s="172"/>
      <c r="X2" s="1333" t="s">
        <v>1764</v>
      </c>
      <c r="Y2" s="1333"/>
      <c r="Z2" s="1333"/>
    </row>
    <row r="3" spans="2:31" ht="16" thickBot="1">
      <c r="B3" s="192"/>
      <c r="C3" s="210" t="s">
        <v>690</v>
      </c>
      <c r="I3" s="439"/>
      <c r="L3" s="172"/>
      <c r="Y3" s="201"/>
    </row>
    <row r="4" spans="2:31" ht="15.5">
      <c r="B4" s="435"/>
      <c r="C4" s="438" t="s">
        <v>50</v>
      </c>
      <c r="D4" s="437">
        <f>ERR!C24</f>
        <v>0</v>
      </c>
      <c r="F4" s="436" t="s">
        <v>689</v>
      </c>
      <c r="G4" s="99">
        <f>IRR(G21:Z21)</f>
        <v>4.6752506250124615E-2</v>
      </c>
      <c r="I4" s="366"/>
      <c r="L4" s="172"/>
      <c r="Y4" s="201"/>
    </row>
    <row r="5" spans="2:31" ht="16" thickBot="1">
      <c r="B5" s="435"/>
      <c r="C5" s="434" t="s">
        <v>51</v>
      </c>
      <c r="D5" s="433">
        <f>ERR!C25</f>
        <v>1</v>
      </c>
      <c r="E5" s="250"/>
      <c r="F5" s="250"/>
      <c r="G5" s="250"/>
      <c r="H5" s="250"/>
      <c r="I5" s="366"/>
      <c r="L5" s="172"/>
      <c r="Y5" s="201"/>
    </row>
    <row r="6" spans="2:31" ht="16" thickBot="1">
      <c r="B6" s="192" t="s">
        <v>465</v>
      </c>
      <c r="C6" s="425"/>
      <c r="D6" s="201"/>
      <c r="E6" s="250"/>
      <c r="F6" s="250"/>
      <c r="G6" s="250"/>
      <c r="H6" s="250"/>
      <c r="I6" s="366"/>
      <c r="L6" s="172"/>
      <c r="Y6" s="201"/>
    </row>
    <row r="7" spans="2:31">
      <c r="B7" s="432" t="s">
        <v>688</v>
      </c>
      <c r="C7" s="431"/>
      <c r="D7" s="431"/>
      <c r="E7" s="431"/>
      <c r="F7" s="430"/>
      <c r="G7" s="1382" t="s">
        <v>415</v>
      </c>
      <c r="H7" s="1382"/>
      <c r="I7" s="1382"/>
      <c r="J7" s="1382"/>
      <c r="K7" s="1382"/>
      <c r="L7" s="429"/>
      <c r="M7" s="429"/>
      <c r="N7" s="429"/>
      <c r="O7" s="429"/>
      <c r="P7" s="429"/>
      <c r="Q7" s="429"/>
      <c r="R7" s="429"/>
      <c r="S7" s="429"/>
      <c r="T7" s="429"/>
      <c r="U7" s="429"/>
      <c r="V7" s="429"/>
      <c r="W7" s="429"/>
      <c r="X7" s="429"/>
      <c r="Y7" s="429"/>
      <c r="Z7" s="428"/>
      <c r="AA7" s="201"/>
    </row>
    <row r="8" spans="2:31" s="424" customFormat="1">
      <c r="B8" s="427"/>
      <c r="C8" s="421"/>
      <c r="D8" s="421"/>
      <c r="E8" s="421"/>
      <c r="F8" s="421">
        <v>2012</v>
      </c>
      <c r="G8" s="423">
        <f t="shared" ref="G8:Z8" si="0">F8+1</f>
        <v>2013</v>
      </c>
      <c r="H8" s="423">
        <f t="shared" si="0"/>
        <v>2014</v>
      </c>
      <c r="I8" s="423">
        <f t="shared" si="0"/>
        <v>2015</v>
      </c>
      <c r="J8" s="423">
        <f t="shared" si="0"/>
        <v>2016</v>
      </c>
      <c r="K8" s="423">
        <f t="shared" si="0"/>
        <v>2017</v>
      </c>
      <c r="L8" s="423">
        <f t="shared" si="0"/>
        <v>2018</v>
      </c>
      <c r="M8" s="423">
        <f t="shared" si="0"/>
        <v>2019</v>
      </c>
      <c r="N8" s="423">
        <f t="shared" si="0"/>
        <v>2020</v>
      </c>
      <c r="O8" s="423">
        <f t="shared" si="0"/>
        <v>2021</v>
      </c>
      <c r="P8" s="423">
        <f t="shared" si="0"/>
        <v>2022</v>
      </c>
      <c r="Q8" s="423">
        <f t="shared" si="0"/>
        <v>2023</v>
      </c>
      <c r="R8" s="423">
        <f t="shared" si="0"/>
        <v>2024</v>
      </c>
      <c r="S8" s="423">
        <f t="shared" si="0"/>
        <v>2025</v>
      </c>
      <c r="T8" s="423">
        <f t="shared" si="0"/>
        <v>2026</v>
      </c>
      <c r="U8" s="423">
        <f t="shared" si="0"/>
        <v>2027</v>
      </c>
      <c r="V8" s="423">
        <f t="shared" si="0"/>
        <v>2028</v>
      </c>
      <c r="W8" s="423">
        <f t="shared" si="0"/>
        <v>2029</v>
      </c>
      <c r="X8" s="423">
        <f t="shared" si="0"/>
        <v>2030</v>
      </c>
      <c r="Y8" s="423">
        <f t="shared" si="0"/>
        <v>2031</v>
      </c>
      <c r="Z8" s="426">
        <f t="shared" si="0"/>
        <v>2032</v>
      </c>
      <c r="AA8" s="423"/>
      <c r="AB8" s="425"/>
      <c r="AC8" s="425"/>
      <c r="AD8" s="425"/>
      <c r="AE8" s="425"/>
    </row>
    <row r="9" spans="2:31" s="3" customFormat="1">
      <c r="B9" s="420"/>
      <c r="C9" s="421"/>
      <c r="D9" s="421"/>
      <c r="E9" s="421"/>
      <c r="F9" s="421">
        <v>0</v>
      </c>
      <c r="G9" s="423">
        <f t="shared" ref="G9:Z9" si="1">F9+1</f>
        <v>1</v>
      </c>
      <c r="H9" s="197">
        <f t="shared" si="1"/>
        <v>2</v>
      </c>
      <c r="I9" s="197">
        <f t="shared" si="1"/>
        <v>3</v>
      </c>
      <c r="J9" s="197">
        <f t="shared" si="1"/>
        <v>4</v>
      </c>
      <c r="K9" s="197">
        <f t="shared" si="1"/>
        <v>5</v>
      </c>
      <c r="L9" s="197">
        <f t="shared" si="1"/>
        <v>6</v>
      </c>
      <c r="M9" s="197">
        <f t="shared" si="1"/>
        <v>7</v>
      </c>
      <c r="N9" s="197">
        <f t="shared" si="1"/>
        <v>8</v>
      </c>
      <c r="O9" s="197">
        <f t="shared" si="1"/>
        <v>9</v>
      </c>
      <c r="P9" s="197">
        <f t="shared" si="1"/>
        <v>10</v>
      </c>
      <c r="Q9" s="197">
        <f t="shared" si="1"/>
        <v>11</v>
      </c>
      <c r="R9" s="197">
        <f t="shared" si="1"/>
        <v>12</v>
      </c>
      <c r="S9" s="197">
        <f t="shared" si="1"/>
        <v>13</v>
      </c>
      <c r="T9" s="197">
        <f t="shared" si="1"/>
        <v>14</v>
      </c>
      <c r="U9" s="197">
        <f t="shared" si="1"/>
        <v>15</v>
      </c>
      <c r="V9" s="197">
        <f t="shared" si="1"/>
        <v>16</v>
      </c>
      <c r="W9" s="197">
        <f t="shared" si="1"/>
        <v>17</v>
      </c>
      <c r="X9" s="197">
        <f t="shared" si="1"/>
        <v>18</v>
      </c>
      <c r="Y9" s="197">
        <f t="shared" si="1"/>
        <v>19</v>
      </c>
      <c r="Z9" s="422">
        <f t="shared" si="1"/>
        <v>20</v>
      </c>
      <c r="AA9" s="421"/>
    </row>
    <row r="10" spans="2:31" s="3" customFormat="1">
      <c r="B10" s="420"/>
      <c r="C10" s="421"/>
      <c r="D10" s="421"/>
      <c r="E10" s="421"/>
      <c r="F10" s="421"/>
      <c r="G10" s="197"/>
      <c r="H10" s="197"/>
      <c r="I10" s="197"/>
      <c r="J10" s="197"/>
      <c r="K10" s="197"/>
      <c r="L10" s="197"/>
      <c r="M10" s="197"/>
      <c r="N10" s="197"/>
      <c r="O10" s="197"/>
      <c r="P10" s="197"/>
      <c r="Q10" s="197"/>
      <c r="R10" s="197"/>
      <c r="S10" s="197"/>
      <c r="T10" s="197"/>
      <c r="U10" s="197"/>
      <c r="V10" s="197"/>
      <c r="W10" s="197"/>
      <c r="X10" s="197"/>
      <c r="Y10" s="197"/>
      <c r="Z10" s="422"/>
      <c r="AA10" s="421"/>
    </row>
    <row r="11" spans="2:31" s="68" customFormat="1">
      <c r="B11" s="116" t="s">
        <v>687</v>
      </c>
      <c r="C11" s="68" t="s">
        <v>684</v>
      </c>
      <c r="E11" s="416">
        <f>NPV(0.1,F11:Z11)</f>
        <v>44.112671330928315</v>
      </c>
      <c r="F11" s="412">
        <f t="shared" ref="F11:Z11" si="2">SUM(F13:F16)</f>
        <v>0</v>
      </c>
      <c r="G11" s="412">
        <f t="shared" si="2"/>
        <v>0</v>
      </c>
      <c r="H11" s="412">
        <f t="shared" si="2"/>
        <v>0.2697424699266216</v>
      </c>
      <c r="I11" s="412">
        <f t="shared" si="2"/>
        <v>1.4164519241627023</v>
      </c>
      <c r="J11" s="412">
        <f t="shared" si="2"/>
        <v>3.5704294888204671</v>
      </c>
      <c r="K11" s="412">
        <f t="shared" si="2"/>
        <v>5.9377827849025264</v>
      </c>
      <c r="L11" s="412">
        <f t="shared" si="2"/>
        <v>6.5653148425772212</v>
      </c>
      <c r="M11" s="412">
        <f t="shared" si="2"/>
        <v>6.8965685542487281</v>
      </c>
      <c r="N11" s="412">
        <f t="shared" si="2"/>
        <v>7.2449017163392249</v>
      </c>
      <c r="O11" s="412">
        <f t="shared" si="2"/>
        <v>7.6112011102345525</v>
      </c>
      <c r="P11" s="412">
        <f t="shared" si="2"/>
        <v>7.9963996710650314</v>
      </c>
      <c r="Q11" s="412">
        <f t="shared" si="2"/>
        <v>8.4014788921943993</v>
      </c>
      <c r="R11" s="412">
        <f t="shared" si="2"/>
        <v>8.8274713550449526</v>
      </c>
      <c r="S11" s="412">
        <f t="shared" si="2"/>
        <v>9.2754633907951565</v>
      </c>
      <c r="T11" s="412">
        <f t="shared" si="2"/>
        <v>9.7465978808270606</v>
      </c>
      <c r="U11" s="412">
        <f t="shared" si="2"/>
        <v>10.242077203159663</v>
      </c>
      <c r="V11" s="412">
        <f t="shared" si="2"/>
        <v>10.763166332482003</v>
      </c>
      <c r="W11" s="412">
        <f t="shared" si="2"/>
        <v>11.311196101797057</v>
      </c>
      <c r="X11" s="412">
        <f t="shared" si="2"/>
        <v>11.887566634105493</v>
      </c>
      <c r="Y11" s="412">
        <f t="shared" si="2"/>
        <v>12.493750952998383</v>
      </c>
      <c r="Z11" s="415">
        <f t="shared" si="2"/>
        <v>13.131298781490614</v>
      </c>
      <c r="AA11" s="412"/>
    </row>
    <row r="12" spans="2:31" s="68" customFormat="1">
      <c r="B12" s="116"/>
      <c r="F12" s="412"/>
      <c r="G12" s="412"/>
      <c r="H12" s="412"/>
      <c r="I12" s="412"/>
      <c r="J12" s="412"/>
      <c r="K12" s="412"/>
      <c r="L12" s="412"/>
      <c r="M12" s="412"/>
      <c r="N12" s="412"/>
      <c r="O12" s="412"/>
      <c r="P12" s="412"/>
      <c r="Q12" s="412"/>
      <c r="R12" s="412"/>
      <c r="S12" s="412"/>
      <c r="T12" s="412"/>
      <c r="U12" s="412"/>
      <c r="V12" s="412"/>
      <c r="W12" s="412"/>
      <c r="X12" s="412"/>
      <c r="Y12" s="412"/>
      <c r="Z12" s="1131"/>
      <c r="AA12" s="412"/>
    </row>
    <row r="13" spans="2:31" s="68" customFormat="1">
      <c r="B13" s="420" t="s">
        <v>686</v>
      </c>
      <c r="C13" s="68" t="s">
        <v>684</v>
      </c>
      <c r="D13" s="207">
        <f>E13/$E$17</f>
        <v>0.25581009849617381</v>
      </c>
      <c r="E13" s="416">
        <f>NPV(0.1,F13:Z13)</f>
        <v>11.284466798094117</v>
      </c>
      <c r="F13" s="412">
        <f>SUM(Health!B270:B272)*F18/1000000</f>
        <v>0</v>
      </c>
      <c r="G13" s="412">
        <f>SUM(Health!C270:C272)*G18/1000000</f>
        <v>0</v>
      </c>
      <c r="H13" s="412">
        <f>SUM(Health!D270:D272)*H18/1000000</f>
        <v>6.8258997399075538E-2</v>
      </c>
      <c r="I13" s="412">
        <f>SUM(Health!E270:E272)*I18/1000000</f>
        <v>0.35896743220589611</v>
      </c>
      <c r="J13" s="412">
        <f>SUM(Health!F270:F272)*J18/1000000</f>
        <v>0.90613191961994888</v>
      </c>
      <c r="K13" s="412">
        <f>SUM(Health!G270:G272)*K18/1000000</f>
        <v>1.5089989001638873</v>
      </c>
      <c r="L13" s="412">
        <f>SUM(Health!H270:H272)*L18/1000000</f>
        <v>1.6706691649944829</v>
      </c>
      <c r="M13" s="412">
        <f>SUM(Health!I270:I272)*M18/1000000</f>
        <v>1.7571773482619608</v>
      </c>
      <c r="N13" s="412">
        <f>SUM(Health!J270:J272)*N18/1000000</f>
        <v>1.8481649736171024</v>
      </c>
      <c r="O13" s="412">
        <f>SUM(Health!K270:K272)*O18/1000000</f>
        <v>1.943863989075217</v>
      </c>
      <c r="P13" s="412">
        <f>SUM(Health!L270:L272)*P18/1000000</f>
        <v>2.0445183530495012</v>
      </c>
      <c r="Q13" s="412">
        <f>SUM(Health!M270:M272)*Q18/1000000</f>
        <v>2.1503846562561644</v>
      </c>
      <c r="R13" s="412">
        <f>SUM(Health!N270:N272)*R18/1000000</f>
        <v>2.2617327758221308</v>
      </c>
      <c r="S13" s="412">
        <f>SUM(Health!O270:O272)*S18/1000000</f>
        <v>2.3788465632628228</v>
      </c>
      <c r="T13" s="412">
        <f>SUM(Health!P270:P272)*T18/1000000</f>
        <v>2.5020245680838005</v>
      </c>
      <c r="U13" s="412">
        <f>SUM(Health!Q270:Q272)*U18/1000000</f>
        <v>2.6315807988509143</v>
      </c>
      <c r="V13" s="412">
        <f>SUM(Health!R270:R272)*V18/1000000</f>
        <v>2.7678455236690813</v>
      </c>
      <c r="W13" s="412">
        <f>SUM(Health!S270:S272)*W18/1000000</f>
        <v>2.9111661121103141</v>
      </c>
      <c r="X13" s="412">
        <f>SUM(Health!T270:T272)*X18/1000000</f>
        <v>3.061907920737243</v>
      </c>
      <c r="Y13" s="412">
        <f>SUM(Health!U270:U272)*Y18/1000000</f>
        <v>3.2204552244795464</v>
      </c>
      <c r="Z13" s="1131">
        <f>SUM(Health!V270:V272)*Z18/1000000</f>
        <v>3.3872121962375679</v>
      </c>
      <c r="AA13" s="412"/>
    </row>
    <row r="14" spans="2:31" s="68" customFormat="1">
      <c r="B14" s="420" t="s">
        <v>685</v>
      </c>
      <c r="C14" s="68" t="s">
        <v>684</v>
      </c>
      <c r="D14" s="207">
        <f>E14/$E$17</f>
        <v>0.62113753119462867</v>
      </c>
      <c r="E14" s="416">
        <f>NPV(0.1,F14:Z14)</f>
        <v>27.400035764892891</v>
      </c>
      <c r="F14" s="412">
        <v>0</v>
      </c>
      <c r="G14" s="412">
        <f>G$18*$D$5*'Travel Time Analysis'!E11</f>
        <v>0</v>
      </c>
      <c r="H14" s="412">
        <f>H$18*$D$5*'Travel Time Analysis'!F11</f>
        <v>0.16616242231988834</v>
      </c>
      <c r="I14" s="412">
        <f>I$18*$D$5*'Travel Time Analysis'!G11</f>
        <v>0.87352436303012837</v>
      </c>
      <c r="J14" s="412">
        <f>J$18*$D$5*'Travel Time Analysis'!H11</f>
        <v>2.2042697356231646</v>
      </c>
      <c r="K14" s="412">
        <f>K$18*$D$5*'Travel Time Analysis'!I11</f>
        <v>3.6696248285496917</v>
      </c>
      <c r="L14" s="412">
        <f>L$18*$D$5*'Travel Time Analysis'!J11</f>
        <v>4.0615197058159955</v>
      </c>
      <c r="M14" s="412">
        <f>M$18*$D$5*'Travel Time Analysis'!K11</f>
        <v>4.2705601037640841</v>
      </c>
      <c r="N14" s="412">
        <f>N$18*$D$5*'Travel Time Analysis'!L11</f>
        <v>4.4904175237553794</v>
      </c>
      <c r="O14" s="412">
        <f>O$18*$D$5*'Travel Time Analysis'!M11</f>
        <v>4.7216530127824194</v>
      </c>
      <c r="P14" s="412">
        <f>P$18*$D$5*'Travel Time Analysis'!N11</f>
        <v>4.9648567513310979</v>
      </c>
      <c r="Q14" s="412">
        <f>Q$18*$D$5*'Travel Time Analysis'!O11</f>
        <v>5.2206495671762978</v>
      </c>
      <c r="R14" s="412">
        <f>R$18*$D$5*'Travel Time Analysis'!P11</f>
        <v>5.4896845278724502</v>
      </c>
      <c r="S14" s="412">
        <f>S$18*$D$5*'Travel Time Analysis'!Q11</f>
        <v>5.7726486160319279</v>
      </c>
      <c r="T14" s="412">
        <f>T$18*$D$5*'Travel Time Analysis'!R11</f>
        <v>6.0702644916972162</v>
      </c>
      <c r="U14" s="412">
        <f>U$18*$D$5*'Travel Time Analysis'!S11</f>
        <v>6.3832923463368845</v>
      </c>
      <c r="V14" s="412">
        <f>V$18*$D$5*'Travel Time Analysis'!T11</f>
        <v>6.7125318532311686</v>
      </c>
      <c r="W14" s="412">
        <f>W$18*$D$5*'Travel Time Analysis'!U11</f>
        <v>7.0588242192610329</v>
      </c>
      <c r="X14" s="412">
        <f>X$18*$D$5*'Travel Time Analysis'!V11</f>
        <v>7.423054343375532</v>
      </c>
      <c r="Y14" s="412">
        <f>Y$18*$D$5*'Travel Time Analysis'!W11</f>
        <v>7.8061530872869334</v>
      </c>
      <c r="Z14" s="1131">
        <f>Z$18*$D$5*'Travel Time Analysis'!X11</f>
        <v>8.2090996642318412</v>
      </c>
      <c r="AA14" s="412"/>
    </row>
    <row r="15" spans="2:31" s="68" customFormat="1">
      <c r="B15" s="419" t="s">
        <v>531</v>
      </c>
      <c r="C15" s="68" t="s">
        <v>684</v>
      </c>
      <c r="D15" s="207">
        <f>E15/$E$17</f>
        <v>3.0459417648619706E-2</v>
      </c>
      <c r="E15" s="416">
        <f>NPV(0.1,F15:Z15)</f>
        <v>1.3436462796650386</v>
      </c>
      <c r="F15" s="417">
        <f>F$18*($D$4*D238+$D$5*D243)/1000000</f>
        <v>0</v>
      </c>
      <c r="G15" s="417">
        <f>G$18*(E243)/1000000</f>
        <v>0</v>
      </c>
      <c r="H15" s="417">
        <f>H$18*(F243)/1000000</f>
        <v>1.1025030425488554E-2</v>
      </c>
      <c r="I15" s="417">
        <f>I$18*(G243)/1000000</f>
        <v>5.5951294395337699E-2</v>
      </c>
      <c r="J15" s="417">
        <f t="shared" ref="J15:Z15" si="3">J$18*(H243)/1000000</f>
        <v>0.13629556404541257</v>
      </c>
      <c r="K15" s="417">
        <f t="shared" si="3"/>
        <v>0.21903545638689959</v>
      </c>
      <c r="L15" s="417">
        <f t="shared" si="3"/>
        <v>0.2340190256957761</v>
      </c>
      <c r="M15" s="417">
        <f t="shared" si="3"/>
        <v>0.23752620031888788</v>
      </c>
      <c r="N15" s="417">
        <f t="shared" si="3"/>
        <v>0.24108593836219644</v>
      </c>
      <c r="O15" s="417">
        <f t="shared" si="3"/>
        <v>0.24469902765070092</v>
      </c>
      <c r="P15" s="417">
        <f t="shared" si="3"/>
        <v>0.24836626781792737</v>
      </c>
      <c r="Q15" s="417">
        <f t="shared" si="3"/>
        <v>0.25208847048293248</v>
      </c>
      <c r="R15" s="417">
        <f t="shared" si="3"/>
        <v>0.25586645942995961</v>
      </c>
      <c r="S15" s="417">
        <f t="shared" si="3"/>
        <v>0.25970107079078875</v>
      </c>
      <c r="T15" s="417">
        <f t="shared" si="3"/>
        <v>0.26359315322981985</v>
      </c>
      <c r="U15" s="417">
        <f t="shared" si="3"/>
        <v>0.2675435681319302</v>
      </c>
      <c r="V15" s="417">
        <f t="shared" si="3"/>
        <v>0.27155318979314808</v>
      </c>
      <c r="W15" s="417">
        <f t="shared" si="3"/>
        <v>0.27562290561418462</v>
      </c>
      <c r="X15" s="417">
        <f t="shared" si="3"/>
        <v>0.27975361629686657</v>
      </c>
      <c r="Y15" s="417">
        <f t="shared" si="3"/>
        <v>0.2839462360435141</v>
      </c>
      <c r="Z15" s="1148">
        <f t="shared" si="3"/>
        <v>0.28820169275930663</v>
      </c>
      <c r="AA15" s="412"/>
    </row>
    <row r="16" spans="2:31" s="68" customFormat="1">
      <c r="B16" s="418" t="s">
        <v>523</v>
      </c>
      <c r="C16" s="68" t="s">
        <v>684</v>
      </c>
      <c r="D16" s="207">
        <f>E16/$E$17</f>
        <v>9.259295266057796E-2</v>
      </c>
      <c r="E16" s="416">
        <f>NPV(0.1,F16:Z16)</f>
        <v>4.0845224882762805</v>
      </c>
      <c r="F16" s="417">
        <f t="shared" ref="F16:Z16" si="4">F$18*($D$4*D251+$D$5*D252)/1000000</f>
        <v>0</v>
      </c>
      <c r="G16" s="417">
        <f>G$18*($D$4*E251+$D$5*E252)/1000000</f>
        <v>0</v>
      </c>
      <c r="H16" s="417">
        <f t="shared" si="4"/>
        <v>2.4296019782169154E-2</v>
      </c>
      <c r="I16" s="417">
        <f t="shared" si="4"/>
        <v>0.12800883453133996</v>
      </c>
      <c r="J16" s="417">
        <f t="shared" si="4"/>
        <v>0.32373226953194073</v>
      </c>
      <c r="K16" s="417">
        <f t="shared" si="4"/>
        <v>0.5401235998020476</v>
      </c>
      <c r="L16" s="417">
        <f t="shared" si="4"/>
        <v>0.59910694607096682</v>
      </c>
      <c r="M16" s="417">
        <f t="shared" si="4"/>
        <v>0.63130490190379507</v>
      </c>
      <c r="N16" s="417">
        <f t="shared" si="4"/>
        <v>0.66523328060454645</v>
      </c>
      <c r="O16" s="417">
        <f t="shared" si="4"/>
        <v>0.70098508072621524</v>
      </c>
      <c r="P16" s="417">
        <f t="shared" si="4"/>
        <v>0.7386582988665048</v>
      </c>
      <c r="Q16" s="417">
        <f t="shared" si="4"/>
        <v>0.7783561982790056</v>
      </c>
      <c r="R16" s="417">
        <f t="shared" si="4"/>
        <v>0.82018759192041213</v>
      </c>
      <c r="S16" s="417">
        <f t="shared" si="4"/>
        <v>0.86426714070961785</v>
      </c>
      <c r="T16" s="417">
        <f t="shared" si="4"/>
        <v>0.9107156678162236</v>
      </c>
      <c r="U16" s="417">
        <f t="shared" si="4"/>
        <v>0.95966048983993291</v>
      </c>
      <c r="V16" s="417">
        <f t="shared" si="4"/>
        <v>1.0112357657886053</v>
      </c>
      <c r="W16" s="417">
        <f t="shared" si="4"/>
        <v>1.0655828648115251</v>
      </c>
      <c r="X16" s="417">
        <f t="shared" si="4"/>
        <v>1.1228507536958512</v>
      </c>
      <c r="Y16" s="417">
        <f t="shared" si="4"/>
        <v>1.1831964051883888</v>
      </c>
      <c r="Z16" s="1148">
        <f t="shared" si="4"/>
        <v>1.2467852282618976</v>
      </c>
      <c r="AA16" s="412"/>
    </row>
    <row r="17" spans="2:30" s="68" customFormat="1">
      <c r="B17" s="116"/>
      <c r="D17" s="207">
        <f>E17/$E$17</f>
        <v>1</v>
      </c>
      <c r="E17" s="416">
        <f>SUM(E13:E16)</f>
        <v>44.112671330928322</v>
      </c>
      <c r="F17" s="412"/>
      <c r="G17" s="412"/>
      <c r="H17" s="412"/>
      <c r="I17" s="412"/>
      <c r="J17" s="412"/>
      <c r="K17" s="412"/>
      <c r="L17" s="412"/>
      <c r="M17" s="412"/>
      <c r="N17" s="412"/>
      <c r="O17" s="412"/>
      <c r="P17" s="412"/>
      <c r="Q17" s="412"/>
      <c r="R17" s="412"/>
      <c r="S17" s="412"/>
      <c r="T17" s="412"/>
      <c r="U17" s="412"/>
      <c r="V17" s="412"/>
      <c r="W17" s="412"/>
      <c r="X17" s="412"/>
      <c r="Y17" s="412"/>
      <c r="Z17" s="1131"/>
      <c r="AA17" s="412"/>
    </row>
    <row r="18" spans="2:30" s="68" customFormat="1">
      <c r="B18" s="30" t="s">
        <v>382</v>
      </c>
      <c r="C18" s="200" t="s">
        <v>224</v>
      </c>
      <c r="D18" s="200"/>
      <c r="E18" s="200"/>
      <c r="F18" s="245">
        <f>Health!B274</f>
        <v>0</v>
      </c>
      <c r="G18" s="245">
        <f>Health!C274</f>
        <v>0</v>
      </c>
      <c r="H18" s="245">
        <f>Health!D274</f>
        <v>0.05</v>
      </c>
      <c r="I18" s="245">
        <f>Health!E274</f>
        <v>0.25</v>
      </c>
      <c r="J18" s="245">
        <f>Health!F274</f>
        <v>0.6</v>
      </c>
      <c r="K18" s="245">
        <f>Health!G274</f>
        <v>0.95</v>
      </c>
      <c r="L18" s="245">
        <f>Health!H274</f>
        <v>1</v>
      </c>
      <c r="M18" s="245">
        <f>Health!I274</f>
        <v>1</v>
      </c>
      <c r="N18" s="245">
        <f t="shared" ref="N18:Z18" si="5">M18</f>
        <v>1</v>
      </c>
      <c r="O18" s="245">
        <f t="shared" si="5"/>
        <v>1</v>
      </c>
      <c r="P18" s="245">
        <f t="shared" si="5"/>
        <v>1</v>
      </c>
      <c r="Q18" s="245">
        <f t="shared" si="5"/>
        <v>1</v>
      </c>
      <c r="R18" s="245">
        <f t="shared" si="5"/>
        <v>1</v>
      </c>
      <c r="S18" s="245">
        <f t="shared" si="5"/>
        <v>1</v>
      </c>
      <c r="T18" s="245">
        <f t="shared" si="5"/>
        <v>1</v>
      </c>
      <c r="U18" s="245">
        <f t="shared" si="5"/>
        <v>1</v>
      </c>
      <c r="V18" s="245">
        <f t="shared" si="5"/>
        <v>1</v>
      </c>
      <c r="W18" s="245">
        <f t="shared" si="5"/>
        <v>1</v>
      </c>
      <c r="X18" s="245">
        <f t="shared" si="5"/>
        <v>1</v>
      </c>
      <c r="Y18" s="245">
        <f t="shared" si="5"/>
        <v>1</v>
      </c>
      <c r="Z18" s="413">
        <f t="shared" si="5"/>
        <v>1</v>
      </c>
      <c r="AA18" s="412"/>
    </row>
    <row r="19" spans="2:30" s="68" customFormat="1" ht="15" thickBot="1">
      <c r="B19" s="411"/>
      <c r="C19" s="410"/>
      <c r="D19" s="410"/>
      <c r="E19" s="409"/>
      <c r="F19" s="409"/>
      <c r="G19" s="409"/>
      <c r="H19" s="409"/>
      <c r="I19" s="409"/>
      <c r="J19" s="409"/>
      <c r="K19" s="409"/>
      <c r="L19" s="409"/>
      <c r="M19" s="409"/>
      <c r="N19" s="409"/>
      <c r="O19" s="409"/>
      <c r="P19" s="409"/>
      <c r="Q19" s="409"/>
      <c r="R19" s="409"/>
      <c r="S19" s="409"/>
      <c r="T19" s="409"/>
      <c r="U19" s="409"/>
      <c r="V19" s="409"/>
      <c r="W19" s="409"/>
      <c r="X19" s="409"/>
      <c r="Y19" s="409"/>
      <c r="Z19" s="113"/>
      <c r="AA19" s="201"/>
      <c r="AD19" s="68" t="s">
        <v>78</v>
      </c>
    </row>
    <row r="20" spans="2:30" s="406" customFormat="1">
      <c r="C20" s="406" t="s">
        <v>683</v>
      </c>
      <c r="D20" s="408"/>
      <c r="G20" s="407">
        <f>Costs!E15</f>
        <v>5.2502767234637151</v>
      </c>
      <c r="H20" s="407">
        <f>Costs!F15</f>
        <v>17.08276353138676</v>
      </c>
      <c r="I20" s="407">
        <f>Costs!G15</f>
        <v>20.637435837470303</v>
      </c>
      <c r="J20" s="407">
        <f>Costs!H15</f>
        <v>40.820158154566542</v>
      </c>
      <c r="K20" s="407">
        <f>Costs!I15</f>
        <v>10.20618616342634</v>
      </c>
      <c r="L20" s="407">
        <f>Costs!J15</f>
        <v>0.62928113252364037</v>
      </c>
      <c r="M20" s="407">
        <f>Costs!K15</f>
        <v>0.62928113252364037</v>
      </c>
      <c r="N20" s="407">
        <f>Costs!L15</f>
        <v>0.62928113252364037</v>
      </c>
      <c r="O20" s="407">
        <f>Costs!M15</f>
        <v>0.62928113252364037</v>
      </c>
      <c r="P20" s="407">
        <f>Costs!N15</f>
        <v>0.62928113252364037</v>
      </c>
      <c r="Q20" s="407">
        <f>Costs!O15</f>
        <v>0.62928113252364037</v>
      </c>
      <c r="R20" s="407">
        <f>Costs!P15</f>
        <v>0.62928113252364037</v>
      </c>
      <c r="S20" s="407">
        <f>Costs!Q15</f>
        <v>0.62928113252364037</v>
      </c>
      <c r="T20" s="407">
        <f>Costs!R15</f>
        <v>0.62928113252364037</v>
      </c>
      <c r="U20" s="407">
        <f>Costs!S15</f>
        <v>0.62928113252364037</v>
      </c>
      <c r="V20" s="407">
        <f>Costs!T15</f>
        <v>0.62928113252364037</v>
      </c>
      <c r="W20" s="407">
        <f>Costs!U15</f>
        <v>0.62928113252364037</v>
      </c>
      <c r="X20" s="407">
        <f>Costs!V15</f>
        <v>0.62928113252364037</v>
      </c>
      <c r="Y20" s="407">
        <f>Costs!W15</f>
        <v>0.62928113252364037</v>
      </c>
      <c r="Z20" s="407">
        <f>Costs!X15</f>
        <v>0.62928113252364037</v>
      </c>
    </row>
    <row r="21" spans="2:30" s="403" customFormat="1">
      <c r="C21" s="403" t="s">
        <v>682</v>
      </c>
      <c r="D21" s="405"/>
      <c r="G21" s="404">
        <f t="shared" ref="G21:Z21" si="6">G11-G20</f>
        <v>-5.2502767234637151</v>
      </c>
      <c r="H21" s="404">
        <f t="shared" si="6"/>
        <v>-16.813021061460137</v>
      </c>
      <c r="I21" s="404">
        <f t="shared" si="6"/>
        <v>-19.220983913307599</v>
      </c>
      <c r="J21" s="404">
        <f t="shared" si="6"/>
        <v>-37.249728665746076</v>
      </c>
      <c r="K21" s="404">
        <f t="shared" si="6"/>
        <v>-4.2684033785238134</v>
      </c>
      <c r="L21" s="404">
        <f t="shared" si="6"/>
        <v>5.9360337100535805</v>
      </c>
      <c r="M21" s="404">
        <f t="shared" si="6"/>
        <v>6.2672874217250873</v>
      </c>
      <c r="N21" s="404">
        <f t="shared" si="6"/>
        <v>6.6156205838155842</v>
      </c>
      <c r="O21" s="404">
        <f t="shared" si="6"/>
        <v>6.9819199777109118</v>
      </c>
      <c r="P21" s="404">
        <f t="shared" si="6"/>
        <v>7.3671185385413906</v>
      </c>
      <c r="Q21" s="404">
        <f t="shared" si="6"/>
        <v>7.7721977596707585</v>
      </c>
      <c r="R21" s="404">
        <f t="shared" si="6"/>
        <v>8.1981902225213119</v>
      </c>
      <c r="S21" s="404">
        <f t="shared" si="6"/>
        <v>8.6461822582715158</v>
      </c>
      <c r="T21" s="404">
        <f t="shared" si="6"/>
        <v>9.1173167483034199</v>
      </c>
      <c r="U21" s="404">
        <f t="shared" si="6"/>
        <v>9.6127960706360227</v>
      </c>
      <c r="V21" s="404">
        <f t="shared" si="6"/>
        <v>10.133885199958362</v>
      </c>
      <c r="W21" s="404">
        <f t="shared" si="6"/>
        <v>10.681914969273416</v>
      </c>
      <c r="X21" s="404">
        <f t="shared" si="6"/>
        <v>11.258285501581852</v>
      </c>
      <c r="Y21" s="404">
        <f t="shared" si="6"/>
        <v>11.864469820474742</v>
      </c>
      <c r="Z21" s="404">
        <f t="shared" si="6"/>
        <v>12.502017648966973</v>
      </c>
    </row>
    <row r="22" spans="2:30" s="68" customFormat="1" ht="15.5">
      <c r="B22" s="192" t="s">
        <v>681</v>
      </c>
      <c r="Y22" s="201"/>
    </row>
    <row r="24" spans="2:30" ht="15.5">
      <c r="B24" s="259" t="s">
        <v>680</v>
      </c>
      <c r="C24" s="6"/>
      <c r="D24" s="6"/>
      <c r="E24" s="6"/>
      <c r="F24" s="6"/>
      <c r="G24" s="6"/>
      <c r="H24" s="6"/>
    </row>
    <row r="25" spans="2:30">
      <c r="B25" s="395" t="s">
        <v>522</v>
      </c>
      <c r="C25" s="402"/>
      <c r="D25" s="392"/>
      <c r="E25" s="393"/>
      <c r="F25" s="394" t="s">
        <v>672</v>
      </c>
      <c r="G25" s="393"/>
      <c r="H25" s="394"/>
      <c r="I25" s="393" t="s">
        <v>347</v>
      </c>
      <c r="J25" s="393"/>
      <c r="K25" s="393"/>
      <c r="L25" s="393"/>
      <c r="M25" s="392"/>
      <c r="N25" s="392"/>
    </row>
    <row r="26" spans="2:30" ht="45" customHeight="1">
      <c r="B26" s="387" t="s">
        <v>671</v>
      </c>
      <c r="C26" s="401" t="s">
        <v>670</v>
      </c>
      <c r="D26" s="391" t="s">
        <v>596</v>
      </c>
      <c r="E26" s="391" t="s">
        <v>669</v>
      </c>
      <c r="F26" s="401" t="s">
        <v>668</v>
      </c>
      <c r="G26" s="401" t="s">
        <v>679</v>
      </c>
      <c r="H26" s="401" t="s">
        <v>667</v>
      </c>
      <c r="I26" s="401" t="s">
        <v>679</v>
      </c>
      <c r="J26" s="401" t="s">
        <v>1673</v>
      </c>
      <c r="K26" s="401" t="s">
        <v>679</v>
      </c>
      <c r="L26" s="401" t="s">
        <v>678</v>
      </c>
      <c r="M26" s="284" t="s">
        <v>677</v>
      </c>
      <c r="R26" s="1389" t="s">
        <v>1674</v>
      </c>
      <c r="S26" s="1389"/>
      <c r="T26" s="1389"/>
      <c r="U26" s="1389"/>
      <c r="V26" s="1389"/>
      <c r="W26" s="1389"/>
      <c r="X26" s="1389"/>
      <c r="Y26" s="1389"/>
      <c r="Z26" s="1389"/>
      <c r="AA26" s="1389"/>
      <c r="AB26" s="1389"/>
    </row>
    <row r="27" spans="2:30">
      <c r="B27" s="387" t="s">
        <v>665</v>
      </c>
      <c r="C27" s="390"/>
      <c r="D27" s="389"/>
      <c r="E27" s="10">
        <f>1-SUM(F27:J27)</f>
        <v>0.34999999999999987</v>
      </c>
      <c r="F27" s="388">
        <v>0.4</v>
      </c>
      <c r="G27" s="295"/>
      <c r="H27" s="388">
        <v>0.2</v>
      </c>
      <c r="I27" s="295"/>
      <c r="J27" s="388">
        <v>0.05</v>
      </c>
      <c r="K27" s="295"/>
      <c r="L27" s="295"/>
      <c r="M27" s="284"/>
      <c r="Q27" s="1202"/>
      <c r="R27" s="1202"/>
      <c r="S27" s="1202"/>
      <c r="T27" s="1202"/>
      <c r="U27" s="1202"/>
      <c r="V27" s="1202"/>
      <c r="W27" s="1202"/>
      <c r="X27" s="1202"/>
    </row>
    <row r="28" spans="2:30">
      <c r="B28" s="387" t="s">
        <v>664</v>
      </c>
      <c r="C28" s="386"/>
      <c r="F28" s="385">
        <f>3/52</f>
        <v>5.7692307692307696E-2</v>
      </c>
      <c r="G28" s="295"/>
      <c r="H28" s="385">
        <f>10/52</f>
        <v>0.19230769230769232</v>
      </c>
      <c r="I28" s="295"/>
      <c r="J28" s="385">
        <f>16/52</f>
        <v>0.30769230769230771</v>
      </c>
      <c r="K28" s="295"/>
      <c r="L28" s="400">
        <f>E27*E28+F27*F28+H27*H28+J27*J28</f>
        <v>7.6923076923076927E-2</v>
      </c>
      <c r="M28" s="284" t="s">
        <v>676</v>
      </c>
      <c r="R28" s="1201" t="s">
        <v>1675</v>
      </c>
    </row>
    <row r="29" spans="2:30">
      <c r="B29" s="383" t="s">
        <v>585</v>
      </c>
      <c r="C29" s="1" t="s">
        <v>663</v>
      </c>
      <c r="D29" s="6"/>
      <c r="E29" s="6"/>
      <c r="F29" s="6"/>
      <c r="G29" s="6"/>
      <c r="H29" s="6"/>
      <c r="I29" s="6"/>
      <c r="J29" s="6"/>
      <c r="K29" s="6"/>
      <c r="L29" s="6"/>
      <c r="M29" s="282" t="s">
        <v>659</v>
      </c>
    </row>
    <row r="30" spans="2:30">
      <c r="B30" s="383" t="s">
        <v>568</v>
      </c>
      <c r="C30" s="6" t="s">
        <v>662</v>
      </c>
      <c r="D30" s="6"/>
      <c r="E30" s="6"/>
      <c r="F30" s="6"/>
      <c r="G30" s="6"/>
      <c r="H30" s="6"/>
      <c r="I30" s="6"/>
      <c r="J30" s="6"/>
      <c r="K30" s="6"/>
      <c r="L30" s="6"/>
      <c r="M30" s="282" t="s">
        <v>659</v>
      </c>
    </row>
    <row r="31" spans="2:30" s="6" customFormat="1">
      <c r="B31" s="399"/>
      <c r="F31" s="6">
        <f>0.65-(0.65*F18)</f>
        <v>0.65</v>
      </c>
      <c r="G31" s="6">
        <f t="shared" ref="G31:L31" si="7">0.65-(0.65*G18)</f>
        <v>0.65</v>
      </c>
      <c r="H31" s="6">
        <f t="shared" si="7"/>
        <v>0.61750000000000005</v>
      </c>
      <c r="I31" s="6">
        <f t="shared" si="7"/>
        <v>0.48750000000000004</v>
      </c>
      <c r="J31" s="6">
        <f t="shared" si="7"/>
        <v>0.26</v>
      </c>
      <c r="K31" s="6">
        <f t="shared" si="7"/>
        <v>3.2500000000000084E-2</v>
      </c>
      <c r="L31" s="6">
        <f t="shared" si="7"/>
        <v>0</v>
      </c>
    </row>
    <row r="32" spans="2:30" ht="45" customHeight="1">
      <c r="B32" s="379" t="s">
        <v>563</v>
      </c>
      <c r="C32" s="311" t="s">
        <v>661</v>
      </c>
      <c r="E32" s="278">
        <v>0</v>
      </c>
      <c r="G32" s="382" t="s">
        <v>660</v>
      </c>
      <c r="H32" s="9"/>
      <c r="I32" s="382" t="s">
        <v>660</v>
      </c>
      <c r="J32" s="9"/>
      <c r="K32" s="382" t="s">
        <v>660</v>
      </c>
      <c r="M32" s="282" t="s">
        <v>659</v>
      </c>
    </row>
    <row r="33" spans="2:15">
      <c r="B33" s="266" t="s">
        <v>522</v>
      </c>
      <c r="C33" s="311"/>
      <c r="D33" s="186"/>
      <c r="E33" s="278"/>
      <c r="F33" s="382"/>
      <c r="H33" s="9"/>
      <c r="J33" s="9"/>
    </row>
    <row r="34" spans="2:15">
      <c r="B34" s="267" t="s">
        <v>518</v>
      </c>
      <c r="C34" s="311"/>
      <c r="D34" s="186" t="s">
        <v>224</v>
      </c>
      <c r="E34" s="9">
        <v>0</v>
      </c>
      <c r="F34" s="381">
        <f>$E$126*$D$173*$D$176+$E$127*$D$174*$D$178</f>
        <v>6.2241204437400947E-3</v>
      </c>
      <c r="H34" s="381">
        <f>$E$126*$D$173*$D$177+$E$127*$D$174*$D$179</f>
        <v>2.6523613312202852E-2</v>
      </c>
      <c r="J34" s="381">
        <f>$E$126*$D$173+$E$127*$D$174</f>
        <v>6.4600316957210774E-2</v>
      </c>
      <c r="L34" s="380">
        <f>$E$27*E34+$F$27*F34+$H$27*H34+$J$27*J34</f>
        <v>1.1024386687797146E-2</v>
      </c>
    </row>
    <row r="35" spans="2:15">
      <c r="B35" s="267" t="s">
        <v>50</v>
      </c>
      <c r="C35" s="311"/>
      <c r="D35" s="186" t="s">
        <v>224</v>
      </c>
      <c r="E35" s="9">
        <v>0</v>
      </c>
      <c r="F35" s="381">
        <f>$F$126*$D$173*$D$176+$F$127*$D$174*$D$178</f>
        <v>6.2241204437400947E-3</v>
      </c>
      <c r="H35" s="381">
        <f>$F$126*$D$173*$D$177+$F$127*$D$174*$D$179</f>
        <v>2.6523613312202852E-2</v>
      </c>
      <c r="J35" s="381">
        <f>$F$126*$D$173+$F$127*$D$174</f>
        <v>6.4600316957210774E-2</v>
      </c>
      <c r="L35" s="380">
        <f>$E$27*E35+$F$27*F35+$H$27*H35+$J$27*J35</f>
        <v>1.1024386687797146E-2</v>
      </c>
    </row>
    <row r="36" spans="2:15">
      <c r="B36" s="262" t="s">
        <v>529</v>
      </c>
      <c r="C36" s="311"/>
      <c r="D36" s="186" t="s">
        <v>224</v>
      </c>
      <c r="E36" s="9">
        <v>0</v>
      </c>
      <c r="F36" s="381">
        <f>$G$126*$D$173*$D$176+$G$127*$D$174*$D$178</f>
        <v>7.6544781300624828E-5</v>
      </c>
      <c r="H36" s="381">
        <f>$G$126*$D$173*$D$177+$G$127*$D$174*$D$179</f>
        <v>2.5514927100208279E-4</v>
      </c>
      <c r="J36" s="381">
        <f>$G$126*$D$173+$G$127*$D$174</f>
        <v>5.1029854200416557E-4</v>
      </c>
      <c r="L36" s="380">
        <f>$E$27*E36+$F$27*F36+$H$27*H36+$J$27*J36</f>
        <v>1.0716269382087476E-4</v>
      </c>
    </row>
    <row r="37" spans="2:15">
      <c r="B37" s="262" t="s">
        <v>528</v>
      </c>
      <c r="C37" s="311"/>
      <c r="D37" s="186" t="s">
        <v>224</v>
      </c>
      <c r="E37" s="9">
        <v>0</v>
      </c>
      <c r="F37" s="381">
        <f>$H$126*$D$173*$D$176+$H$127*$D$174*$D$178</f>
        <v>2.6249999999999998E-4</v>
      </c>
      <c r="H37" s="381">
        <f>$H$126*$D$173*$D$177+$H$127*$D$174*$D$179</f>
        <v>8.7499999999999991E-4</v>
      </c>
      <c r="J37" s="381">
        <f>$H$126*$D$173+$H$127*$D$174</f>
        <v>1.7499999999999998E-3</v>
      </c>
      <c r="L37" s="380">
        <f>$E$27*E37+$F$27*F37+$H$27*H37+$J$27*J37</f>
        <v>3.6749999999999999E-4</v>
      </c>
    </row>
    <row r="38" spans="2:15" ht="43.5">
      <c r="B38" s="379" t="s">
        <v>552</v>
      </c>
      <c r="C38" s="396" t="s">
        <v>675</v>
      </c>
      <c r="D38" s="186" t="s">
        <v>224</v>
      </c>
      <c r="E38" s="278">
        <v>0</v>
      </c>
      <c r="F38" s="398">
        <f>F28*$D$186</f>
        <v>1.1538461538461539E-2</v>
      </c>
      <c r="G38" s="278"/>
      <c r="H38" s="398">
        <f>H28*$D$186</f>
        <v>3.8461538461538464E-2</v>
      </c>
      <c r="I38" s="278"/>
      <c r="J38" s="398">
        <f>J28*$D$186</f>
        <v>6.1538461538461542E-2</v>
      </c>
      <c r="M38" s="282" t="s">
        <v>674</v>
      </c>
    </row>
    <row r="39" spans="2:15">
      <c r="B39" s="378" t="s">
        <v>630</v>
      </c>
      <c r="C39" s="397" t="s">
        <v>673</v>
      </c>
      <c r="D39" s="186"/>
      <c r="F39" s="103"/>
      <c r="H39" s="103"/>
      <c r="J39" s="103"/>
      <c r="M39" s="1" t="s">
        <v>657</v>
      </c>
    </row>
    <row r="40" spans="2:15">
      <c r="B40" s="279"/>
      <c r="C40" s="396"/>
      <c r="D40" s="186"/>
    </row>
    <row r="41" spans="2:15">
      <c r="B41" s="395" t="s">
        <v>514</v>
      </c>
      <c r="C41" s="392"/>
      <c r="D41" s="392"/>
      <c r="E41" s="393"/>
      <c r="F41" s="394" t="s">
        <v>672</v>
      </c>
      <c r="G41" s="393"/>
      <c r="H41" s="394"/>
      <c r="I41" s="393" t="s">
        <v>347</v>
      </c>
      <c r="J41" s="393"/>
      <c r="K41" s="393"/>
      <c r="L41" s="393"/>
      <c r="M41" s="392"/>
      <c r="N41" s="392"/>
    </row>
    <row r="42" spans="2:15" ht="29">
      <c r="B42" s="387" t="s">
        <v>671</v>
      </c>
      <c r="C42" s="386" t="s">
        <v>670</v>
      </c>
      <c r="D42" s="391" t="s">
        <v>596</v>
      </c>
      <c r="E42" s="173" t="s">
        <v>669</v>
      </c>
      <c r="F42" s="386" t="s">
        <v>668</v>
      </c>
      <c r="G42" s="386" t="s">
        <v>667</v>
      </c>
      <c r="H42" s="386" t="s">
        <v>666</v>
      </c>
      <c r="I42" s="195"/>
      <c r="N42" s="225">
        <v>1</v>
      </c>
      <c r="O42" s="1" t="s">
        <v>421</v>
      </c>
    </row>
    <row r="43" spans="2:15">
      <c r="B43" s="387" t="s">
        <v>665</v>
      </c>
      <c r="C43" s="390"/>
      <c r="D43" s="389"/>
      <c r="E43" s="10">
        <f>1-SUM(F43:H43)</f>
        <v>0.34999999999999987</v>
      </c>
      <c r="F43" s="388">
        <v>0.4</v>
      </c>
      <c r="G43" s="388">
        <v>0.2</v>
      </c>
      <c r="H43" s="388">
        <v>0.05</v>
      </c>
      <c r="O43" s="103">
        <v>7.6923076923076927E-2</v>
      </c>
    </row>
    <row r="44" spans="2:15">
      <c r="B44" s="387" t="s">
        <v>664</v>
      </c>
      <c r="C44" s="386"/>
      <c r="F44" s="385">
        <f>3/52</f>
        <v>5.7692307692307696E-2</v>
      </c>
      <c r="G44" s="385">
        <f>10/52</f>
        <v>0.19230769230769232</v>
      </c>
      <c r="H44" s="385">
        <f>16/52</f>
        <v>0.30769230769230771</v>
      </c>
      <c r="L44" s="384">
        <f>(E43*E44+F43*F44+G43*G44+H43*H44)*N42</f>
        <v>7.6923076923076927E-2</v>
      </c>
      <c r="O44" s="222"/>
    </row>
    <row r="45" spans="2:15">
      <c r="B45" s="383" t="s">
        <v>585</v>
      </c>
      <c r="C45" s="1" t="s">
        <v>663</v>
      </c>
      <c r="M45" s="282" t="s">
        <v>659</v>
      </c>
      <c r="N45" s="132" t="s">
        <v>418</v>
      </c>
      <c r="O45" s="220">
        <f>(O44-O43)/O43</f>
        <v>-1</v>
      </c>
    </row>
    <row r="46" spans="2:15">
      <c r="B46" s="383" t="s">
        <v>568</v>
      </c>
      <c r="C46" s="6" t="s">
        <v>662</v>
      </c>
      <c r="M46" s="1" t="s">
        <v>657</v>
      </c>
    </row>
    <row r="47" spans="2:15" ht="45" customHeight="1">
      <c r="B47" s="379" t="s">
        <v>563</v>
      </c>
      <c r="C47" s="311" t="s">
        <v>661</v>
      </c>
      <c r="E47" s="278">
        <v>0</v>
      </c>
      <c r="G47" s="382" t="s">
        <v>660</v>
      </c>
      <c r="H47" s="9"/>
      <c r="I47" s="382" t="s">
        <v>660</v>
      </c>
      <c r="J47" s="9"/>
      <c r="K47" s="382" t="s">
        <v>660</v>
      </c>
      <c r="M47" s="282" t="s">
        <v>659</v>
      </c>
    </row>
    <row r="48" spans="2:15">
      <c r="B48" s="266" t="s">
        <v>514</v>
      </c>
      <c r="C48" s="311"/>
      <c r="D48" s="186"/>
      <c r="E48" s="278"/>
      <c r="F48" s="382"/>
      <c r="H48" s="9"/>
      <c r="J48" s="9"/>
    </row>
    <row r="49" spans="2:32">
      <c r="B49" s="262" t="s">
        <v>526</v>
      </c>
      <c r="C49" s="311"/>
      <c r="D49" s="186" t="s">
        <v>224</v>
      </c>
      <c r="E49" s="9">
        <v>0</v>
      </c>
      <c r="F49" s="381">
        <f>$K$126*$D$173*$D$176+$K$127*$D$174*$D$178</f>
        <v>1.826086956521739E-3</v>
      </c>
      <c r="H49" s="381">
        <f>$K$126*$D$173*$D$177+$K$127*$D$174*$D$179</f>
        <v>6.0869565217391303E-3</v>
      </c>
      <c r="J49" s="381">
        <f>$K$126*$D$173+$K$127*$D$174</f>
        <v>1.2173913043478261E-2</v>
      </c>
      <c r="L49" s="380">
        <f>$E$27*E49+$F$27*F49+$H$27*H49+$J$27*J49</f>
        <v>2.5565217391304348E-3</v>
      </c>
    </row>
    <row r="50" spans="2:32">
      <c r="B50" s="262" t="s">
        <v>525</v>
      </c>
      <c r="C50" s="311"/>
      <c r="D50" s="186" t="s">
        <v>224</v>
      </c>
      <c r="E50" s="9">
        <v>0</v>
      </c>
      <c r="F50" s="381">
        <f>$L$126*$D$173*$D$176+$L$127*$D$174*$D$178</f>
        <v>1.826086956521739E-3</v>
      </c>
      <c r="H50" s="381">
        <f>$L$126*$D$173*$D$177+$L$127*$D$174*$D$179</f>
        <v>6.0869565217391303E-3</v>
      </c>
      <c r="J50" s="381">
        <f>$L$126*$D$173+$L$127*$D$174</f>
        <v>1.2173913043478261E-2</v>
      </c>
      <c r="L50" s="380">
        <f>$E$27*E50+$F$27*F50+$H$27*H50+$J$27*J50</f>
        <v>2.5565217391304348E-3</v>
      </c>
    </row>
    <row r="51" spans="2:32">
      <c r="B51" s="262" t="s">
        <v>80</v>
      </c>
      <c r="C51" s="311"/>
      <c r="D51" s="186" t="s">
        <v>224</v>
      </c>
      <c r="E51" s="9">
        <v>0</v>
      </c>
      <c r="F51" s="381">
        <f>$M$126*$D$173*$D$176+$M$127*$D$174*$D$178</f>
        <v>4.9999999999999984E-3</v>
      </c>
      <c r="H51" s="381">
        <f>$M$126*$D$173*$D$177+$M$127*$D$174*$D$179</f>
        <v>2.0238095238095236E-2</v>
      </c>
      <c r="J51" s="381">
        <f>$M$126*$D$173+$M$127*$D$174</f>
        <v>4.7619047619047609E-2</v>
      </c>
      <c r="L51" s="380">
        <f>$E$27*E51+$F$27*F51+$H$27*H51+$J$27*J51</f>
        <v>8.4285714285714276E-3</v>
      </c>
    </row>
    <row r="52" spans="2:32">
      <c r="B52" s="262" t="s">
        <v>524</v>
      </c>
      <c r="C52" s="311"/>
      <c r="D52" s="186" t="s">
        <v>224</v>
      </c>
      <c r="E52" s="9">
        <v>0</v>
      </c>
      <c r="F52" s="381">
        <f>$N$126*$D$173*$D$176+$N$127*$D$174*$D$178</f>
        <v>1.826086956521739E-3</v>
      </c>
      <c r="H52" s="381">
        <f>$N$126*$D$173*$D$177+$N$127*$D$174*$D$179</f>
        <v>6.0869565217391303E-3</v>
      </c>
      <c r="J52" s="381">
        <f>$N$126*$D$173+$N$127*$D$174</f>
        <v>1.2173913043478261E-2</v>
      </c>
      <c r="L52" s="380">
        <f>$E$27*E52+$F$27*F52+$H$27*H52+$J$27*J52</f>
        <v>2.5565217391304348E-3</v>
      </c>
    </row>
    <row r="53" spans="2:32">
      <c r="B53" s="261" t="s">
        <v>82</v>
      </c>
      <c r="C53" s="311"/>
      <c r="D53" s="186" t="s">
        <v>224</v>
      </c>
      <c r="E53" s="9">
        <v>0</v>
      </c>
      <c r="F53" s="381">
        <f>$O$126*$D$173*$D$176+$O$127*$D$174*$D$178</f>
        <v>0</v>
      </c>
      <c r="H53" s="381">
        <f>$O$126*$D$173*$D$177+$O$127*$D$174*$D$179</f>
        <v>0</v>
      </c>
      <c r="J53" s="381">
        <f>$O$126*$D$173+$O$127*$D$174</f>
        <v>0</v>
      </c>
      <c r="L53" s="380">
        <f>$E$27*E53+$F$27*F53+$H$27*H53+$J$27*J53</f>
        <v>0</v>
      </c>
    </row>
    <row r="54" spans="2:32">
      <c r="B54" s="379" t="s">
        <v>552</v>
      </c>
      <c r="M54" s="1" t="s">
        <v>658</v>
      </c>
    </row>
    <row r="55" spans="2:32">
      <c r="B55" s="378" t="s">
        <v>630</v>
      </c>
      <c r="M55" s="1" t="s">
        <v>657</v>
      </c>
    </row>
    <row r="56" spans="2:32">
      <c r="B56" s="241"/>
    </row>
    <row r="57" spans="2:32" ht="15.5">
      <c r="B57" s="259" t="s">
        <v>656</v>
      </c>
    </row>
    <row r="58" spans="2:32" ht="39.75" customHeight="1">
      <c r="B58" s="1200" t="s">
        <v>1714</v>
      </c>
      <c r="C58" s="65"/>
      <c r="D58" s="1383" t="s">
        <v>522</v>
      </c>
      <c r="E58" s="1384"/>
      <c r="F58" s="1384"/>
      <c r="G58" s="1384"/>
      <c r="H58" s="1385"/>
      <c r="I58" s="1383" t="s">
        <v>514</v>
      </c>
      <c r="J58" s="1384"/>
      <c r="K58" s="1384"/>
      <c r="L58" s="1384"/>
      <c r="M58" s="1384"/>
      <c r="N58" s="1384"/>
      <c r="O58" s="1204"/>
      <c r="P58" s="1383" t="s">
        <v>1678</v>
      </c>
      <c r="Q58" s="1384"/>
      <c r="R58" s="1384"/>
      <c r="S58" s="1384"/>
      <c r="T58" s="1384"/>
      <c r="U58" s="1384"/>
      <c r="V58" s="1384"/>
      <c r="W58" s="1384"/>
      <c r="X58" s="1384"/>
      <c r="Y58" s="1384"/>
      <c r="Z58" s="342"/>
    </row>
    <row r="59" spans="2:32" ht="60" customHeight="1">
      <c r="B59" s="343"/>
      <c r="C59" s="377" t="s">
        <v>655</v>
      </c>
      <c r="D59" s="322" t="s">
        <v>133</v>
      </c>
      <c r="E59" s="324" t="s">
        <v>518</v>
      </c>
      <c r="F59" s="324" t="s">
        <v>50</v>
      </c>
      <c r="G59" s="321" t="s">
        <v>529</v>
      </c>
      <c r="H59" s="323" t="s">
        <v>528</v>
      </c>
      <c r="I59" s="376" t="s">
        <v>133</v>
      </c>
      <c r="J59" s="321" t="s">
        <v>622</v>
      </c>
      <c r="K59" s="321" t="s">
        <v>526</v>
      </c>
      <c r="L59" s="321" t="s">
        <v>525</v>
      </c>
      <c r="M59" s="321" t="s">
        <v>80</v>
      </c>
      <c r="N59" s="321" t="s">
        <v>524</v>
      </c>
      <c r="O59" s="320" t="s">
        <v>82</v>
      </c>
      <c r="P59" s="1394" t="s">
        <v>1679</v>
      </c>
      <c r="Q59" s="1395"/>
      <c r="R59" s="1395"/>
      <c r="S59" s="1395"/>
      <c r="T59" s="1395"/>
      <c r="U59" s="1395"/>
      <c r="V59" s="1395"/>
      <c r="W59" s="1395"/>
      <c r="X59" s="1395"/>
      <c r="Y59" s="1395"/>
      <c r="Z59" s="1396"/>
      <c r="AA59" s="1203"/>
      <c r="AB59" s="1203"/>
      <c r="AC59" s="1203"/>
      <c r="AD59" s="1203"/>
      <c r="AE59" s="1203"/>
      <c r="AF59" s="1203"/>
    </row>
    <row r="60" spans="2:32" ht="16.5">
      <c r="B60" s="288" t="s">
        <v>654</v>
      </c>
      <c r="C60" s="375" t="s">
        <v>548</v>
      </c>
      <c r="D60" s="371">
        <f>SUM(E60:H60)</f>
        <v>12941000</v>
      </c>
      <c r="E60" s="374">
        <v>1600000</v>
      </c>
      <c r="F60" s="373">
        <v>6000000</v>
      </c>
      <c r="G60" s="371">
        <v>1763000</v>
      </c>
      <c r="H60" s="371">
        <v>3578000</v>
      </c>
      <c r="I60" s="372">
        <f>SUM(K60:O60)</f>
        <v>5153500</v>
      </c>
      <c r="J60" s="371">
        <f>SUM(K60:N60)</f>
        <v>153500</v>
      </c>
      <c r="K60" s="371">
        <v>64000</v>
      </c>
      <c r="L60" s="371">
        <v>27000</v>
      </c>
      <c r="M60" s="371">
        <v>12500</v>
      </c>
      <c r="N60" s="371">
        <v>50000</v>
      </c>
      <c r="O60" s="370">
        <f>7500000*(2/3)</f>
        <v>5000000</v>
      </c>
      <c r="P60" s="1207" t="s">
        <v>1677</v>
      </c>
      <c r="Q60" s="1206"/>
      <c r="R60" s="1206"/>
      <c r="S60" s="1206"/>
      <c r="T60" s="1206"/>
      <c r="U60" s="1206"/>
      <c r="V60" s="1206"/>
      <c r="W60" s="1206"/>
      <c r="X60" s="1206"/>
      <c r="Y60" s="1206"/>
      <c r="Z60" s="118"/>
    </row>
    <row r="61" spans="2:32">
      <c r="B61" s="288" t="s">
        <v>653</v>
      </c>
      <c r="C61" s="357"/>
      <c r="D61" s="368">
        <f t="shared" ref="D61:I61" si="8">D72/D60</f>
        <v>1.507076346495634E-2</v>
      </c>
      <c r="E61" s="368">
        <f t="shared" si="8"/>
        <v>1.3909218750000002E-2</v>
      </c>
      <c r="F61" s="368">
        <f t="shared" si="8"/>
        <v>2.0403000000000001E-2</v>
      </c>
      <c r="G61" s="368">
        <f t="shared" si="8"/>
        <v>8.7775950085082228E-3</v>
      </c>
      <c r="H61" s="368">
        <f t="shared" si="8"/>
        <v>9.7493292342090542E-3</v>
      </c>
      <c r="I61" s="369">
        <f t="shared" si="8"/>
        <v>4.038342873775104E-2</v>
      </c>
      <c r="J61" s="19"/>
      <c r="K61" s="368">
        <f>K72/K60</f>
        <v>1.4718749999999999E-2</v>
      </c>
      <c r="L61" s="368">
        <f>L72/L60</f>
        <v>3.4444444444444444E-2</v>
      </c>
      <c r="M61" s="368">
        <f>M72/M60</f>
        <v>4.0800000000000003E-2</v>
      </c>
      <c r="N61" s="368">
        <f>N72/N60</f>
        <v>2.664E-2</v>
      </c>
      <c r="O61" s="367"/>
      <c r="P61" s="1207"/>
      <c r="Q61" s="1206"/>
      <c r="R61" s="1206"/>
      <c r="S61" s="1206"/>
      <c r="T61" s="1206"/>
      <c r="U61" s="1206"/>
      <c r="V61" s="1206"/>
      <c r="W61" s="1206"/>
      <c r="X61" s="1206"/>
      <c r="Y61" s="1206"/>
      <c r="Z61" s="118"/>
    </row>
    <row r="62" spans="2:32">
      <c r="B62" s="366" t="s">
        <v>652</v>
      </c>
      <c r="C62" s="357"/>
      <c r="D62" s="19"/>
      <c r="I62" s="119"/>
      <c r="J62" s="68"/>
      <c r="P62" s="1207" t="s">
        <v>1676</v>
      </c>
      <c r="Q62" s="1206"/>
      <c r="R62" s="1206"/>
      <c r="S62" s="1206"/>
      <c r="T62" s="1206"/>
      <c r="U62" s="1206"/>
      <c r="V62" s="1206"/>
      <c r="W62" s="1206"/>
      <c r="X62" s="1206"/>
      <c r="Y62" s="1206"/>
      <c r="Z62" s="118"/>
    </row>
    <row r="63" spans="2:32" ht="29">
      <c r="B63" s="363" t="s">
        <v>169</v>
      </c>
      <c r="C63" s="357"/>
      <c r="D63" s="19"/>
      <c r="E63" s="240" t="s">
        <v>518</v>
      </c>
      <c r="F63" s="240" t="s">
        <v>50</v>
      </c>
      <c r="G63" s="361" t="s">
        <v>493</v>
      </c>
      <c r="H63" s="279" t="s">
        <v>651</v>
      </c>
      <c r="I63" s="362"/>
      <c r="J63" s="361"/>
      <c r="K63" s="365" t="s">
        <v>501</v>
      </c>
      <c r="L63" s="365" t="s">
        <v>501</v>
      </c>
      <c r="M63" s="361" t="s">
        <v>157</v>
      </c>
      <c r="N63" s="365" t="s">
        <v>501</v>
      </c>
      <c r="O63" s="361" t="s">
        <v>491</v>
      </c>
      <c r="P63" s="1207"/>
      <c r="Q63" s="1206"/>
      <c r="R63" s="1206"/>
      <c r="S63" s="1206"/>
      <c r="T63" s="1206"/>
      <c r="U63" s="1206"/>
      <c r="V63" s="1206"/>
      <c r="W63" s="1206"/>
      <c r="X63" s="1206"/>
      <c r="Y63" s="1206"/>
      <c r="Z63" s="118"/>
    </row>
    <row r="64" spans="2:32">
      <c r="B64" s="363" t="s">
        <v>650</v>
      </c>
      <c r="C64" s="357"/>
      <c r="D64" s="19"/>
      <c r="E64" s="364">
        <v>1</v>
      </c>
      <c r="F64" s="364">
        <v>0.7</v>
      </c>
      <c r="G64" s="364">
        <v>0.5</v>
      </c>
      <c r="H64" s="364">
        <v>0.8</v>
      </c>
      <c r="I64" s="119"/>
      <c r="J64" s="68"/>
      <c r="K64" s="364">
        <v>1</v>
      </c>
      <c r="L64" s="364">
        <v>1</v>
      </c>
      <c r="M64" s="364">
        <v>0.5</v>
      </c>
      <c r="N64" s="364">
        <v>1</v>
      </c>
      <c r="O64" s="364">
        <v>1</v>
      </c>
      <c r="P64" s="1207"/>
      <c r="Q64" s="1206"/>
      <c r="R64" s="1206"/>
      <c r="S64" s="1206"/>
      <c r="T64" s="1206"/>
      <c r="U64" s="1206"/>
      <c r="V64" s="1206"/>
      <c r="W64" s="1206"/>
      <c r="X64" s="1206"/>
      <c r="Y64" s="1206"/>
      <c r="Z64" s="118"/>
    </row>
    <row r="65" spans="2:26" ht="29">
      <c r="B65" s="363" t="s">
        <v>169</v>
      </c>
      <c r="C65" s="357"/>
      <c r="D65" s="19"/>
      <c r="F65" s="240" t="s">
        <v>499</v>
      </c>
      <c r="G65" s="361" t="s">
        <v>517</v>
      </c>
      <c r="H65" s="361" t="s">
        <v>517</v>
      </c>
      <c r="I65" s="362"/>
      <c r="J65" s="361"/>
      <c r="K65" s="361"/>
      <c r="L65" s="361"/>
      <c r="M65" s="240" t="s">
        <v>494</v>
      </c>
      <c r="N65" s="361"/>
      <c r="O65" s="361"/>
      <c r="P65" s="1207"/>
      <c r="Q65" s="1206"/>
      <c r="R65" s="1206"/>
      <c r="S65" s="1206"/>
      <c r="T65" s="1206"/>
      <c r="U65" s="1206"/>
      <c r="V65" s="1206"/>
      <c r="W65" s="1206"/>
      <c r="X65" s="1206"/>
      <c r="Y65" s="1206"/>
      <c r="Z65" s="118"/>
    </row>
    <row r="66" spans="2:26">
      <c r="B66" s="290" t="s">
        <v>650</v>
      </c>
      <c r="C66" s="357"/>
      <c r="D66" s="19"/>
      <c r="E66" s="186"/>
      <c r="F66" s="360">
        <v>0.3</v>
      </c>
      <c r="G66" s="358">
        <v>0.5</v>
      </c>
      <c r="H66" s="359">
        <v>0.2</v>
      </c>
      <c r="I66" s="19"/>
      <c r="J66" s="19"/>
      <c r="K66" s="19"/>
      <c r="L66" s="19"/>
      <c r="M66" s="358">
        <v>0.5</v>
      </c>
      <c r="N66" s="19"/>
      <c r="O66" s="19"/>
      <c r="P66" s="1207"/>
      <c r="Q66" s="1206"/>
      <c r="R66" s="1206"/>
      <c r="S66" s="1206"/>
      <c r="T66" s="1206"/>
      <c r="U66" s="1206"/>
      <c r="V66" s="1206"/>
      <c r="W66" s="1206"/>
      <c r="X66" s="1206"/>
      <c r="Y66" s="1206"/>
      <c r="Z66" s="118"/>
    </row>
    <row r="67" spans="2:26">
      <c r="B67" s="288"/>
      <c r="C67" s="357"/>
      <c r="D67" s="19"/>
      <c r="E67" s="186"/>
      <c r="F67" s="360"/>
      <c r="G67" s="358"/>
      <c r="H67" s="359"/>
      <c r="I67" s="19"/>
      <c r="J67" s="19"/>
      <c r="K67" s="19"/>
      <c r="L67" s="19"/>
      <c r="M67" s="358"/>
      <c r="N67" s="19"/>
      <c r="O67" s="19"/>
      <c r="P67" s="1207"/>
      <c r="Q67" s="1206"/>
      <c r="R67" s="1206"/>
      <c r="S67" s="1206"/>
      <c r="T67" s="1206"/>
      <c r="U67" s="1206"/>
      <c r="V67" s="1206"/>
      <c r="W67" s="1206"/>
      <c r="X67" s="1206"/>
      <c r="Y67" s="1206"/>
      <c r="Z67" s="118"/>
    </row>
    <row r="68" spans="2:26">
      <c r="B68" s="258" t="s">
        <v>649</v>
      </c>
      <c r="C68" s="357"/>
      <c r="D68" s="19"/>
      <c r="E68" s="186"/>
      <c r="F68" s="186"/>
      <c r="G68" s="19"/>
      <c r="H68" s="356"/>
      <c r="I68" s="19"/>
      <c r="J68" s="19"/>
      <c r="K68" s="19"/>
      <c r="L68" s="19"/>
      <c r="M68" s="19"/>
      <c r="N68" s="19"/>
      <c r="O68" s="19"/>
      <c r="P68" s="1208" t="s">
        <v>648</v>
      </c>
      <c r="Q68" s="1206"/>
      <c r="R68" s="1206"/>
      <c r="S68" s="1206"/>
      <c r="T68" s="1206"/>
      <c r="U68" s="1206"/>
      <c r="V68" s="1206"/>
      <c r="W68" s="1206"/>
      <c r="X68" s="1206"/>
      <c r="Y68" s="1206"/>
      <c r="Z68" s="118"/>
    </row>
    <row r="69" spans="2:26">
      <c r="B69" s="193" t="s">
        <v>647</v>
      </c>
      <c r="C69" s="353" t="s">
        <v>535</v>
      </c>
      <c r="D69" s="293">
        <f>SUM(E69:H69)</f>
        <v>21316.2</v>
      </c>
      <c r="E69" s="352">
        <f>4000*(0.5+0.5*$D$140)</f>
        <v>2700</v>
      </c>
      <c r="F69" s="352">
        <f>15000</f>
        <v>15000</v>
      </c>
      <c r="G69" s="352">
        <f>3175*$D$140</f>
        <v>1111.25</v>
      </c>
      <c r="H69" s="355">
        <f>7157*$D$140</f>
        <v>2504.9499999999998</v>
      </c>
      <c r="I69" s="294">
        <f>SUM(K69:O69)</f>
        <v>21660</v>
      </c>
      <c r="J69" s="293"/>
      <c r="K69" s="354">
        <f>117</f>
        <v>117</v>
      </c>
      <c r="L69" s="354">
        <f>115</f>
        <v>115</v>
      </c>
      <c r="M69" s="354">
        <f>63</f>
        <v>63</v>
      </c>
      <c r="N69" s="354">
        <f>165</f>
        <v>165</v>
      </c>
      <c r="O69" s="354">
        <f>21200</f>
        <v>21200</v>
      </c>
      <c r="P69" s="1207"/>
      <c r="Q69" s="1206"/>
      <c r="R69" s="1206"/>
      <c r="S69" s="1206"/>
      <c r="T69" s="1206"/>
      <c r="U69" s="1206"/>
      <c r="V69" s="1206"/>
      <c r="W69" s="1206"/>
      <c r="X69" s="1206"/>
      <c r="Y69" s="1206"/>
      <c r="Z69" s="118"/>
    </row>
    <row r="70" spans="2:26">
      <c r="B70" s="193" t="s">
        <v>646</v>
      </c>
      <c r="C70" s="353" t="s">
        <v>535</v>
      </c>
      <c r="D70" s="293">
        <f>SUM(E70:H70)</f>
        <v>32505.125</v>
      </c>
      <c r="E70" s="352">
        <f>5495*(0.5+0.5*$D$140)</f>
        <v>3709.1250000000005</v>
      </c>
      <c r="F70" s="352">
        <f>20403</f>
        <v>20403</v>
      </c>
      <c r="G70" s="352">
        <f>7369*$D$140</f>
        <v>2579.1499999999996</v>
      </c>
      <c r="H70" s="355">
        <f>16611*$D$140</f>
        <v>5813.8499999999995</v>
      </c>
      <c r="I70" s="294">
        <f>SUM(K70:O70)</f>
        <v>34686</v>
      </c>
      <c r="J70" s="293"/>
      <c r="K70" s="354">
        <f>157</f>
        <v>157</v>
      </c>
      <c r="L70" s="354">
        <f>155</f>
        <v>155</v>
      </c>
      <c r="M70" s="354">
        <f>85</f>
        <v>85</v>
      </c>
      <c r="N70" s="354">
        <f>222</f>
        <v>222</v>
      </c>
      <c r="O70" s="354">
        <f>34067</f>
        <v>34067</v>
      </c>
      <c r="P70" s="1207"/>
      <c r="Q70" s="1206"/>
      <c r="R70" s="1206"/>
      <c r="S70" s="1206"/>
      <c r="T70" s="1206"/>
      <c r="U70" s="1206"/>
      <c r="V70" s="1206"/>
      <c r="W70" s="1206"/>
      <c r="X70" s="1206"/>
      <c r="Y70" s="1206"/>
      <c r="Z70" s="118"/>
    </row>
    <row r="71" spans="2:26">
      <c r="B71" s="193" t="s">
        <v>645</v>
      </c>
      <c r="C71" s="353" t="s">
        <v>532</v>
      </c>
      <c r="D71" s="293">
        <f>SUM(E71:H71)</f>
        <v>127897.2</v>
      </c>
      <c r="E71" s="352">
        <f>E69*$D$143</f>
        <v>16200</v>
      </c>
      <c r="F71" s="352">
        <f t="shared" ref="E71:H72" si="9">F69*$D$143</f>
        <v>90000</v>
      </c>
      <c r="G71" s="352">
        <f t="shared" si="9"/>
        <v>6667.5</v>
      </c>
      <c r="H71" s="352">
        <f t="shared" si="9"/>
        <v>15029.699999999999</v>
      </c>
      <c r="I71" s="294">
        <f>SUM(K71:O71)</f>
        <v>129960</v>
      </c>
      <c r="J71" s="293"/>
      <c r="K71" s="352">
        <f t="shared" ref="K71:O72" si="10">K69*$D$143</f>
        <v>702</v>
      </c>
      <c r="L71" s="352">
        <f t="shared" si="10"/>
        <v>690</v>
      </c>
      <c r="M71" s="352">
        <f t="shared" si="10"/>
        <v>378</v>
      </c>
      <c r="N71" s="352">
        <f t="shared" si="10"/>
        <v>990</v>
      </c>
      <c r="O71" s="352">
        <f t="shared" si="10"/>
        <v>127200</v>
      </c>
      <c r="P71" s="1207"/>
      <c r="Q71" s="1206"/>
      <c r="R71" s="1206"/>
      <c r="S71" s="1206"/>
      <c r="T71" s="1206"/>
      <c r="U71" s="1206"/>
      <c r="V71" s="1206"/>
      <c r="W71" s="1206"/>
      <c r="X71" s="1206"/>
      <c r="Y71" s="1206"/>
      <c r="Z71" s="118"/>
    </row>
    <row r="72" spans="2:26">
      <c r="B72" s="193" t="s">
        <v>644</v>
      </c>
      <c r="C72" s="353" t="s">
        <v>532</v>
      </c>
      <c r="D72" s="293">
        <f>SUM(E72:H72)</f>
        <v>195030.75</v>
      </c>
      <c r="E72" s="352">
        <f t="shared" si="9"/>
        <v>22254.750000000004</v>
      </c>
      <c r="F72" s="352">
        <f t="shared" si="9"/>
        <v>122418</v>
      </c>
      <c r="G72" s="352">
        <f t="shared" si="9"/>
        <v>15474.899999999998</v>
      </c>
      <c r="H72" s="352">
        <f t="shared" si="9"/>
        <v>34883.1</v>
      </c>
      <c r="I72" s="294">
        <f>SUM(K72:O72)</f>
        <v>208116</v>
      </c>
      <c r="J72" s="293"/>
      <c r="K72" s="352">
        <f t="shared" si="10"/>
        <v>942</v>
      </c>
      <c r="L72" s="352">
        <f t="shared" si="10"/>
        <v>930</v>
      </c>
      <c r="M72" s="352">
        <f t="shared" si="10"/>
        <v>510</v>
      </c>
      <c r="N72" s="352">
        <f t="shared" si="10"/>
        <v>1332</v>
      </c>
      <c r="O72" s="352">
        <f t="shared" si="10"/>
        <v>204402</v>
      </c>
      <c r="P72" s="1207"/>
      <c r="Q72" s="1206"/>
      <c r="R72" s="1206"/>
      <c r="S72" s="1206"/>
      <c r="T72" s="1206"/>
      <c r="U72" s="1206"/>
      <c r="V72" s="1206"/>
      <c r="W72" s="1206"/>
      <c r="X72" s="1206"/>
      <c r="Y72" s="1206"/>
      <c r="Z72" s="118"/>
    </row>
    <row r="73" spans="2:26">
      <c r="B73" s="132" t="s">
        <v>643</v>
      </c>
      <c r="C73" s="351" t="s">
        <v>224</v>
      </c>
      <c r="D73" s="350">
        <f t="shared" ref="D73:I73" si="11">(D70/D69)^(1/20)-1</f>
        <v>2.1320625880545396E-2</v>
      </c>
      <c r="E73" s="219">
        <f t="shared" si="11"/>
        <v>1.6003923982960133E-2</v>
      </c>
      <c r="F73" s="219">
        <f t="shared" si="11"/>
        <v>1.5500492872707161E-2</v>
      </c>
      <c r="G73" s="219">
        <f t="shared" si="11"/>
        <v>4.299743730351846E-2</v>
      </c>
      <c r="H73" s="305">
        <f t="shared" si="11"/>
        <v>4.2997429393022868E-2</v>
      </c>
      <c r="I73" s="349">
        <f t="shared" si="11"/>
        <v>2.3822780055726689E-2</v>
      </c>
      <c r="J73" s="305"/>
      <c r="K73" s="305">
        <f>(K70/K69)^(1/20)-1</f>
        <v>1.481222312096131E-2</v>
      </c>
      <c r="L73" s="305">
        <f>(L70/L69)^(1/20)-1</f>
        <v>1.5036578147137991E-2</v>
      </c>
      <c r="M73" s="305">
        <f>(M70/M69)^(1/20)-1</f>
        <v>1.5088526081657561E-2</v>
      </c>
      <c r="N73" s="305">
        <f>(N70/N69)^(1/20)-1</f>
        <v>1.4947204021565463E-2</v>
      </c>
      <c r="O73" s="348">
        <f>(O70/O69)^(1/20)-1</f>
        <v>2.3999869939983931E-2</v>
      </c>
      <c r="P73" s="1207"/>
      <c r="Q73" s="1206"/>
      <c r="R73" s="1206"/>
      <c r="S73" s="1206"/>
      <c r="T73" s="1206"/>
      <c r="U73" s="1206"/>
      <c r="V73" s="1206"/>
      <c r="W73" s="1206"/>
      <c r="X73" s="1206"/>
      <c r="Y73" s="1206"/>
      <c r="Z73" s="118"/>
    </row>
    <row r="74" spans="2:26">
      <c r="B74" s="132" t="s">
        <v>642</v>
      </c>
      <c r="C74" s="296" t="s">
        <v>1119</v>
      </c>
      <c r="D74" s="347"/>
      <c r="E74" s="346"/>
      <c r="F74" s="346"/>
      <c r="G74" s="346"/>
      <c r="H74" s="345"/>
      <c r="I74" s="68"/>
      <c r="J74" s="68"/>
      <c r="K74" s="298"/>
      <c r="L74" s="298"/>
      <c r="M74" s="298"/>
      <c r="N74" s="298"/>
      <c r="O74" s="344"/>
      <c r="P74" s="1207"/>
      <c r="Q74" s="1206"/>
      <c r="R74" s="1206"/>
      <c r="S74" s="1206"/>
      <c r="T74" s="1206"/>
      <c r="U74" s="1206"/>
      <c r="V74" s="1206"/>
      <c r="W74" s="1206"/>
      <c r="X74" s="1206"/>
      <c r="Y74" s="1206"/>
      <c r="Z74" s="118"/>
    </row>
    <row r="75" spans="2:26">
      <c r="B75" s="343"/>
      <c r="C75" s="326"/>
      <c r="D75" s="130"/>
      <c r="E75" s="65"/>
      <c r="F75" s="65"/>
      <c r="G75" s="65"/>
      <c r="H75" s="342"/>
      <c r="I75" s="65"/>
      <c r="J75" s="65"/>
      <c r="K75" s="341"/>
      <c r="L75" s="341"/>
      <c r="M75" s="341"/>
      <c r="N75" s="341"/>
      <c r="O75" s="340"/>
      <c r="P75" s="1209"/>
      <c r="Q75" s="1210"/>
      <c r="R75" s="1210"/>
      <c r="S75" s="1210"/>
      <c r="T75" s="1210"/>
      <c r="U75" s="1210"/>
      <c r="V75" s="1210"/>
      <c r="W75" s="1210"/>
      <c r="X75" s="1210"/>
      <c r="Y75" s="1210"/>
      <c r="Z75" s="118"/>
    </row>
    <row r="76" spans="2:26">
      <c r="B76" s="258" t="s">
        <v>641</v>
      </c>
      <c r="C76" s="297"/>
      <c r="D76" s="68"/>
      <c r="E76" s="68"/>
      <c r="F76" s="68"/>
      <c r="G76" s="68"/>
      <c r="H76" s="118"/>
      <c r="I76" s="252"/>
      <c r="J76" s="252"/>
      <c r="K76" s="252"/>
      <c r="L76" s="252"/>
      <c r="M76" s="252"/>
      <c r="N76" s="252"/>
      <c r="O76" s="339"/>
      <c r="P76" s="1207"/>
      <c r="Q76" s="1206"/>
      <c r="R76" s="1206"/>
      <c r="S76" s="1206"/>
      <c r="T76" s="1206"/>
      <c r="U76" s="1206"/>
      <c r="V76" s="1206"/>
      <c r="W76" s="1206"/>
      <c r="X76" s="1206"/>
      <c r="Y76" s="1206"/>
      <c r="Z76" s="1212"/>
    </row>
    <row r="77" spans="2:26">
      <c r="B77" s="258"/>
      <c r="C77" s="302" t="s">
        <v>532</v>
      </c>
      <c r="D77" s="1404" t="s">
        <v>640</v>
      </c>
      <c r="E77" s="1404"/>
      <c r="F77" s="1404"/>
      <c r="G77" s="1404"/>
      <c r="H77" s="1404"/>
      <c r="I77" s="336" t="s">
        <v>568</v>
      </c>
      <c r="J77" s="252"/>
      <c r="K77" s="252"/>
      <c r="L77" s="252"/>
      <c r="M77" s="252"/>
      <c r="N77" s="252"/>
      <c r="O77" s="252"/>
      <c r="P77" s="1207"/>
      <c r="Q77" s="1206"/>
      <c r="R77" s="1206"/>
      <c r="S77" s="1206"/>
      <c r="T77" s="1206"/>
      <c r="U77" s="1206"/>
      <c r="V77" s="1206"/>
      <c r="W77" s="1206"/>
      <c r="X77" s="1206"/>
      <c r="Y77" s="1206"/>
      <c r="Z77" s="118"/>
    </row>
    <row r="78" spans="2:26">
      <c r="B78" s="258"/>
      <c r="C78" s="302"/>
      <c r="D78" s="202"/>
      <c r="E78" s="202"/>
      <c r="F78" s="202"/>
      <c r="G78" s="202"/>
      <c r="H78" s="202"/>
      <c r="I78" s="325"/>
      <c r="J78" s="252" t="s">
        <v>639</v>
      </c>
      <c r="K78" s="252"/>
      <c r="L78" s="252"/>
      <c r="M78" s="331">
        <f>'Travel Time Analysis'!$Z$50+'Travel Time Analysis'!$Z$140</f>
        <v>15127.91345264269</v>
      </c>
      <c r="N78" s="252" t="s">
        <v>638</v>
      </c>
      <c r="O78" s="252"/>
      <c r="P78" s="1207"/>
      <c r="Q78" s="1206"/>
      <c r="R78" s="1206"/>
      <c r="S78" s="1206"/>
      <c r="T78" s="1206"/>
      <c r="U78" s="1206"/>
      <c r="V78" s="1206"/>
      <c r="W78" s="1206"/>
      <c r="X78" s="1206"/>
      <c r="Y78" s="1206"/>
      <c r="Z78" s="118"/>
    </row>
    <row r="79" spans="2:26">
      <c r="B79" s="258"/>
      <c r="C79" s="302"/>
      <c r="D79" s="202"/>
      <c r="E79" s="202"/>
      <c r="F79" s="202"/>
      <c r="G79" s="202"/>
      <c r="H79" s="202"/>
      <c r="I79" s="325"/>
      <c r="J79" s="252"/>
      <c r="K79" s="252"/>
      <c r="L79" s="252"/>
      <c r="M79" s="252"/>
      <c r="N79" s="252"/>
      <c r="O79" s="252"/>
      <c r="P79" s="1207"/>
      <c r="Q79" s="1206"/>
      <c r="R79" s="1206"/>
      <c r="S79" s="1206"/>
      <c r="T79" s="1206"/>
      <c r="U79" s="1206"/>
      <c r="V79" s="1206"/>
      <c r="W79" s="1206"/>
      <c r="X79" s="1206"/>
      <c r="Y79" s="1206"/>
      <c r="Z79" s="118"/>
    </row>
    <row r="80" spans="2:26">
      <c r="B80" s="258"/>
      <c r="C80" s="302"/>
      <c r="D80" s="202"/>
      <c r="E80" s="202"/>
      <c r="F80" s="202"/>
      <c r="G80" s="202"/>
      <c r="H80" s="202"/>
      <c r="I80" s="336" t="s">
        <v>603</v>
      </c>
      <c r="J80" s="252"/>
      <c r="K80" s="252"/>
      <c r="L80" s="252"/>
      <c r="M80" s="252"/>
      <c r="N80" s="252"/>
      <c r="O80" s="252"/>
      <c r="P80" s="1207"/>
      <c r="Q80" s="1206"/>
      <c r="R80" s="1206"/>
      <c r="S80" s="1206"/>
      <c r="T80" s="1206"/>
      <c r="U80" s="1206"/>
      <c r="V80" s="1206"/>
      <c r="W80" s="1206"/>
      <c r="X80" s="1206"/>
      <c r="Y80" s="1206"/>
      <c r="Z80" s="118"/>
    </row>
    <row r="81" spans="2:26">
      <c r="B81" s="258"/>
      <c r="C81" s="302"/>
      <c r="D81" s="202"/>
      <c r="E81" s="202"/>
      <c r="F81" s="202"/>
      <c r="G81" s="202"/>
      <c r="H81" s="202"/>
      <c r="I81" s="325"/>
      <c r="J81" s="252" t="s">
        <v>637</v>
      </c>
      <c r="K81" s="252"/>
      <c r="L81" s="252"/>
      <c r="M81" s="250"/>
      <c r="N81" s="250"/>
      <c r="O81" s="252"/>
      <c r="P81" s="1207"/>
      <c r="Q81" s="1206"/>
      <c r="R81" s="1206"/>
      <c r="S81" s="1206"/>
      <c r="T81" s="1206"/>
      <c r="U81" s="1206"/>
      <c r="V81" s="1206"/>
      <c r="W81" s="1206"/>
      <c r="X81" s="1206"/>
      <c r="Y81" s="1206"/>
      <c r="Z81" s="118"/>
    </row>
    <row r="82" spans="2:26">
      <c r="B82" s="258"/>
      <c r="C82" s="302"/>
      <c r="D82" s="202"/>
      <c r="E82" s="202"/>
      <c r="F82" s="202"/>
      <c r="G82" s="202"/>
      <c r="H82" s="202"/>
      <c r="I82" s="325"/>
      <c r="J82" s="337">
        <v>30</v>
      </c>
      <c r="K82" s="252" t="s">
        <v>636</v>
      </c>
      <c r="L82" s="252"/>
      <c r="M82" s="328">
        <f>I72/J82</f>
        <v>6937.2</v>
      </c>
      <c r="N82" s="250" t="s">
        <v>635</v>
      </c>
      <c r="O82" s="252"/>
      <c r="P82" s="1207"/>
      <c r="Q82" s="1206"/>
      <c r="R82" s="1206"/>
      <c r="S82" s="1206"/>
      <c r="T82" s="1206"/>
      <c r="U82" s="1206"/>
      <c r="V82" s="1206"/>
      <c r="W82" s="1206"/>
      <c r="X82" s="1206"/>
      <c r="Y82" s="1206"/>
      <c r="Z82" s="118"/>
    </row>
    <row r="83" spans="2:26">
      <c r="B83" s="258"/>
      <c r="C83" s="302"/>
      <c r="D83" s="202"/>
      <c r="E83" s="202"/>
      <c r="F83" s="202"/>
      <c r="G83" s="202"/>
      <c r="H83" s="202"/>
      <c r="I83" s="325"/>
      <c r="J83" s="338" t="s">
        <v>634</v>
      </c>
      <c r="K83" s="252"/>
      <c r="L83" s="252"/>
      <c r="M83" s="250"/>
      <c r="N83" s="250"/>
      <c r="O83" s="252"/>
      <c r="P83" s="1207"/>
      <c r="Q83" s="1206"/>
      <c r="R83" s="1206"/>
      <c r="S83" s="1206"/>
      <c r="T83" s="1206"/>
      <c r="U83" s="1206"/>
      <c r="V83" s="1206"/>
      <c r="W83" s="1206"/>
      <c r="X83" s="1206"/>
      <c r="Y83" s="1206"/>
      <c r="Z83" s="118"/>
    </row>
    <row r="84" spans="2:26">
      <c r="B84" s="258"/>
      <c r="C84" s="302"/>
      <c r="D84" s="202"/>
      <c r="E84" s="202"/>
      <c r="F84" s="202"/>
      <c r="G84" s="202"/>
      <c r="H84" s="202"/>
      <c r="I84" s="325"/>
      <c r="J84" s="337" t="s">
        <v>633</v>
      </c>
      <c r="K84" s="337">
        <v>1.2</v>
      </c>
      <c r="L84" s="252" t="s">
        <v>632</v>
      </c>
      <c r="M84" s="250"/>
      <c r="N84" s="250"/>
      <c r="O84" s="252"/>
      <c r="P84" s="1207"/>
      <c r="Q84" s="1206"/>
      <c r="R84" s="1206"/>
      <c r="S84" s="1206"/>
      <c r="T84" s="1206"/>
      <c r="U84" s="1206"/>
      <c r="V84" s="1206"/>
      <c r="W84" s="1206"/>
      <c r="X84" s="1206"/>
      <c r="Y84" s="1206"/>
      <c r="Z84" s="118"/>
    </row>
    <row r="85" spans="2:26">
      <c r="B85" s="258"/>
      <c r="C85" s="302"/>
      <c r="D85" s="202"/>
      <c r="E85" s="202"/>
      <c r="F85" s="202"/>
      <c r="G85" s="202"/>
      <c r="H85" s="202"/>
      <c r="I85" s="325"/>
      <c r="J85" s="331">
        <f>M82*K84</f>
        <v>8324.64</v>
      </c>
      <c r="K85" s="252" t="s">
        <v>631</v>
      </c>
      <c r="L85" s="252"/>
      <c r="M85" s="250"/>
      <c r="N85" s="250"/>
      <c r="O85" s="252"/>
      <c r="P85" s="1207"/>
      <c r="Q85" s="1206"/>
      <c r="R85" s="1206"/>
      <c r="S85" s="1206"/>
      <c r="T85" s="1206"/>
      <c r="U85" s="1206"/>
      <c r="V85" s="1206"/>
      <c r="W85" s="1206"/>
      <c r="X85" s="1206"/>
      <c r="Y85" s="1206"/>
      <c r="Z85" s="118"/>
    </row>
    <row r="86" spans="2:26">
      <c r="B86" s="258"/>
      <c r="C86" s="302"/>
      <c r="D86" s="202"/>
      <c r="E86" s="202"/>
      <c r="F86" s="202"/>
      <c r="G86" s="202"/>
      <c r="H86" s="202"/>
      <c r="I86" s="325"/>
      <c r="J86" s="328"/>
      <c r="K86" s="252"/>
      <c r="L86" s="252"/>
      <c r="M86" s="250"/>
      <c r="N86" s="250"/>
      <c r="O86" s="252"/>
      <c r="P86" s="1207"/>
      <c r="Q86" s="1206"/>
      <c r="R86" s="1206"/>
      <c r="S86" s="1206"/>
      <c r="T86" s="1206"/>
      <c r="U86" s="1206"/>
      <c r="V86" s="1206"/>
      <c r="W86" s="1206"/>
      <c r="X86" s="1206"/>
      <c r="Y86" s="1206"/>
      <c r="Z86" s="118"/>
    </row>
    <row r="87" spans="2:26">
      <c r="B87" s="258"/>
      <c r="C87" s="302"/>
      <c r="D87" s="202"/>
      <c r="E87" s="202"/>
      <c r="F87" s="202"/>
      <c r="G87" s="202"/>
      <c r="H87" s="202"/>
      <c r="I87" s="336" t="s">
        <v>630</v>
      </c>
      <c r="J87" s="252"/>
      <c r="K87" s="252"/>
      <c r="L87" s="252"/>
      <c r="M87" s="252"/>
      <c r="N87" s="252"/>
      <c r="O87" s="252"/>
      <c r="P87" s="1207"/>
      <c r="Q87" s="1206"/>
      <c r="R87" s="1206"/>
      <c r="S87" s="1206"/>
      <c r="T87" s="1206"/>
      <c r="U87" s="1206"/>
      <c r="V87" s="1206"/>
      <c r="W87" s="1206"/>
      <c r="X87" s="1206"/>
      <c r="Y87" s="1206"/>
      <c r="Z87" s="118"/>
    </row>
    <row r="88" spans="2:26">
      <c r="B88" s="258"/>
      <c r="C88" s="302"/>
      <c r="D88" s="202"/>
      <c r="E88" s="202"/>
      <c r="F88" s="202"/>
      <c r="G88" s="202"/>
      <c r="H88" s="202"/>
      <c r="I88" s="325"/>
      <c r="J88" s="252" t="s">
        <v>629</v>
      </c>
      <c r="K88" s="252"/>
      <c r="L88" s="252"/>
      <c r="M88" s="252"/>
      <c r="N88" s="252"/>
      <c r="O88" s="252"/>
      <c r="P88" s="1207"/>
      <c r="Q88" s="1206"/>
      <c r="R88" s="1206"/>
      <c r="S88" s="1206"/>
      <c r="T88" s="1206"/>
      <c r="U88" s="1206"/>
      <c r="V88" s="1206"/>
      <c r="W88" s="1206"/>
      <c r="X88" s="1206"/>
      <c r="Y88" s="1206"/>
      <c r="Z88" s="118"/>
    </row>
    <row r="89" spans="2:26">
      <c r="B89" s="258"/>
      <c r="C89" s="302"/>
      <c r="D89" s="202"/>
      <c r="E89" s="202"/>
      <c r="F89" s="202"/>
      <c r="G89" s="202"/>
      <c r="H89" s="202"/>
      <c r="I89" s="325"/>
      <c r="K89" s="335" t="s">
        <v>628</v>
      </c>
      <c r="L89" s="335"/>
      <c r="M89" s="335" t="s">
        <v>627</v>
      </c>
      <c r="N89" s="335"/>
      <c r="O89" s="334"/>
      <c r="P89" s="1209" t="s">
        <v>1699</v>
      </c>
      <c r="Q89" s="1210"/>
      <c r="R89" s="1210"/>
      <c r="S89" s="1210"/>
      <c r="T89" s="1210"/>
      <c r="U89" s="1210"/>
      <c r="V89" s="1210"/>
      <c r="W89" s="1210"/>
      <c r="X89" s="1210"/>
      <c r="Y89" s="1210"/>
      <c r="Z89" s="118"/>
    </row>
    <row r="90" spans="2:26">
      <c r="B90" s="258"/>
      <c r="C90" s="302"/>
      <c r="D90" s="202"/>
      <c r="E90" s="202"/>
      <c r="F90" s="202"/>
      <c r="G90" s="202"/>
      <c r="H90" s="202"/>
      <c r="I90" s="325"/>
      <c r="J90" s="252" t="s">
        <v>626</v>
      </c>
      <c r="K90" s="333">
        <f>'BA Inputs'!D32</f>
        <v>984.60372078409853</v>
      </c>
      <c r="L90" s="252"/>
      <c r="M90" s="328">
        <f>'BA Inputs'!G35</f>
        <v>2462.2727957372335</v>
      </c>
      <c r="N90" s="252"/>
      <c r="O90" s="252"/>
      <c r="P90" s="1207"/>
      <c r="Q90" s="1206"/>
      <c r="R90" s="1206"/>
      <c r="S90" s="1206"/>
      <c r="T90" s="1206"/>
      <c r="U90" s="1206"/>
      <c r="V90" s="1206"/>
      <c r="W90" s="1206"/>
      <c r="X90" s="1206"/>
      <c r="Y90" s="1206"/>
      <c r="Z90" s="1212"/>
    </row>
    <row r="91" spans="2:26">
      <c r="B91" s="258"/>
      <c r="C91" s="302"/>
      <c r="D91" s="202"/>
      <c r="E91" s="202"/>
      <c r="F91" s="202"/>
      <c r="G91" s="202"/>
      <c r="H91" s="202"/>
      <c r="I91" s="325"/>
      <c r="J91" s="252" t="s">
        <v>625</v>
      </c>
      <c r="K91" s="332">
        <f>'BA Inputs'!D33</f>
        <v>109.40041342045537</v>
      </c>
      <c r="L91" s="252"/>
      <c r="M91" s="328">
        <f>'BA Inputs'!G36</f>
        <v>17235.909570160631</v>
      </c>
      <c r="N91" s="252"/>
      <c r="O91" s="252"/>
      <c r="P91" s="1207"/>
      <c r="Q91" s="1206"/>
      <c r="R91" s="1206"/>
      <c r="S91" s="1206"/>
      <c r="T91" s="1206"/>
      <c r="U91" s="1206"/>
      <c r="V91" s="1206"/>
      <c r="W91" s="1206"/>
      <c r="X91" s="1206"/>
      <c r="Y91" s="1206"/>
      <c r="Z91" s="118"/>
    </row>
    <row r="92" spans="2:26">
      <c r="B92" s="258"/>
      <c r="C92" s="302"/>
      <c r="D92" s="202"/>
      <c r="E92" s="202"/>
      <c r="F92" s="202"/>
      <c r="G92" s="202"/>
      <c r="H92" s="202"/>
      <c r="I92" s="325"/>
      <c r="J92" s="330" t="s">
        <v>70</v>
      </c>
      <c r="K92" s="331">
        <f>SUM(K90:K91)</f>
        <v>1094.0041342045538</v>
      </c>
      <c r="L92" s="252"/>
      <c r="M92" s="328">
        <f>SUMPRODUCT(K90:K91,M90:M91)/SUM(K90:K91)</f>
        <v>3939.6364731795729</v>
      </c>
      <c r="N92" s="252" t="s">
        <v>624</v>
      </c>
      <c r="O92" s="252"/>
      <c r="P92" s="1207"/>
      <c r="Q92" s="1206"/>
      <c r="R92" s="1206"/>
      <c r="S92" s="1206"/>
      <c r="T92" s="1206"/>
      <c r="U92" s="1206"/>
      <c r="V92" s="1206"/>
      <c r="W92" s="1206"/>
      <c r="X92" s="1206"/>
      <c r="Y92" s="1206"/>
      <c r="Z92" s="118"/>
    </row>
    <row r="93" spans="2:26" ht="15" thickBot="1">
      <c r="B93" s="258"/>
      <c r="C93" s="302"/>
      <c r="D93" s="202"/>
      <c r="E93" s="202"/>
      <c r="F93" s="202"/>
      <c r="G93" s="202"/>
      <c r="H93" s="202"/>
      <c r="I93" s="325"/>
      <c r="J93" s="330"/>
      <c r="K93" s="328"/>
      <c r="L93" s="252"/>
      <c r="M93" s="328"/>
      <c r="N93" s="252"/>
      <c r="O93" s="252"/>
      <c r="P93" s="1207"/>
      <c r="Q93" s="1206"/>
      <c r="R93" s="1206"/>
      <c r="S93" s="1206"/>
      <c r="T93" s="1206"/>
      <c r="U93" s="1206"/>
      <c r="V93" s="1206"/>
      <c r="W93" s="1206"/>
      <c r="X93" s="1206"/>
      <c r="Y93" s="1206"/>
      <c r="Z93" s="118"/>
    </row>
    <row r="94" spans="2:26" ht="15" thickBot="1">
      <c r="B94" s="258"/>
      <c r="C94" s="302"/>
      <c r="D94" s="202"/>
      <c r="E94" s="202"/>
      <c r="F94" s="202"/>
      <c r="G94" s="202"/>
      <c r="H94" s="202"/>
      <c r="I94" s="325" t="s">
        <v>623</v>
      </c>
      <c r="J94" s="252"/>
      <c r="K94" s="328"/>
      <c r="L94" s="329">
        <f>M78+J85+K92</f>
        <v>24546.557586847244</v>
      </c>
      <c r="M94" s="328"/>
      <c r="N94" s="252"/>
      <c r="O94" s="252"/>
      <c r="P94" s="1207"/>
      <c r="Q94" s="1206"/>
      <c r="R94" s="1206"/>
      <c r="S94" s="1206"/>
      <c r="T94" s="1206"/>
      <c r="U94" s="1206"/>
      <c r="V94" s="1206"/>
      <c r="W94" s="1206"/>
      <c r="X94" s="1206"/>
      <c r="Y94" s="1206"/>
      <c r="Z94" s="118"/>
    </row>
    <row r="95" spans="2:26">
      <c r="B95" s="327"/>
      <c r="C95" s="326"/>
      <c r="D95" s="202"/>
      <c r="E95" s="202"/>
      <c r="F95" s="202"/>
      <c r="G95" s="202"/>
      <c r="H95" s="202"/>
      <c r="I95" s="325"/>
      <c r="J95" s="252"/>
      <c r="K95" s="252"/>
      <c r="L95" s="252"/>
      <c r="M95" s="252"/>
      <c r="N95" s="252"/>
      <c r="O95" s="252"/>
      <c r="P95" s="1209"/>
      <c r="Q95" s="1210"/>
      <c r="R95" s="1210"/>
      <c r="S95" s="1210"/>
      <c r="T95" s="1210"/>
      <c r="U95" s="1210"/>
      <c r="V95" s="1210"/>
      <c r="W95" s="1210"/>
      <c r="X95" s="1210"/>
      <c r="Y95" s="1210"/>
      <c r="Z95" s="118"/>
    </row>
    <row r="96" spans="2:26" ht="58">
      <c r="B96" s="1266" t="s">
        <v>1686</v>
      </c>
      <c r="C96" s="1267"/>
      <c r="D96" s="322" t="s">
        <v>133</v>
      </c>
      <c r="E96" s="324" t="s">
        <v>518</v>
      </c>
      <c r="F96" s="324" t="s">
        <v>50</v>
      </c>
      <c r="G96" s="321" t="s">
        <v>529</v>
      </c>
      <c r="H96" s="323" t="s">
        <v>528</v>
      </c>
      <c r="I96" s="322" t="s">
        <v>133</v>
      </c>
      <c r="J96" s="321" t="s">
        <v>622</v>
      </c>
      <c r="K96" s="321" t="s">
        <v>526</v>
      </c>
      <c r="L96" s="321" t="s">
        <v>525</v>
      </c>
      <c r="M96" s="321" t="s">
        <v>80</v>
      </c>
      <c r="N96" s="321" t="s">
        <v>524</v>
      </c>
      <c r="O96" s="320" t="s">
        <v>82</v>
      </c>
      <c r="P96" s="1397" t="s">
        <v>1680</v>
      </c>
      <c r="Q96" s="1398"/>
      <c r="R96" s="1211"/>
      <c r="S96" s="1211"/>
      <c r="T96" s="1211"/>
      <c r="U96" s="1211"/>
      <c r="V96" s="1211"/>
      <c r="W96" s="1211"/>
      <c r="X96" s="1211"/>
      <c r="Y96" s="1211"/>
      <c r="Z96" s="1187"/>
    </row>
    <row r="97" spans="1:26">
      <c r="B97" s="193" t="s">
        <v>618</v>
      </c>
      <c r="C97" s="302" t="s">
        <v>224</v>
      </c>
      <c r="D97" s="202"/>
      <c r="E97" s="306">
        <v>1</v>
      </c>
      <c r="F97" s="306">
        <v>1</v>
      </c>
      <c r="G97" s="306">
        <f>G64</f>
        <v>0.5</v>
      </c>
      <c r="H97" s="306">
        <v>0.5</v>
      </c>
      <c r="I97" s="300"/>
      <c r="J97" s="299"/>
      <c r="K97" s="306">
        <f>K64</f>
        <v>1</v>
      </c>
      <c r="L97" s="306">
        <f>L64</f>
        <v>1</v>
      </c>
      <c r="M97" s="306">
        <f>M64+M66</f>
        <v>1</v>
      </c>
      <c r="N97" s="306">
        <f>N64</f>
        <v>1</v>
      </c>
      <c r="O97" s="306">
        <f>O64</f>
        <v>1</v>
      </c>
      <c r="P97" s="1401" t="s">
        <v>1685</v>
      </c>
      <c r="Q97" s="1402"/>
      <c r="R97" s="1402"/>
      <c r="S97" s="1402"/>
      <c r="T97" s="1402"/>
      <c r="U97" s="1402"/>
      <c r="V97" s="1402"/>
      <c r="W97" s="1402"/>
      <c r="X97" s="1402"/>
      <c r="Y97" s="1402"/>
      <c r="Z97" s="1212"/>
    </row>
    <row r="98" spans="1:26">
      <c r="B98" s="193" t="s">
        <v>617</v>
      </c>
      <c r="C98" s="302" t="s">
        <v>399</v>
      </c>
      <c r="D98" s="202"/>
      <c r="E98" s="288">
        <v>6</v>
      </c>
      <c r="F98" s="288">
        <v>6</v>
      </c>
      <c r="G98" s="288">
        <v>38</v>
      </c>
      <c r="H98" s="288">
        <v>38</v>
      </c>
      <c r="I98" s="300"/>
      <c r="J98" s="299"/>
      <c r="K98" s="318">
        <v>13</v>
      </c>
      <c r="L98" s="318">
        <v>13</v>
      </c>
      <c r="M98" s="319">
        <v>7</v>
      </c>
      <c r="N98" s="318">
        <v>13</v>
      </c>
      <c r="O98" s="208">
        <v>28</v>
      </c>
      <c r="P98" s="1392" t="s">
        <v>1687</v>
      </c>
      <c r="Q98" s="1393"/>
      <c r="R98" s="1393"/>
      <c r="S98" s="1393"/>
      <c r="T98" s="1393"/>
      <c r="U98" s="1393"/>
      <c r="V98" s="1393"/>
      <c r="W98" s="1393"/>
      <c r="X98" s="1393"/>
      <c r="Y98" s="1393"/>
      <c r="Z98" s="118"/>
    </row>
    <row r="99" spans="1:26" s="1137" customFormat="1" ht="30" customHeight="1">
      <c r="A99" s="1"/>
      <c r="B99" s="317" t="s">
        <v>616</v>
      </c>
      <c r="C99" s="302"/>
      <c r="D99" s="202"/>
      <c r="E99" s="316" t="s">
        <v>621</v>
      </c>
      <c r="F99" s="316" t="s">
        <v>621</v>
      </c>
      <c r="G99" s="315" t="s">
        <v>620</v>
      </c>
      <c r="H99" s="315" t="s">
        <v>620</v>
      </c>
      <c r="I99" s="314"/>
      <c r="J99" s="313"/>
      <c r="K99" s="312" t="s">
        <v>501</v>
      </c>
      <c r="L99" s="312" t="s">
        <v>501</v>
      </c>
      <c r="M99" s="312" t="s">
        <v>80</v>
      </c>
      <c r="N99" s="312" t="s">
        <v>501</v>
      </c>
      <c r="O99" s="311" t="s">
        <v>619</v>
      </c>
      <c r="P99" s="1399" t="s">
        <v>1690</v>
      </c>
      <c r="Q99" s="1400"/>
      <c r="R99" s="1400"/>
      <c r="S99" s="1400"/>
      <c r="T99" s="1400"/>
      <c r="U99" s="1400"/>
      <c r="V99" s="1400"/>
      <c r="W99" s="1400"/>
      <c r="X99" s="1400"/>
      <c r="Y99" s="1400"/>
      <c r="Z99" s="118"/>
    </row>
    <row r="100" spans="1:26">
      <c r="B100" s="266" t="s">
        <v>614</v>
      </c>
      <c r="C100" s="140"/>
      <c r="I100" s="119"/>
      <c r="P100" s="1205" t="s">
        <v>1689</v>
      </c>
      <c r="Q100" s="1206"/>
      <c r="R100" s="1206"/>
      <c r="S100" s="1206"/>
      <c r="T100" s="1206"/>
      <c r="U100" s="1206"/>
      <c r="V100" s="1206"/>
      <c r="W100" s="1206"/>
      <c r="X100" s="1206"/>
      <c r="Y100" s="1206"/>
      <c r="Z100" s="118"/>
    </row>
    <row r="101" spans="1:26">
      <c r="B101" s="304" t="s">
        <v>612</v>
      </c>
      <c r="C101" s="296" t="s">
        <v>1119</v>
      </c>
      <c r="E101" s="102">
        <v>0</v>
      </c>
      <c r="F101" s="102">
        <v>0</v>
      </c>
      <c r="G101" s="102">
        <v>0</v>
      </c>
      <c r="H101" s="102">
        <v>0</v>
      </c>
      <c r="I101" s="119" t="s">
        <v>1281</v>
      </c>
      <c r="K101" s="102">
        <v>0</v>
      </c>
      <c r="L101" s="102">
        <v>0</v>
      </c>
      <c r="M101" s="102">
        <v>0</v>
      </c>
      <c r="N101" s="102">
        <v>0</v>
      </c>
      <c r="O101" s="228">
        <v>0</v>
      </c>
      <c r="P101" s="1207" t="s">
        <v>1688</v>
      </c>
      <c r="Q101" s="1206"/>
      <c r="R101" s="1206"/>
      <c r="S101" s="1206"/>
      <c r="T101" s="1206"/>
      <c r="U101" s="1206"/>
      <c r="V101" s="1206"/>
      <c r="W101" s="1206"/>
      <c r="X101" s="1206"/>
      <c r="Y101" s="1206"/>
      <c r="Z101" s="118"/>
    </row>
    <row r="102" spans="1:26">
      <c r="B102" s="304" t="s">
        <v>611</v>
      </c>
      <c r="C102" s="296" t="s">
        <v>1119</v>
      </c>
      <c r="E102" s="102">
        <v>75235.174162225172</v>
      </c>
      <c r="F102" s="102">
        <v>75235.174162225172</v>
      </c>
      <c r="G102" s="102">
        <v>75235.174162225172</v>
      </c>
      <c r="H102" s="102">
        <v>75235.174162225172</v>
      </c>
      <c r="I102" s="119" t="s">
        <v>1282</v>
      </c>
      <c r="K102" s="102">
        <v>167640.80483384151</v>
      </c>
      <c r="L102" s="102">
        <v>167640.80483384151</v>
      </c>
      <c r="M102" s="102">
        <v>136913.07374453908</v>
      </c>
      <c r="N102" s="102">
        <v>167640.80483384151</v>
      </c>
      <c r="O102" s="228">
        <v>68784.489454661176</v>
      </c>
      <c r="P102" s="1207" t="s">
        <v>1681</v>
      </c>
      <c r="Q102" s="1206"/>
      <c r="R102" s="1206"/>
      <c r="S102" s="1206"/>
      <c r="T102" s="1206"/>
      <c r="U102" s="1206"/>
      <c r="V102" s="1206"/>
      <c r="W102" s="1206"/>
      <c r="X102" s="1206"/>
      <c r="Y102" s="1206"/>
      <c r="Z102" s="118"/>
    </row>
    <row r="103" spans="1:26">
      <c r="B103" s="304" t="s">
        <v>610</v>
      </c>
      <c r="C103" s="296" t="s">
        <v>1119</v>
      </c>
      <c r="E103" s="102">
        <v>0</v>
      </c>
      <c r="F103" s="102">
        <v>0</v>
      </c>
      <c r="G103" s="102">
        <v>0</v>
      </c>
      <c r="H103" s="102">
        <v>0</v>
      </c>
      <c r="I103" s="119" t="s">
        <v>1283</v>
      </c>
      <c r="K103" s="102">
        <v>0</v>
      </c>
      <c r="L103" s="102">
        <v>0</v>
      </c>
      <c r="M103" s="102">
        <v>0</v>
      </c>
      <c r="N103" s="102">
        <v>0</v>
      </c>
      <c r="O103" s="228">
        <v>0</v>
      </c>
      <c r="P103" s="1207" t="s">
        <v>1682</v>
      </c>
      <c r="Q103" s="1206"/>
      <c r="R103" s="1206"/>
      <c r="S103" s="1206"/>
      <c r="T103" s="1206"/>
      <c r="U103" s="1206"/>
      <c r="V103" s="1206"/>
      <c r="W103" s="1206"/>
      <c r="X103" s="1206"/>
      <c r="Y103" s="1206"/>
      <c r="Z103" s="118"/>
    </row>
    <row r="104" spans="1:26">
      <c r="B104" s="304" t="s">
        <v>609</v>
      </c>
      <c r="C104" s="296" t="s">
        <v>1119</v>
      </c>
      <c r="E104" s="102">
        <v>129013.69415127992</v>
      </c>
      <c r="F104" s="102">
        <v>129013.69415127992</v>
      </c>
      <c r="G104" s="102">
        <v>129013.69415127992</v>
      </c>
      <c r="H104" s="102">
        <v>129013.69415127992</v>
      </c>
      <c r="I104" s="119" t="s">
        <v>1284</v>
      </c>
      <c r="K104" s="102">
        <v>230507.88899752332</v>
      </c>
      <c r="L104" s="102">
        <v>230507.88899752332</v>
      </c>
      <c r="M104" s="102">
        <v>0</v>
      </c>
      <c r="N104" s="102">
        <v>230507.88899752332</v>
      </c>
      <c r="O104" s="228">
        <v>232589.67495531368</v>
      </c>
      <c r="P104" s="1207" t="s">
        <v>1683</v>
      </c>
      <c r="Q104" s="1206"/>
      <c r="R104" s="1206"/>
      <c r="S104" s="1206"/>
      <c r="T104" s="1206"/>
      <c r="U104" s="1206"/>
      <c r="V104" s="1206"/>
      <c r="W104" s="1206"/>
      <c r="X104" s="1206"/>
      <c r="Y104" s="1206"/>
      <c r="Z104" s="118"/>
    </row>
    <row r="105" spans="1:26">
      <c r="B105" s="304" t="s">
        <v>608</v>
      </c>
      <c r="C105" s="296" t="s">
        <v>1119</v>
      </c>
      <c r="E105" s="102">
        <v>26378.794670630839</v>
      </c>
      <c r="F105" s="102">
        <v>26378.794670630839</v>
      </c>
      <c r="G105" s="102">
        <v>26378.794670630839</v>
      </c>
      <c r="H105" s="102">
        <v>26378.794670630839</v>
      </c>
      <c r="I105" s="119" t="s">
        <v>1285</v>
      </c>
      <c r="K105" s="102">
        <v>179190.4392571988</v>
      </c>
      <c r="L105" s="102">
        <v>179190.4392571988</v>
      </c>
      <c r="M105" s="102">
        <v>60314.757544199165</v>
      </c>
      <c r="N105" s="102">
        <v>179190.4392571988</v>
      </c>
      <c r="O105" s="228">
        <v>25238.090036225185</v>
      </c>
      <c r="P105" s="1207" t="s">
        <v>1684</v>
      </c>
      <c r="Q105" s="1206"/>
      <c r="R105" s="1206"/>
      <c r="S105" s="1206"/>
      <c r="T105" s="1206"/>
      <c r="U105" s="1206"/>
      <c r="V105" s="1206"/>
      <c r="W105" s="1206"/>
      <c r="X105" s="1206"/>
      <c r="Y105" s="1206"/>
      <c r="Z105" s="118"/>
    </row>
    <row r="106" spans="1:26">
      <c r="B106" s="304"/>
      <c r="C106" s="140"/>
      <c r="E106" s="310"/>
      <c r="I106" s="119"/>
      <c r="P106" s="1207"/>
      <c r="Q106" s="1206"/>
      <c r="R106" s="1206"/>
      <c r="S106" s="1206"/>
      <c r="T106" s="1206"/>
      <c r="U106" s="1206"/>
      <c r="V106" s="1206"/>
      <c r="W106" s="1206"/>
      <c r="X106" s="1206"/>
      <c r="Y106" s="1206"/>
      <c r="Z106" s="118"/>
    </row>
    <row r="107" spans="1:26">
      <c r="B107" s="193" t="s">
        <v>618</v>
      </c>
      <c r="C107" s="302" t="s">
        <v>224</v>
      </c>
      <c r="D107" s="202"/>
      <c r="E107" s="288"/>
      <c r="F107" s="309"/>
      <c r="G107" s="306">
        <f>G66</f>
        <v>0.5</v>
      </c>
      <c r="H107" s="306">
        <v>0.5</v>
      </c>
      <c r="I107" s="300"/>
      <c r="J107" s="299"/>
      <c r="K107" s="299"/>
      <c r="L107" s="299"/>
      <c r="M107" s="299"/>
      <c r="N107" s="299"/>
      <c r="O107" s="299"/>
      <c r="P107" s="1207" t="s">
        <v>1685</v>
      </c>
      <c r="Q107" s="1206"/>
      <c r="R107" s="1206"/>
      <c r="S107" s="1206"/>
      <c r="T107" s="1206"/>
      <c r="U107" s="1206"/>
      <c r="V107" s="1206"/>
      <c r="W107" s="1206"/>
      <c r="X107" s="1206"/>
      <c r="Y107" s="1206"/>
      <c r="Z107" s="118"/>
    </row>
    <row r="108" spans="1:26">
      <c r="B108" s="193" t="s">
        <v>617</v>
      </c>
      <c r="C108" s="302" t="s">
        <v>399</v>
      </c>
      <c r="D108" s="202"/>
      <c r="E108" s="288"/>
      <c r="F108" s="208"/>
      <c r="G108" s="208">
        <v>23</v>
      </c>
      <c r="H108" s="208">
        <v>23</v>
      </c>
      <c r="I108" s="300"/>
      <c r="J108" s="299"/>
      <c r="K108" s="299"/>
      <c r="L108" s="299"/>
      <c r="M108" s="299"/>
      <c r="N108" s="299"/>
      <c r="O108" s="299"/>
      <c r="P108" s="1392" t="s">
        <v>1687</v>
      </c>
      <c r="Q108" s="1393"/>
      <c r="R108" s="1393"/>
      <c r="S108" s="1393"/>
      <c r="T108" s="1393"/>
      <c r="U108" s="1393"/>
      <c r="V108" s="1393"/>
      <c r="W108" s="1393"/>
      <c r="X108" s="1393"/>
      <c r="Y108" s="1393"/>
      <c r="Z108" s="118"/>
    </row>
    <row r="109" spans="1:26">
      <c r="B109" s="193" t="s">
        <v>616</v>
      </c>
      <c r="C109" s="302"/>
      <c r="D109" s="202"/>
      <c r="E109" s="288"/>
      <c r="F109" s="208"/>
      <c r="G109" s="241" t="s">
        <v>615</v>
      </c>
      <c r="H109" s="241" t="s">
        <v>615</v>
      </c>
      <c r="I109" s="300"/>
      <c r="J109" s="299"/>
      <c r="K109" s="299"/>
      <c r="L109" s="299"/>
      <c r="M109" s="299"/>
      <c r="N109" s="299"/>
      <c r="O109" s="299"/>
      <c r="P109" s="1392" t="s">
        <v>1687</v>
      </c>
      <c r="Q109" s="1393"/>
      <c r="R109" s="1393"/>
      <c r="S109" s="1393"/>
      <c r="T109" s="1393"/>
      <c r="U109" s="1393"/>
      <c r="V109" s="1393"/>
      <c r="W109" s="1393"/>
      <c r="X109" s="1393"/>
      <c r="Y109" s="1393"/>
      <c r="Z109" s="118"/>
    </row>
    <row r="110" spans="1:26">
      <c r="B110" s="266" t="s">
        <v>614</v>
      </c>
      <c r="C110" s="302"/>
      <c r="D110" s="202"/>
      <c r="E110" s="288"/>
      <c r="F110" s="288"/>
      <c r="G110" s="241"/>
      <c r="H110" s="241"/>
      <c r="I110" s="300"/>
      <c r="J110" s="299"/>
      <c r="K110" s="299"/>
      <c r="L110" s="299"/>
      <c r="M110" s="299"/>
      <c r="N110" s="299"/>
      <c r="O110" s="299"/>
      <c r="P110" s="1205" t="s">
        <v>1689</v>
      </c>
      <c r="Q110" s="1206"/>
      <c r="R110" s="1206"/>
      <c r="S110" s="1206"/>
      <c r="T110" s="1206"/>
      <c r="U110" s="1206"/>
      <c r="V110" s="1206"/>
      <c r="W110" s="1206"/>
      <c r="X110" s="1206"/>
      <c r="Y110" s="1206"/>
      <c r="Z110" s="118"/>
    </row>
    <row r="111" spans="1:26">
      <c r="B111" s="304" t="s">
        <v>612</v>
      </c>
      <c r="C111" s="296" t="s">
        <v>1119</v>
      </c>
      <c r="D111" s="202"/>
      <c r="E111" s="288"/>
      <c r="F111" s="102"/>
      <c r="G111" s="102">
        <v>0</v>
      </c>
      <c r="H111" s="102">
        <v>0</v>
      </c>
      <c r="I111" s="119" t="s">
        <v>1286</v>
      </c>
      <c r="J111" s="299"/>
      <c r="K111" s="299"/>
      <c r="L111" s="299"/>
      <c r="M111" s="299"/>
      <c r="N111" s="299"/>
      <c r="O111" s="299"/>
      <c r="P111" s="1207"/>
      <c r="Q111" s="1206"/>
      <c r="R111" s="1206"/>
      <c r="S111" s="1206"/>
      <c r="T111" s="1206"/>
      <c r="U111" s="1206"/>
      <c r="V111" s="1206"/>
      <c r="W111" s="1206"/>
      <c r="X111" s="1206"/>
      <c r="Y111" s="1206"/>
      <c r="Z111" s="118"/>
    </row>
    <row r="112" spans="1:26">
      <c r="B112" s="304" t="s">
        <v>611</v>
      </c>
      <c r="C112" s="296" t="s">
        <v>1119</v>
      </c>
      <c r="D112" s="202"/>
      <c r="E112" s="288"/>
      <c r="F112" s="102"/>
      <c r="G112" s="102">
        <v>68613.383759500328</v>
      </c>
      <c r="H112" s="102">
        <v>68613.383759500328</v>
      </c>
      <c r="I112" s="119" t="s">
        <v>1286</v>
      </c>
      <c r="J112" s="299"/>
      <c r="K112" s="299"/>
      <c r="L112" s="299"/>
      <c r="M112" s="299"/>
      <c r="N112" s="299"/>
      <c r="O112" s="299"/>
      <c r="P112" s="1207"/>
      <c r="Q112" s="1206"/>
      <c r="R112" s="1206"/>
      <c r="S112" s="1206"/>
      <c r="T112" s="1206"/>
      <c r="U112" s="1206"/>
      <c r="V112" s="1206"/>
      <c r="W112" s="1206"/>
      <c r="X112" s="1206"/>
      <c r="Y112" s="1206"/>
      <c r="Z112" s="118"/>
    </row>
    <row r="113" spans="2:26">
      <c r="B113" s="304" t="s">
        <v>610</v>
      </c>
      <c r="C113" s="296" t="s">
        <v>1119</v>
      </c>
      <c r="D113" s="202"/>
      <c r="E113" s="288"/>
      <c r="F113" s="102"/>
      <c r="G113" s="102">
        <v>0</v>
      </c>
      <c r="H113" s="102">
        <v>0</v>
      </c>
      <c r="I113" s="119" t="s">
        <v>1286</v>
      </c>
      <c r="J113" s="299"/>
      <c r="K113" s="299"/>
      <c r="L113" s="299"/>
      <c r="M113" s="299"/>
      <c r="N113" s="299"/>
      <c r="O113" s="299"/>
      <c r="P113" s="1207"/>
      <c r="Q113" s="1206"/>
      <c r="R113" s="1206"/>
      <c r="S113" s="1206"/>
      <c r="T113" s="1206"/>
      <c r="U113" s="1206"/>
      <c r="V113" s="1206"/>
      <c r="W113" s="1206"/>
      <c r="X113" s="1206"/>
      <c r="Y113" s="1206"/>
      <c r="Z113" s="118"/>
    </row>
    <row r="114" spans="2:26">
      <c r="B114" s="304" t="s">
        <v>609</v>
      </c>
      <c r="C114" s="296" t="s">
        <v>1119</v>
      </c>
      <c r="F114" s="102"/>
      <c r="G114" s="102">
        <v>100439.0430594182</v>
      </c>
      <c r="H114" s="102">
        <v>100439.0430594182</v>
      </c>
      <c r="I114" s="119" t="s">
        <v>1286</v>
      </c>
      <c r="P114" s="1207"/>
      <c r="Q114" s="1206"/>
      <c r="R114" s="1206"/>
      <c r="S114" s="1206"/>
      <c r="T114" s="1206"/>
      <c r="U114" s="1206"/>
      <c r="V114" s="1206"/>
      <c r="W114" s="1206"/>
      <c r="X114" s="1206"/>
      <c r="Y114" s="1206"/>
      <c r="Z114" s="118"/>
    </row>
    <row r="115" spans="2:26">
      <c r="B115" s="304" t="s">
        <v>608</v>
      </c>
      <c r="C115" s="296" t="s">
        <v>1119</v>
      </c>
      <c r="D115" s="202"/>
      <c r="E115" s="288"/>
      <c r="F115" s="102"/>
      <c r="G115" s="102">
        <v>25437.713347246176</v>
      </c>
      <c r="H115" s="102">
        <v>25437.713347246176</v>
      </c>
      <c r="I115" s="119" t="s">
        <v>1286</v>
      </c>
      <c r="J115" s="299"/>
      <c r="K115" s="299"/>
      <c r="L115" s="299"/>
      <c r="M115" s="299"/>
      <c r="N115" s="299"/>
      <c r="O115" s="299"/>
      <c r="P115" s="1207"/>
      <c r="Q115" s="1206"/>
      <c r="R115" s="1206"/>
      <c r="S115" s="1206"/>
      <c r="T115" s="1206"/>
      <c r="U115" s="1206"/>
      <c r="V115" s="1206"/>
      <c r="W115" s="1206"/>
      <c r="X115" s="1206"/>
      <c r="Y115" s="1206"/>
      <c r="Z115" s="118"/>
    </row>
    <row r="116" spans="2:26">
      <c r="B116" s="304"/>
      <c r="C116" s="296"/>
      <c r="D116" s="202"/>
      <c r="E116" s="288"/>
      <c r="F116" s="306"/>
      <c r="G116" s="306"/>
      <c r="H116" s="306"/>
      <c r="I116" s="300"/>
      <c r="J116" s="299"/>
      <c r="K116" s="299"/>
      <c r="L116" s="299"/>
      <c r="M116" s="299"/>
      <c r="N116" s="299"/>
      <c r="O116" s="299"/>
      <c r="P116" s="1207"/>
      <c r="Q116" s="1206"/>
      <c r="R116" s="1206"/>
      <c r="S116" s="1206"/>
      <c r="T116" s="1206"/>
      <c r="U116" s="1206"/>
      <c r="V116" s="1206"/>
      <c r="W116" s="1206"/>
      <c r="X116" s="1206"/>
      <c r="Y116" s="1206"/>
      <c r="Z116" s="118"/>
    </row>
    <row r="117" spans="2:26">
      <c r="B117" s="266" t="s">
        <v>613</v>
      </c>
      <c r="C117" s="302"/>
      <c r="D117" s="202"/>
      <c r="E117" s="288"/>
      <c r="F117" s="306"/>
      <c r="G117" s="306"/>
      <c r="H117" s="306"/>
      <c r="I117" s="300"/>
      <c r="J117" s="299"/>
      <c r="K117" s="299"/>
      <c r="L117" s="299"/>
      <c r="M117" s="299"/>
      <c r="N117" s="299"/>
      <c r="O117" s="299"/>
      <c r="P117" s="1213" t="s">
        <v>1691</v>
      </c>
      <c r="Q117" s="1206"/>
      <c r="R117" s="1206"/>
      <c r="S117" s="1206"/>
      <c r="T117" s="1206"/>
      <c r="U117" s="1206"/>
      <c r="V117" s="1206"/>
      <c r="W117" s="1206"/>
      <c r="X117" s="1206"/>
      <c r="Y117" s="1206"/>
      <c r="Z117" s="118"/>
    </row>
    <row r="118" spans="2:26">
      <c r="B118" s="304" t="s">
        <v>612</v>
      </c>
      <c r="C118" s="296" t="s">
        <v>1119</v>
      </c>
      <c r="D118" s="202"/>
      <c r="E118" s="307">
        <f t="shared" ref="E118:F122" si="12">E101*E$97</f>
        <v>0</v>
      </c>
      <c r="F118" s="307">
        <f t="shared" si="12"/>
        <v>0</v>
      </c>
      <c r="G118" s="307">
        <f t="shared" ref="G118:H122" si="13">G101*G$97+G111*G$107</f>
        <v>0</v>
      </c>
      <c r="H118" s="307">
        <f t="shared" si="13"/>
        <v>0</v>
      </c>
      <c r="I118" s="300"/>
      <c r="J118" s="299"/>
      <c r="K118" s="307">
        <f t="shared" ref="K118:O122" si="14">K101*K$97</f>
        <v>0</v>
      </c>
      <c r="L118" s="307">
        <f t="shared" si="14"/>
        <v>0</v>
      </c>
      <c r="M118" s="307">
        <f t="shared" si="14"/>
        <v>0</v>
      </c>
      <c r="N118" s="307">
        <f t="shared" si="14"/>
        <v>0</v>
      </c>
      <c r="O118" s="307">
        <f t="shared" si="14"/>
        <v>0</v>
      </c>
      <c r="P118" s="1207"/>
      <c r="Q118" s="1206"/>
      <c r="R118" s="1206"/>
      <c r="S118" s="1206"/>
      <c r="T118" s="1206"/>
      <c r="U118" s="1206"/>
      <c r="V118" s="1206"/>
      <c r="W118" s="1206"/>
      <c r="X118" s="1206"/>
      <c r="Y118" s="1206"/>
      <c r="Z118" s="118"/>
    </row>
    <row r="119" spans="2:26">
      <c r="B119" s="304" t="s">
        <v>611</v>
      </c>
      <c r="C119" s="296" t="s">
        <v>1119</v>
      </c>
      <c r="D119" s="202"/>
      <c r="E119" s="307">
        <f t="shared" si="12"/>
        <v>75235.174162225172</v>
      </c>
      <c r="F119" s="308">
        <f t="shared" si="12"/>
        <v>75235.174162225172</v>
      </c>
      <c r="G119" s="307">
        <f t="shared" si="13"/>
        <v>71924.27896086275</v>
      </c>
      <c r="H119" s="307">
        <f t="shared" si="13"/>
        <v>71924.27896086275</v>
      </c>
      <c r="I119" s="300"/>
      <c r="J119" s="299"/>
      <c r="K119" s="307">
        <f t="shared" si="14"/>
        <v>167640.80483384151</v>
      </c>
      <c r="L119" s="307">
        <f t="shared" si="14"/>
        <v>167640.80483384151</v>
      </c>
      <c r="M119" s="307">
        <f t="shared" si="14"/>
        <v>136913.07374453908</v>
      </c>
      <c r="N119" s="307">
        <f t="shared" si="14"/>
        <v>167640.80483384151</v>
      </c>
      <c r="O119" s="307">
        <f t="shared" si="14"/>
        <v>68784.489454661176</v>
      </c>
      <c r="P119" s="1207"/>
      <c r="Q119" s="1206"/>
      <c r="R119" s="1206"/>
      <c r="S119" s="1206"/>
      <c r="T119" s="1206"/>
      <c r="U119" s="1206"/>
      <c r="V119" s="1206"/>
      <c r="W119" s="1206"/>
      <c r="X119" s="1206"/>
      <c r="Y119" s="1206"/>
      <c r="Z119" s="118"/>
    </row>
    <row r="120" spans="2:26">
      <c r="B120" s="304" t="s">
        <v>610</v>
      </c>
      <c r="C120" s="296" t="s">
        <v>1119</v>
      </c>
      <c r="D120" s="202"/>
      <c r="E120" s="307">
        <f t="shared" si="12"/>
        <v>0</v>
      </c>
      <c r="F120" s="307">
        <f t="shared" si="12"/>
        <v>0</v>
      </c>
      <c r="G120" s="307">
        <f t="shared" si="13"/>
        <v>0</v>
      </c>
      <c r="H120" s="307">
        <f t="shared" si="13"/>
        <v>0</v>
      </c>
      <c r="I120" s="300"/>
      <c r="J120" s="299"/>
      <c r="K120" s="307">
        <f t="shared" si="14"/>
        <v>0</v>
      </c>
      <c r="L120" s="307">
        <f t="shared" si="14"/>
        <v>0</v>
      </c>
      <c r="M120" s="307">
        <f t="shared" si="14"/>
        <v>0</v>
      </c>
      <c r="N120" s="307">
        <f t="shared" si="14"/>
        <v>0</v>
      </c>
      <c r="O120" s="307">
        <f t="shared" si="14"/>
        <v>0</v>
      </c>
      <c r="P120" s="1207"/>
      <c r="Q120" s="1206"/>
      <c r="R120" s="1206"/>
      <c r="S120" s="1206"/>
      <c r="T120" s="1206"/>
      <c r="U120" s="1206"/>
      <c r="V120" s="1206"/>
      <c r="W120" s="1206"/>
      <c r="X120" s="1206"/>
      <c r="Y120" s="1206"/>
      <c r="Z120" s="118"/>
    </row>
    <row r="121" spans="2:26">
      <c r="B121" s="304" t="s">
        <v>609</v>
      </c>
      <c r="C121" s="296" t="s">
        <v>1119</v>
      </c>
      <c r="D121" s="202"/>
      <c r="E121" s="307">
        <f t="shared" si="12"/>
        <v>129013.69415127992</v>
      </c>
      <c r="F121" s="307">
        <f t="shared" si="12"/>
        <v>129013.69415127992</v>
      </c>
      <c r="G121" s="307">
        <f t="shared" si="13"/>
        <v>114726.36860534907</v>
      </c>
      <c r="H121" s="307">
        <f t="shared" si="13"/>
        <v>114726.36860534907</v>
      </c>
      <c r="I121" s="300"/>
      <c r="J121" s="299"/>
      <c r="K121" s="307">
        <f t="shared" si="14"/>
        <v>230507.88899752332</v>
      </c>
      <c r="L121" s="307">
        <f t="shared" si="14"/>
        <v>230507.88899752332</v>
      </c>
      <c r="M121" s="307">
        <f t="shared" si="14"/>
        <v>0</v>
      </c>
      <c r="N121" s="307">
        <f t="shared" si="14"/>
        <v>230507.88899752332</v>
      </c>
      <c r="O121" s="307">
        <f t="shared" si="14"/>
        <v>232589.67495531368</v>
      </c>
      <c r="P121" s="1207"/>
      <c r="Q121" s="1206"/>
      <c r="R121" s="1206"/>
      <c r="S121" s="1206"/>
      <c r="T121" s="1206"/>
      <c r="U121" s="1206"/>
      <c r="V121" s="1206"/>
      <c r="W121" s="1206"/>
      <c r="X121" s="1206"/>
      <c r="Y121" s="1206"/>
      <c r="Z121" s="118"/>
    </row>
    <row r="122" spans="2:26">
      <c r="B122" s="304" t="s">
        <v>608</v>
      </c>
      <c r="C122" s="296" t="s">
        <v>1119</v>
      </c>
      <c r="D122" s="202"/>
      <c r="E122" s="307">
        <f t="shared" si="12"/>
        <v>26378.794670630839</v>
      </c>
      <c r="F122" s="307">
        <f t="shared" si="12"/>
        <v>26378.794670630839</v>
      </c>
      <c r="G122" s="307">
        <f t="shared" si="13"/>
        <v>25908.254008938507</v>
      </c>
      <c r="H122" s="307">
        <f t="shared" si="13"/>
        <v>25908.254008938507</v>
      </c>
      <c r="I122" s="300"/>
      <c r="J122" s="299"/>
      <c r="K122" s="307">
        <f>K105*K$97</f>
        <v>179190.4392571988</v>
      </c>
      <c r="L122" s="307">
        <f t="shared" si="14"/>
        <v>179190.4392571988</v>
      </c>
      <c r="M122" s="307">
        <f t="shared" si="14"/>
        <v>60314.757544199165</v>
      </c>
      <c r="N122" s="307">
        <f t="shared" si="14"/>
        <v>179190.4392571988</v>
      </c>
      <c r="O122" s="307">
        <f t="shared" si="14"/>
        <v>25238.090036225185</v>
      </c>
      <c r="P122" s="1207"/>
      <c r="Q122" s="1206"/>
      <c r="R122" s="1206"/>
      <c r="S122" s="1206"/>
      <c r="T122" s="1206"/>
      <c r="U122" s="1206"/>
      <c r="V122" s="1206"/>
      <c r="W122" s="1206"/>
      <c r="X122" s="1206"/>
      <c r="Y122" s="1206"/>
      <c r="Z122" s="118"/>
    </row>
    <row r="123" spans="2:26">
      <c r="B123" s="266" t="s">
        <v>607</v>
      </c>
      <c r="C123" s="296"/>
      <c r="D123" s="202"/>
      <c r="E123" s="288"/>
      <c r="F123" s="306"/>
      <c r="G123" s="306"/>
      <c r="H123" s="306"/>
      <c r="I123" s="300"/>
      <c r="J123" s="299"/>
      <c r="K123" s="299"/>
      <c r="L123" s="299"/>
      <c r="M123" s="299"/>
      <c r="N123" s="299"/>
      <c r="O123" s="299"/>
      <c r="P123" s="1207" t="s">
        <v>1715</v>
      </c>
      <c r="Q123" s="1206"/>
      <c r="R123" s="1206"/>
      <c r="S123" s="1206"/>
      <c r="T123" s="1206"/>
      <c r="U123" s="1206"/>
      <c r="V123" s="1206"/>
      <c r="W123" s="1206"/>
      <c r="X123" s="1206"/>
      <c r="Y123" s="1206"/>
      <c r="Z123" s="118"/>
    </row>
    <row r="124" spans="2:26">
      <c r="B124" s="304"/>
      <c r="C124" s="302"/>
      <c r="D124" s="202"/>
      <c r="E124" s="288"/>
      <c r="F124" s="306"/>
      <c r="G124" s="306"/>
      <c r="H124" s="306"/>
      <c r="I124" s="300"/>
      <c r="J124" s="299"/>
      <c r="K124" s="299"/>
      <c r="L124" s="299"/>
      <c r="M124" s="299"/>
      <c r="N124" s="299"/>
      <c r="O124" s="299"/>
      <c r="P124" s="1207"/>
      <c r="Q124" s="1206"/>
      <c r="R124" s="1206"/>
      <c r="S124" s="1206"/>
      <c r="T124" s="1206"/>
      <c r="U124" s="1206"/>
      <c r="V124" s="1206"/>
      <c r="W124" s="1206"/>
      <c r="X124" s="1206"/>
      <c r="Y124" s="1206"/>
      <c r="Z124" s="118"/>
    </row>
    <row r="125" spans="2:26">
      <c r="B125" s="266" t="s">
        <v>606</v>
      </c>
      <c r="C125" s="302"/>
      <c r="D125" s="202"/>
      <c r="E125" s="202"/>
      <c r="F125" s="202"/>
      <c r="G125" s="202"/>
      <c r="H125" s="202"/>
      <c r="I125" s="300"/>
      <c r="J125" s="299"/>
      <c r="K125" s="299"/>
      <c r="L125" s="299"/>
      <c r="M125" s="299"/>
      <c r="N125" s="299"/>
      <c r="O125" s="299"/>
      <c r="P125" s="1207"/>
      <c r="Q125" s="1206"/>
      <c r="R125" s="1206"/>
      <c r="S125" s="1206"/>
      <c r="T125" s="1206"/>
      <c r="U125" s="1206"/>
      <c r="V125" s="1206"/>
      <c r="W125" s="1206"/>
      <c r="X125" s="1206"/>
      <c r="Y125" s="1206"/>
      <c r="Z125" s="118"/>
    </row>
    <row r="126" spans="2:26">
      <c r="B126" s="304" t="s">
        <v>605</v>
      </c>
      <c r="C126" s="302" t="s">
        <v>224</v>
      </c>
      <c r="D126" s="202"/>
      <c r="E126" s="299">
        <f>F126</f>
        <v>0.11855467511885896</v>
      </c>
      <c r="F126" s="11">
        <f>2078/(15775/0.9)</f>
        <v>0.11855467511885896</v>
      </c>
      <c r="G126" s="305">
        <f>7/(4321/0.9)</f>
        <v>1.4579958342976161E-3</v>
      </c>
      <c r="H126" s="301">
        <v>5.0000000000000001E-3</v>
      </c>
      <c r="I126" s="300"/>
      <c r="J126" s="299"/>
      <c r="K126" s="299">
        <f>L126</f>
        <v>3.4782608695652174E-2</v>
      </c>
      <c r="L126" s="299">
        <f>4/L69</f>
        <v>3.4782608695652174E-2</v>
      </c>
      <c r="M126" s="299">
        <f>6/M69</f>
        <v>9.5238095238095233E-2</v>
      </c>
      <c r="N126" s="299">
        <f>L126</f>
        <v>3.4782608695652174E-2</v>
      </c>
      <c r="O126" s="289">
        <v>0</v>
      </c>
      <c r="P126" s="1207" t="s">
        <v>313</v>
      </c>
      <c r="Q126" s="1206"/>
      <c r="R126" s="1206"/>
      <c r="S126" s="1206"/>
      <c r="T126" s="1206"/>
      <c r="U126" s="1206"/>
      <c r="V126" s="1206"/>
      <c r="W126" s="1206"/>
      <c r="X126" s="1206"/>
      <c r="Y126" s="1206"/>
      <c r="Z126" s="118"/>
    </row>
    <row r="127" spans="2:26">
      <c r="B127" s="304" t="s">
        <v>604</v>
      </c>
      <c r="C127" s="302" t="s">
        <v>224</v>
      </c>
      <c r="D127" s="202"/>
      <c r="E127" s="299">
        <f>F127</f>
        <v>2.5673534072900159E-2</v>
      </c>
      <c r="F127" s="11">
        <f>450/(15775/0.9)</f>
        <v>2.5673534072900159E-2</v>
      </c>
      <c r="G127" s="301">
        <v>0</v>
      </c>
      <c r="H127" s="301">
        <v>0</v>
      </c>
      <c r="I127" s="300"/>
      <c r="J127" s="299"/>
      <c r="K127" s="299">
        <f>L127</f>
        <v>0</v>
      </c>
      <c r="L127" s="299">
        <v>0</v>
      </c>
      <c r="M127" s="299">
        <f>1/M69</f>
        <v>1.5873015873015872E-2</v>
      </c>
      <c r="N127" s="299">
        <f>L127</f>
        <v>0</v>
      </c>
      <c r="O127" s="289">
        <v>0</v>
      </c>
      <c r="P127" s="1207" t="s">
        <v>313</v>
      </c>
      <c r="Q127" s="1206"/>
      <c r="R127" s="1206"/>
      <c r="S127" s="1206"/>
      <c r="T127" s="1206"/>
      <c r="U127" s="1206"/>
      <c r="V127" s="1206"/>
      <c r="W127" s="1206"/>
      <c r="X127" s="1206"/>
      <c r="Y127" s="1206"/>
      <c r="Z127" s="118"/>
    </row>
    <row r="128" spans="2:26">
      <c r="B128" s="193"/>
      <c r="C128" s="302"/>
      <c r="D128" s="202"/>
      <c r="E128" s="299"/>
      <c r="F128" s="11"/>
      <c r="G128" s="301"/>
      <c r="H128" s="301"/>
      <c r="I128" s="300"/>
      <c r="J128" s="299"/>
      <c r="K128" s="299"/>
      <c r="L128" s="299"/>
      <c r="M128" s="299"/>
      <c r="N128" s="299"/>
      <c r="O128" s="299"/>
      <c r="P128" s="1207"/>
      <c r="Q128" s="1206"/>
      <c r="R128" s="1206"/>
      <c r="S128" s="1206"/>
      <c r="T128" s="1206"/>
      <c r="U128" s="1206"/>
      <c r="V128" s="1206"/>
      <c r="W128" s="1206"/>
      <c r="X128" s="1206"/>
      <c r="Y128" s="1206"/>
      <c r="Z128" s="118"/>
    </row>
    <row r="129" spans="2:26">
      <c r="B129" s="303" t="s">
        <v>603</v>
      </c>
      <c r="C129" s="302"/>
      <c r="D129" s="202"/>
      <c r="E129" s="202"/>
      <c r="F129" s="202"/>
      <c r="G129" s="202"/>
      <c r="H129" s="202"/>
      <c r="I129" s="119"/>
      <c r="J129" s="68"/>
      <c r="K129" s="298"/>
      <c r="L129" s="298"/>
      <c r="M129" s="298"/>
      <c r="N129" s="298"/>
      <c r="O129" s="298"/>
      <c r="P129" s="1207"/>
      <c r="Q129" s="1206"/>
      <c r="R129" s="1206"/>
      <c r="S129" s="1206"/>
      <c r="T129" s="1206"/>
      <c r="U129" s="1206"/>
      <c r="V129" s="1206"/>
      <c r="W129" s="1206"/>
      <c r="X129" s="1206"/>
      <c r="Y129" s="1206"/>
      <c r="Z129" s="118"/>
    </row>
    <row r="130" spans="2:26">
      <c r="B130" s="193" t="s">
        <v>602</v>
      </c>
      <c r="C130" s="302" t="s">
        <v>224</v>
      </c>
      <c r="D130" s="202"/>
      <c r="E130" s="301">
        <f>F130</f>
        <v>0.77500000000000002</v>
      </c>
      <c r="F130" s="301">
        <v>0.77500000000000002</v>
      </c>
      <c r="G130" s="299">
        <v>0.75</v>
      </c>
      <c r="H130" s="301">
        <v>0.625</v>
      </c>
      <c r="I130" s="300"/>
      <c r="J130" s="299"/>
      <c r="K130" s="299">
        <f>L130</f>
        <v>0</v>
      </c>
      <c r="L130" s="299">
        <v>0</v>
      </c>
      <c r="M130" s="299">
        <v>0</v>
      </c>
      <c r="N130" s="299">
        <f>L130</f>
        <v>0</v>
      </c>
      <c r="O130" s="299">
        <v>0.75</v>
      </c>
      <c r="P130" s="1207" t="s">
        <v>313</v>
      </c>
      <c r="Q130" s="1206"/>
      <c r="R130" s="1206"/>
      <c r="S130" s="1206"/>
      <c r="T130" s="1206"/>
      <c r="U130" s="1206"/>
      <c r="V130" s="1206"/>
      <c r="W130" s="1206"/>
      <c r="X130" s="1206"/>
      <c r="Y130" s="1206"/>
      <c r="Z130" s="118"/>
    </row>
    <row r="131" spans="2:26">
      <c r="B131" s="284"/>
      <c r="C131" s="297"/>
      <c r="D131" s="68"/>
      <c r="E131" s="68"/>
      <c r="F131" s="68"/>
      <c r="G131" s="68"/>
      <c r="H131" s="68"/>
      <c r="I131" s="119"/>
      <c r="J131" s="68"/>
      <c r="K131" s="298"/>
      <c r="L131" s="298"/>
      <c r="M131" s="298"/>
      <c r="N131" s="298"/>
      <c r="O131" s="298"/>
      <c r="P131" s="1207"/>
      <c r="Q131" s="1206"/>
      <c r="R131" s="1206"/>
      <c r="S131" s="1206"/>
      <c r="T131" s="1206"/>
      <c r="U131" s="1206"/>
      <c r="V131" s="1206"/>
      <c r="W131" s="1206"/>
      <c r="X131" s="1206"/>
      <c r="Y131" s="1206"/>
      <c r="Z131" s="118"/>
    </row>
    <row r="132" spans="2:26">
      <c r="B132" s="258" t="s">
        <v>601</v>
      </c>
      <c r="C132" s="297"/>
      <c r="I132" s="119"/>
      <c r="P132" s="1207"/>
      <c r="Q132" s="1206"/>
      <c r="R132" s="1206"/>
      <c r="S132" s="1206"/>
      <c r="T132" s="1206"/>
      <c r="U132" s="1206"/>
      <c r="V132" s="1206"/>
      <c r="W132" s="1206"/>
      <c r="X132" s="1206"/>
      <c r="Y132" s="1206"/>
      <c r="Z132" s="118"/>
    </row>
    <row r="133" spans="2:26" ht="16.5">
      <c r="B133" s="193" t="s">
        <v>600</v>
      </c>
      <c r="C133" s="296" t="s">
        <v>548</v>
      </c>
      <c r="D133" s="295" t="s">
        <v>599</v>
      </c>
      <c r="E133" s="295"/>
      <c r="F133" s="295"/>
      <c r="G133" s="295"/>
      <c r="H133" s="295"/>
      <c r="I133" s="294">
        <f>SUM(K133:N133)</f>
        <v>153500</v>
      </c>
      <c r="J133" s="293"/>
      <c r="K133" s="293">
        <v>64000</v>
      </c>
      <c r="L133" s="293">
        <v>27000</v>
      </c>
      <c r="M133" s="293">
        <v>12500</v>
      </c>
      <c r="N133" s="293">
        <v>50000</v>
      </c>
      <c r="O133" s="293" t="s">
        <v>598</v>
      </c>
      <c r="P133" s="1207"/>
      <c r="Q133" s="1206"/>
      <c r="R133" s="1206"/>
      <c r="S133" s="1206"/>
      <c r="T133" s="1206"/>
      <c r="U133" s="1206"/>
      <c r="V133" s="1206"/>
      <c r="W133" s="1206"/>
      <c r="X133" s="1206"/>
      <c r="Y133" s="1206"/>
      <c r="Z133" s="118"/>
    </row>
    <row r="134" spans="2:26">
      <c r="B134" s="258"/>
      <c r="C134" s="140"/>
      <c r="I134" s="119"/>
      <c r="P134" s="1207"/>
      <c r="Q134" s="1206"/>
      <c r="R134" s="1206"/>
      <c r="S134" s="1206"/>
      <c r="T134" s="1206"/>
      <c r="U134" s="1206"/>
      <c r="V134" s="1206"/>
      <c r="W134" s="1206"/>
      <c r="X134" s="1206"/>
      <c r="Y134" s="1206"/>
      <c r="Z134" s="118"/>
    </row>
    <row r="135" spans="2:26">
      <c r="B135" s="258"/>
      <c r="Y135" s="68"/>
    </row>
    <row r="137" spans="2:26" ht="15.5">
      <c r="B137" s="1216" t="s">
        <v>597</v>
      </c>
      <c r="C137" s="1239" t="s">
        <v>596</v>
      </c>
      <c r="D137" s="1239" t="s">
        <v>595</v>
      </c>
      <c r="E137" s="1215" t="s">
        <v>347</v>
      </c>
    </row>
    <row r="138" spans="2:26">
      <c r="B138" s="1217" t="s">
        <v>594</v>
      </c>
      <c r="C138" s="1240"/>
      <c r="D138" s="1240"/>
      <c r="E138" s="3"/>
    </row>
    <row r="139" spans="2:26" s="250" customFormat="1">
      <c r="B139" s="1218" t="s">
        <v>593</v>
      </c>
      <c r="C139" s="1241"/>
      <c r="D139" s="1241"/>
      <c r="E139" s="250" t="s">
        <v>1692</v>
      </c>
      <c r="F139" s="291"/>
      <c r="G139" s="291"/>
      <c r="H139" s="291"/>
      <c r="I139" s="291"/>
      <c r="J139" s="291"/>
    </row>
    <row r="140" spans="2:26" s="250" customFormat="1">
      <c r="B140" s="1219" t="s">
        <v>522</v>
      </c>
      <c r="C140" s="1241"/>
      <c r="D140" s="1403">
        <v>0.35</v>
      </c>
      <c r="E140" s="291" t="s">
        <v>592</v>
      </c>
      <c r="F140" s="291"/>
      <c r="G140" s="291"/>
      <c r="H140" s="291"/>
      <c r="I140" s="291"/>
      <c r="J140" s="291"/>
    </row>
    <row r="141" spans="2:26" s="250" customFormat="1">
      <c r="B141" s="1219"/>
      <c r="C141" s="1241"/>
      <c r="D141" s="1403"/>
      <c r="E141" s="291" t="s">
        <v>591</v>
      </c>
      <c r="F141" s="291"/>
      <c r="G141" s="291"/>
      <c r="H141" s="291"/>
      <c r="I141" s="291"/>
      <c r="J141" s="291"/>
    </row>
    <row r="142" spans="2:26" s="250" customFormat="1">
      <c r="B142" s="1219" t="s">
        <v>590</v>
      </c>
      <c r="C142" s="1241"/>
      <c r="D142" s="1243"/>
      <c r="E142" s="291"/>
      <c r="F142" s="291"/>
      <c r="G142" s="291"/>
      <c r="H142" s="291"/>
      <c r="I142" s="291"/>
      <c r="J142" s="291"/>
    </row>
    <row r="143" spans="2:26" s="291" customFormat="1">
      <c r="B143" s="1220" t="s">
        <v>589</v>
      </c>
      <c r="C143" s="296" t="s">
        <v>532</v>
      </c>
      <c r="D143" s="1244">
        <f>Assumptions!L10</f>
        <v>6</v>
      </c>
    </row>
    <row r="144" spans="2:26" s="250" customFormat="1">
      <c r="B144" s="1220" t="s">
        <v>588</v>
      </c>
      <c r="C144" s="296" t="s">
        <v>532</v>
      </c>
      <c r="D144" s="1245">
        <v>1742979.0400000007</v>
      </c>
    </row>
    <row r="145" spans="2:14" s="250" customFormat="1">
      <c r="B145" s="1220" t="s">
        <v>587</v>
      </c>
      <c r="C145" s="296" t="s">
        <v>532</v>
      </c>
      <c r="D145" s="1245">
        <f>1413000*(1+Assumptions!E48)^2</f>
        <v>1554866.6129999999</v>
      </c>
      <c r="E145" s="250" t="s">
        <v>586</v>
      </c>
    </row>
    <row r="146" spans="2:14" s="250" customFormat="1">
      <c r="B146" s="339"/>
      <c r="C146" s="1242"/>
      <c r="D146" s="1242"/>
      <c r="E146" s="969" t="s">
        <v>226</v>
      </c>
    </row>
    <row r="147" spans="2:14" s="250" customFormat="1">
      <c r="B147" s="1217" t="s">
        <v>585</v>
      </c>
      <c r="C147" s="296"/>
      <c r="D147" s="1246"/>
    </row>
    <row r="148" spans="2:14">
      <c r="B148" s="1221" t="s">
        <v>584</v>
      </c>
      <c r="C148" s="296" t="s">
        <v>532</v>
      </c>
      <c r="D148" s="296">
        <v>8</v>
      </c>
      <c r="E148" s="1" t="s">
        <v>583</v>
      </c>
    </row>
    <row r="149" spans="2:14">
      <c r="B149" s="1221"/>
      <c r="C149" s="296"/>
      <c r="D149" s="296"/>
      <c r="E149" s="1373"/>
      <c r="F149" s="1373"/>
      <c r="G149" s="1373"/>
      <c r="H149" s="1373"/>
      <c r="I149" s="1373"/>
      <c r="J149" s="1373"/>
      <c r="K149" s="1390"/>
      <c r="L149" s="1390"/>
      <c r="M149" s="1390"/>
      <c r="N149" s="1390"/>
    </row>
    <row r="150" spans="2:14">
      <c r="B150" s="1221" t="s">
        <v>582</v>
      </c>
      <c r="C150" s="296"/>
      <c r="D150" s="296"/>
      <c r="E150" s="1" t="s">
        <v>581</v>
      </c>
    </row>
    <row r="151" spans="2:14">
      <c r="B151" s="1222" t="s">
        <v>522</v>
      </c>
      <c r="C151" s="296" t="s">
        <v>532</v>
      </c>
      <c r="D151" s="1247">
        <f>(D71/$D$144)*$D$148*125%</f>
        <v>0.73378507179294561</v>
      </c>
    </row>
    <row r="152" spans="2:14">
      <c r="B152" s="1222" t="s">
        <v>514</v>
      </c>
      <c r="C152" s="296" t="s">
        <v>532</v>
      </c>
      <c r="D152" s="1247">
        <f>(I71/$D$144)*$D$148*125%</f>
        <v>0.74561998175262012</v>
      </c>
    </row>
    <row r="153" spans="2:14">
      <c r="B153" s="1223" t="s">
        <v>580</v>
      </c>
      <c r="C153" s="296"/>
      <c r="D153" s="1247"/>
    </row>
    <row r="154" spans="2:14">
      <c r="B154" s="1223"/>
      <c r="C154" s="296"/>
      <c r="D154" s="1247"/>
    </row>
    <row r="155" spans="2:14">
      <c r="B155" s="1224" t="s">
        <v>579</v>
      </c>
      <c r="C155" s="296"/>
      <c r="D155" s="1247"/>
    </row>
    <row r="156" spans="2:14">
      <c r="B156" s="1221" t="s">
        <v>1237</v>
      </c>
      <c r="C156" s="296" t="s">
        <v>1119</v>
      </c>
      <c r="D156" s="1244">
        <f>'Health-Stunting'!C105</f>
        <v>2701.465010180279</v>
      </c>
      <c r="E156" s="288" t="s">
        <v>407</v>
      </c>
    </row>
    <row r="157" spans="2:14">
      <c r="B157" s="1219" t="s">
        <v>578</v>
      </c>
      <c r="C157" s="1238" t="s">
        <v>224</v>
      </c>
      <c r="D157" s="1248">
        <v>1</v>
      </c>
      <c r="E157" s="288" t="s">
        <v>577</v>
      </c>
    </row>
    <row r="158" spans="2:14">
      <c r="B158" s="1219" t="s">
        <v>576</v>
      </c>
      <c r="C158" s="296" t="s">
        <v>1119</v>
      </c>
      <c r="D158" s="1249">
        <f>D156*D157</f>
        <v>2701.465010180279</v>
      </c>
      <c r="E158" s="26"/>
    </row>
    <row r="159" spans="2:14">
      <c r="B159" s="1219" t="s">
        <v>575</v>
      </c>
      <c r="C159" s="296" t="s">
        <v>511</v>
      </c>
      <c r="D159" s="1249">
        <v>7</v>
      </c>
      <c r="E159" s="1214" t="s">
        <v>1716</v>
      </c>
    </row>
    <row r="160" spans="2:14">
      <c r="B160" s="1219" t="s">
        <v>574</v>
      </c>
      <c r="C160" s="296" t="s">
        <v>1119</v>
      </c>
      <c r="D160" s="1250">
        <f>D156*D159</f>
        <v>18910.255071261952</v>
      </c>
      <c r="E160" s="26"/>
    </row>
    <row r="161" spans="2:5">
      <c r="B161" s="1219" t="s">
        <v>573</v>
      </c>
      <c r="C161" s="296" t="s">
        <v>532</v>
      </c>
      <c r="D161" s="1249">
        <f>Assumptions!L10</f>
        <v>6</v>
      </c>
      <c r="E161" s="26"/>
    </row>
    <row r="162" spans="2:5">
      <c r="B162" s="1219" t="s">
        <v>572</v>
      </c>
      <c r="C162" s="296" t="s">
        <v>224</v>
      </c>
      <c r="D162" s="1251">
        <f>SUM(Health!Q76:Q91)</f>
        <v>0.66310984693905184</v>
      </c>
      <c r="E162" s="26"/>
    </row>
    <row r="163" spans="2:5">
      <c r="B163" s="1219" t="s">
        <v>571</v>
      </c>
      <c r="C163" s="296" t="s">
        <v>224</v>
      </c>
      <c r="D163" s="1252">
        <v>0.80100000000000005</v>
      </c>
      <c r="E163" s="1" t="s">
        <v>1238</v>
      </c>
    </row>
    <row r="164" spans="2:5">
      <c r="B164" s="1219" t="s">
        <v>570</v>
      </c>
      <c r="C164" s="296" t="s">
        <v>224</v>
      </c>
      <c r="D164" s="1252">
        <v>0.7</v>
      </c>
      <c r="E164" s="1" t="s">
        <v>1239</v>
      </c>
    </row>
    <row r="165" spans="2:5">
      <c r="B165" s="1219" t="s">
        <v>569</v>
      </c>
      <c r="C165" s="296" t="s">
        <v>532</v>
      </c>
      <c r="D165" s="1253">
        <f>PRODUCT(D161:D164)</f>
        <v>2.2308341470723581</v>
      </c>
      <c r="E165" s="26"/>
    </row>
    <row r="166" spans="2:5">
      <c r="B166" s="1225"/>
      <c r="C166" s="296"/>
      <c r="D166" s="1253"/>
      <c r="E166" s="26"/>
    </row>
    <row r="167" spans="2:5">
      <c r="B167" s="1224" t="s">
        <v>568</v>
      </c>
      <c r="C167" s="296"/>
      <c r="D167" s="296"/>
    </row>
    <row r="168" spans="2:5">
      <c r="B168" s="1226" t="s">
        <v>567</v>
      </c>
      <c r="C168" s="296" t="s">
        <v>566</v>
      </c>
      <c r="D168" s="296">
        <v>6</v>
      </c>
      <c r="E168" s="1" t="s">
        <v>540</v>
      </c>
    </row>
    <row r="169" spans="2:5">
      <c r="B169" s="1226" t="s">
        <v>565</v>
      </c>
      <c r="C169" s="296" t="s">
        <v>224</v>
      </c>
      <c r="D169" s="1254">
        <v>0.2</v>
      </c>
      <c r="E169" s="1" t="s">
        <v>564</v>
      </c>
    </row>
    <row r="170" spans="2:5">
      <c r="B170" s="1227"/>
      <c r="C170" s="296"/>
      <c r="D170" s="296"/>
    </row>
    <row r="171" spans="2:5">
      <c r="B171" s="1224" t="s">
        <v>563</v>
      </c>
      <c r="C171" s="296"/>
      <c r="D171" s="296"/>
    </row>
    <row r="172" spans="2:5" ht="15" customHeight="1">
      <c r="B172" s="1228" t="s">
        <v>562</v>
      </c>
      <c r="C172" s="1178"/>
      <c r="D172" s="1255"/>
      <c r="E172" s="1137" t="s">
        <v>1693</v>
      </c>
    </row>
    <row r="173" spans="2:5">
      <c r="B173" s="1229" t="s">
        <v>561</v>
      </c>
      <c r="C173" s="1178" t="s">
        <v>224</v>
      </c>
      <c r="D173" s="1255">
        <v>0.35</v>
      </c>
      <c r="E173" s="282" t="s">
        <v>540</v>
      </c>
    </row>
    <row r="174" spans="2:5">
      <c r="B174" s="1229" t="s">
        <v>560</v>
      </c>
      <c r="C174" s="1178" t="s">
        <v>224</v>
      </c>
      <c r="D174" s="1255">
        <v>0.9</v>
      </c>
      <c r="E174" s="282" t="s">
        <v>540</v>
      </c>
    </row>
    <row r="175" spans="2:5">
      <c r="B175" s="1228" t="s">
        <v>559</v>
      </c>
      <c r="C175" s="1178"/>
      <c r="D175" s="1255"/>
      <c r="E175" s="282"/>
    </row>
    <row r="176" spans="2:5" ht="29">
      <c r="B176" s="1230" t="s">
        <v>558</v>
      </c>
      <c r="C176" s="1178" t="s">
        <v>224</v>
      </c>
      <c r="D176" s="1256">
        <v>0.15</v>
      </c>
      <c r="E176" s="282" t="s">
        <v>540</v>
      </c>
    </row>
    <row r="177" spans="2:7" ht="29">
      <c r="B177" s="1230" t="s">
        <v>557</v>
      </c>
      <c r="C177" s="1178" t="s">
        <v>224</v>
      </c>
      <c r="D177" s="1256">
        <v>0.5</v>
      </c>
      <c r="E177" s="282" t="s">
        <v>540</v>
      </c>
    </row>
    <row r="178" spans="2:7" ht="29">
      <c r="B178" s="1230" t="s">
        <v>556</v>
      </c>
      <c r="C178" s="1178" t="s">
        <v>224</v>
      </c>
      <c r="D178" s="1257">
        <v>0</v>
      </c>
      <c r="E178" s="282" t="s">
        <v>540</v>
      </c>
    </row>
    <row r="179" spans="2:7" ht="29">
      <c r="B179" s="1230" t="s">
        <v>555</v>
      </c>
      <c r="C179" s="1178" t="s">
        <v>224</v>
      </c>
      <c r="D179" s="1256">
        <v>0.25</v>
      </c>
      <c r="E179" s="282" t="s">
        <v>540</v>
      </c>
    </row>
    <row r="180" spans="2:7">
      <c r="B180" s="1231" t="s">
        <v>554</v>
      </c>
      <c r="C180" s="140"/>
      <c r="D180" s="140"/>
      <c r="E180" s="282" t="s">
        <v>553</v>
      </c>
    </row>
    <row r="181" spans="2:7">
      <c r="B181" s="1222" t="s">
        <v>522</v>
      </c>
      <c r="C181" s="1178" t="s">
        <v>224</v>
      </c>
      <c r="D181" s="1257">
        <v>0.3</v>
      </c>
      <c r="E181" s="282"/>
    </row>
    <row r="182" spans="2:7">
      <c r="B182" s="1222" t="s">
        <v>514</v>
      </c>
      <c r="C182" s="1178" t="s">
        <v>224</v>
      </c>
      <c r="D182" s="1257">
        <v>0.75</v>
      </c>
      <c r="E182" s="282"/>
    </row>
    <row r="183" spans="2:7">
      <c r="B183" s="1232"/>
      <c r="C183" s="1178"/>
      <c r="D183" s="296"/>
    </row>
    <row r="184" spans="2:7">
      <c r="B184" s="1233" t="s">
        <v>552</v>
      </c>
      <c r="C184" s="140"/>
      <c r="D184" s="296"/>
    </row>
    <row r="185" spans="2:7">
      <c r="B185" s="1228" t="s">
        <v>551</v>
      </c>
      <c r="C185" s="140" t="s">
        <v>1241</v>
      </c>
      <c r="D185" s="296"/>
    </row>
    <row r="186" spans="2:7">
      <c r="B186" s="1222" t="s">
        <v>522</v>
      </c>
      <c r="C186" s="1178" t="s">
        <v>224</v>
      </c>
      <c r="D186" s="1257">
        <v>0.2</v>
      </c>
      <c r="E186" s="282" t="s">
        <v>540</v>
      </c>
    </row>
    <row r="187" spans="2:7">
      <c r="B187" s="1222" t="s">
        <v>514</v>
      </c>
      <c r="C187" s="1178" t="s">
        <v>224</v>
      </c>
      <c r="D187" s="1257">
        <v>0.3</v>
      </c>
      <c r="E187" s="282" t="s">
        <v>550</v>
      </c>
    </row>
    <row r="188" spans="2:7" ht="16.5">
      <c r="B188" s="1221" t="s">
        <v>549</v>
      </c>
      <c r="C188" s="296" t="s">
        <v>548</v>
      </c>
      <c r="D188" s="1245">
        <v>417024350.53619993</v>
      </c>
      <c r="E188" s="282"/>
    </row>
    <row r="189" spans="2:7">
      <c r="B189" s="1234" t="s">
        <v>547</v>
      </c>
      <c r="C189" s="1178"/>
      <c r="D189" s="1257"/>
      <c r="E189" s="282"/>
    </row>
    <row r="190" spans="2:7">
      <c r="B190" s="1222" t="s">
        <v>522</v>
      </c>
      <c r="C190" s="1178"/>
      <c r="D190" s="1258">
        <f>D60/D188</f>
        <v>3.1031761055105706E-2</v>
      </c>
      <c r="E190" s="282"/>
    </row>
    <row r="191" spans="2:7">
      <c r="B191" s="1222" t="s">
        <v>514</v>
      </c>
      <c r="C191" s="1178"/>
      <c r="D191" s="1259">
        <f>I60/D188</f>
        <v>1.2357791561508945E-2</v>
      </c>
      <c r="E191" s="282"/>
    </row>
    <row r="192" spans="2:7">
      <c r="B192" s="1221" t="s">
        <v>545</v>
      </c>
      <c r="C192" s="296" t="s">
        <v>546</v>
      </c>
      <c r="D192" s="1260">
        <v>4442540000000</v>
      </c>
      <c r="E192" s="152" t="s">
        <v>1694</v>
      </c>
      <c r="G192" s="283"/>
    </row>
    <row r="193" spans="2:24">
      <c r="B193" s="1221" t="s">
        <v>545</v>
      </c>
      <c r="C193" s="296" t="s">
        <v>1119</v>
      </c>
      <c r="D193" s="1261">
        <f>D192*(Assumptions!R50/Assumptions!R45)*(Assumptions!O50/Assumptions!O45)/Assumptions!E44</f>
        <v>1737242612.8241823</v>
      </c>
      <c r="G193" s="283"/>
    </row>
    <row r="194" spans="2:24">
      <c r="B194" s="1234" t="s">
        <v>544</v>
      </c>
      <c r="C194" s="1237" t="s">
        <v>1242</v>
      </c>
      <c r="D194" s="140"/>
      <c r="G194" s="283"/>
      <c r="H194" s="1137"/>
    </row>
    <row r="195" spans="2:24">
      <c r="B195" s="1222" t="s">
        <v>522</v>
      </c>
      <c r="C195" s="296" t="s">
        <v>541</v>
      </c>
      <c r="D195" s="296">
        <v>0.25</v>
      </c>
      <c r="E195" s="282" t="s">
        <v>540</v>
      </c>
      <c r="G195" s="283"/>
      <c r="H195" s="1137"/>
    </row>
    <row r="196" spans="2:24">
      <c r="B196" s="1235" t="s">
        <v>514</v>
      </c>
      <c r="C196" s="296" t="s">
        <v>541</v>
      </c>
      <c r="D196" s="146">
        <f>(D197*O60+D198*J60)/I60</f>
        <v>0.83826525662171336</v>
      </c>
      <c r="E196" s="1" t="s">
        <v>543</v>
      </c>
      <c r="H196" s="1137"/>
      <c r="J196" s="1">
        <f>1000000000</f>
        <v>1000000000</v>
      </c>
      <c r="K196" s="1">
        <v>5000</v>
      </c>
      <c r="L196" s="2">
        <f>J196/K196</f>
        <v>200000</v>
      </c>
    </row>
    <row r="197" spans="2:24">
      <c r="B197" s="1236" t="s">
        <v>82</v>
      </c>
      <c r="C197" s="296" t="s">
        <v>541</v>
      </c>
      <c r="D197" s="1238">
        <f>D195</f>
        <v>0.25</v>
      </c>
      <c r="E197" s="282" t="s">
        <v>540</v>
      </c>
      <c r="H197" s="1137"/>
      <c r="L197" s="2"/>
    </row>
    <row r="198" spans="2:24">
      <c r="B198" s="1236" t="s">
        <v>542</v>
      </c>
      <c r="C198" s="296" t="s">
        <v>541</v>
      </c>
      <c r="D198" s="1238">
        <v>20</v>
      </c>
      <c r="E198" s="282" t="s">
        <v>540</v>
      </c>
      <c r="H198" s="1137"/>
      <c r="J198" s="281">
        <v>6000000000</v>
      </c>
      <c r="K198" s="1">
        <f>K196</f>
        <v>5000</v>
      </c>
      <c r="L198" s="2">
        <f>J198/K198</f>
        <v>1200000</v>
      </c>
    </row>
    <row r="199" spans="2:24" ht="29">
      <c r="B199" s="1231" t="s">
        <v>539</v>
      </c>
      <c r="C199" s="296"/>
      <c r="D199" s="1238"/>
      <c r="H199" s="1137"/>
    </row>
    <row r="200" spans="2:24">
      <c r="B200" s="1222" t="s">
        <v>522</v>
      </c>
      <c r="C200" s="296" t="s">
        <v>1119</v>
      </c>
      <c r="D200" s="1261">
        <f>$L$28*D186*D190*$D$193*D195</f>
        <v>207344.99098425978</v>
      </c>
      <c r="F200" s="281"/>
    </row>
    <row r="201" spans="2:24">
      <c r="B201" s="1222" t="s">
        <v>514</v>
      </c>
      <c r="C201" s="296" t="s">
        <v>1119</v>
      </c>
      <c r="D201" s="1262">
        <f>$L$44*D187*D191*$D$193*D196</f>
        <v>415298.83056270872</v>
      </c>
    </row>
    <row r="202" spans="2:24">
      <c r="B202" s="1234" t="s">
        <v>1243</v>
      </c>
      <c r="C202" s="140"/>
      <c r="D202" s="140"/>
    </row>
    <row r="203" spans="2:24">
      <c r="B203" s="1222">
        <v>2012</v>
      </c>
      <c r="C203" s="296" t="s">
        <v>224</v>
      </c>
      <c r="D203" s="1263">
        <f>Assumptions!T51</f>
        <v>6.2E-2</v>
      </c>
    </row>
    <row r="204" spans="2:24">
      <c r="B204" s="1222" t="s">
        <v>538</v>
      </c>
      <c r="C204" s="296" t="s">
        <v>224</v>
      </c>
      <c r="D204" s="1263">
        <f>Assumptions!T52</f>
        <v>5.3743252425943799E-2</v>
      </c>
    </row>
    <row r="205" spans="2:24">
      <c r="B205" s="70"/>
      <c r="C205" s="202"/>
      <c r="D205" s="280"/>
    </row>
    <row r="206" spans="2:24">
      <c r="B206" s="279"/>
      <c r="C206" s="278" t="s">
        <v>78</v>
      </c>
      <c r="D206" s="105"/>
    </row>
    <row r="207" spans="2:24" ht="15.5">
      <c r="B207" s="259" t="s">
        <v>537</v>
      </c>
      <c r="C207" s="200" t="s">
        <v>78</v>
      </c>
      <c r="D207" s="200"/>
      <c r="E207" s="217"/>
      <c r="F207" s="217"/>
      <c r="G207" s="217" t="s">
        <v>415</v>
      </c>
      <c r="H207" s="215"/>
      <c r="I207" s="215"/>
      <c r="J207" s="214"/>
      <c r="K207" s="214"/>
      <c r="L207" s="214"/>
      <c r="M207" s="214"/>
      <c r="N207" s="214"/>
      <c r="O207" s="214"/>
      <c r="P207" s="214"/>
      <c r="Q207" s="214"/>
      <c r="R207" s="214"/>
      <c r="S207" s="214"/>
      <c r="T207" s="214"/>
      <c r="U207" s="214"/>
      <c r="V207" s="214"/>
      <c r="W207" s="214"/>
      <c r="X207" s="214"/>
    </row>
    <row r="208" spans="2:24">
      <c r="B208" s="250"/>
      <c r="D208" s="211">
        <f>2012</f>
        <v>2012</v>
      </c>
      <c r="E208" s="211">
        <f t="shared" ref="E208:X208" si="15">D208+1</f>
        <v>2013</v>
      </c>
      <c r="F208" s="211">
        <f t="shared" si="15"/>
        <v>2014</v>
      </c>
      <c r="G208" s="211">
        <f t="shared" si="15"/>
        <v>2015</v>
      </c>
      <c r="H208" s="211">
        <f t="shared" si="15"/>
        <v>2016</v>
      </c>
      <c r="I208" s="211">
        <f t="shared" si="15"/>
        <v>2017</v>
      </c>
      <c r="J208" s="211">
        <f t="shared" si="15"/>
        <v>2018</v>
      </c>
      <c r="K208" s="211">
        <f t="shared" si="15"/>
        <v>2019</v>
      </c>
      <c r="L208" s="211">
        <f t="shared" si="15"/>
        <v>2020</v>
      </c>
      <c r="M208" s="211">
        <f t="shared" si="15"/>
        <v>2021</v>
      </c>
      <c r="N208" s="211">
        <f t="shared" si="15"/>
        <v>2022</v>
      </c>
      <c r="O208" s="211">
        <f t="shared" si="15"/>
        <v>2023</v>
      </c>
      <c r="P208" s="211">
        <f t="shared" si="15"/>
        <v>2024</v>
      </c>
      <c r="Q208" s="211">
        <f t="shared" si="15"/>
        <v>2025</v>
      </c>
      <c r="R208" s="211">
        <f t="shared" si="15"/>
        <v>2026</v>
      </c>
      <c r="S208" s="211">
        <f t="shared" si="15"/>
        <v>2027</v>
      </c>
      <c r="T208" s="211">
        <f t="shared" si="15"/>
        <v>2028</v>
      </c>
      <c r="U208" s="211">
        <f t="shared" si="15"/>
        <v>2029</v>
      </c>
      <c r="V208" s="211">
        <f t="shared" si="15"/>
        <v>2030</v>
      </c>
      <c r="W208" s="211">
        <f t="shared" si="15"/>
        <v>2031</v>
      </c>
      <c r="X208" s="211">
        <f t="shared" si="15"/>
        <v>2032</v>
      </c>
    </row>
    <row r="209" spans="2:24">
      <c r="B209" s="250"/>
      <c r="D209" s="210">
        <v>0</v>
      </c>
      <c r="E209" s="210">
        <f t="shared" ref="E209:X209" si="16">D209+1</f>
        <v>1</v>
      </c>
      <c r="F209" s="210">
        <f t="shared" si="16"/>
        <v>2</v>
      </c>
      <c r="G209" s="210">
        <f t="shared" si="16"/>
        <v>3</v>
      </c>
      <c r="H209" s="210">
        <f t="shared" si="16"/>
        <v>4</v>
      </c>
      <c r="I209" s="210">
        <f t="shared" si="16"/>
        <v>5</v>
      </c>
      <c r="J209" s="210">
        <f t="shared" si="16"/>
        <v>6</v>
      </c>
      <c r="K209" s="210">
        <f t="shared" si="16"/>
        <v>7</v>
      </c>
      <c r="L209" s="210">
        <f t="shared" si="16"/>
        <v>8</v>
      </c>
      <c r="M209" s="210">
        <f t="shared" si="16"/>
        <v>9</v>
      </c>
      <c r="N209" s="210">
        <f t="shared" si="16"/>
        <v>10</v>
      </c>
      <c r="O209" s="210">
        <f t="shared" si="16"/>
        <v>11</v>
      </c>
      <c r="P209" s="210">
        <f t="shared" si="16"/>
        <v>12</v>
      </c>
      <c r="Q209" s="210">
        <f t="shared" si="16"/>
        <v>13</v>
      </c>
      <c r="R209" s="210">
        <f t="shared" si="16"/>
        <v>14</v>
      </c>
      <c r="S209" s="210">
        <f t="shared" si="16"/>
        <v>15</v>
      </c>
      <c r="T209" s="210">
        <f t="shared" si="16"/>
        <v>16</v>
      </c>
      <c r="U209" s="210">
        <f t="shared" si="16"/>
        <v>17</v>
      </c>
      <c r="V209" s="210">
        <f t="shared" si="16"/>
        <v>18</v>
      </c>
      <c r="W209" s="210">
        <f t="shared" si="16"/>
        <v>19</v>
      </c>
      <c r="X209" s="210">
        <f t="shared" si="16"/>
        <v>20</v>
      </c>
    </row>
    <row r="210" spans="2:24">
      <c r="B210" s="204" t="s">
        <v>406</v>
      </c>
      <c r="C210" s="202" t="s">
        <v>1119</v>
      </c>
      <c r="D210" s="2">
        <f>D156*(1+Assumptions!$Q$49)</f>
        <v>2775.2214804558007</v>
      </c>
      <c r="E210" s="2">
        <f>D210*(1+Assumptions!$Q$49)</f>
        <v>2850.9916791664509</v>
      </c>
      <c r="F210" s="2">
        <f>E210*(1+Assumptions!$Q$49)</f>
        <v>2928.8305859254792</v>
      </c>
      <c r="G210" s="2">
        <f>F210*(1+Assumptions!$Q$49)</f>
        <v>3008.7946814213656</v>
      </c>
      <c r="H210" s="2">
        <f>G210*(1+Assumptions!$Q$49)</f>
        <v>3090.9419884007716</v>
      </c>
      <c r="I210" s="2">
        <f>H210*(1+Assumptions!$Q$49)</f>
        <v>3175.3321137704243</v>
      </c>
      <c r="J210" s="2">
        <f>I210*(1+Assumptions!$Q$49)</f>
        <v>3262.0262918484846</v>
      </c>
      <c r="K210" s="2">
        <f>J210*(1+Assumptions!$Q$49)</f>
        <v>3351.0874287967799</v>
      </c>
      <c r="L210" s="2">
        <f>K210*(1+Assumptions!$Q$49)</f>
        <v>3442.5801482661432</v>
      </c>
      <c r="M210" s="2">
        <f>L210*(1+Assumptions!$Q$49)</f>
        <v>3536.5708382879802</v>
      </c>
      <c r="N210" s="2">
        <f>M210*(1+Assumptions!$Q$49)</f>
        <v>3633.1276994460886</v>
      </c>
      <c r="O210" s="2">
        <f>N210*(1+Assumptions!$Q$49)</f>
        <v>3732.3207943636821</v>
      </c>
      <c r="P210" s="2">
        <f>O210*(1+Assumptions!$Q$49)</f>
        <v>3834.2220985415315</v>
      </c>
      <c r="Q210" s="2">
        <f>P210*(1+Assumptions!$Q$49)</f>
        <v>3938.905552584105</v>
      </c>
      <c r="R210" s="2">
        <f>Q210*(1+Assumptions!$Q$49)</f>
        <v>4046.4471158516117</v>
      </c>
      <c r="S210" s="2">
        <f>R210*(1+Assumptions!$Q$49)</f>
        <v>4156.9248215768703</v>
      </c>
      <c r="T210" s="2">
        <f>S210*(1+Assumptions!$Q$49)</f>
        <v>4270.418833487005</v>
      </c>
      <c r="U210" s="2">
        <f>T210*(1+Assumptions!$Q$49)</f>
        <v>4387.0115039710454</v>
      </c>
      <c r="V210" s="2">
        <f>U210*(1+Assumptions!$Q$49)</f>
        <v>4506.7874338356414</v>
      </c>
      <c r="W210" s="2">
        <f>V210*(1+Assumptions!$Q$49)</f>
        <v>4629.8335336922564</v>
      </c>
      <c r="X210" s="2">
        <f>W210*(1+Assumptions!$Q$49)</f>
        <v>4756.2390870203744</v>
      </c>
    </row>
    <row r="211" spans="2:24">
      <c r="B211" s="204"/>
      <c r="C211" s="202"/>
      <c r="D211" s="2"/>
      <c r="E211" s="2"/>
      <c r="F211" s="2"/>
      <c r="G211" s="2"/>
      <c r="H211" s="2"/>
      <c r="I211" s="2"/>
      <c r="J211" s="2"/>
      <c r="K211" s="2"/>
      <c r="L211" s="2"/>
      <c r="M211" s="2"/>
      <c r="N211" s="2"/>
      <c r="O211" s="2"/>
      <c r="P211" s="2"/>
      <c r="Q211" s="2"/>
      <c r="R211" s="2"/>
      <c r="S211" s="2"/>
      <c r="T211" s="2"/>
      <c r="U211" s="2"/>
      <c r="V211" s="2"/>
      <c r="W211" s="2"/>
      <c r="X211" s="2"/>
    </row>
    <row r="212" spans="2:24">
      <c r="B212" s="277" t="s">
        <v>536</v>
      </c>
      <c r="C212" s="288" t="s">
        <v>1244</v>
      </c>
      <c r="D212" s="2"/>
      <c r="E212" s="2"/>
      <c r="F212" s="2"/>
      <c r="G212" s="2"/>
      <c r="H212" s="2"/>
      <c r="I212" s="2"/>
      <c r="J212" s="2"/>
      <c r="K212" s="2"/>
      <c r="L212" s="2"/>
      <c r="M212" s="2"/>
      <c r="N212" s="2"/>
      <c r="O212" s="2"/>
      <c r="P212" s="2"/>
      <c r="Q212" s="2"/>
      <c r="R212" s="2"/>
      <c r="S212" s="2"/>
      <c r="T212" s="2"/>
      <c r="U212" s="2"/>
      <c r="V212" s="2"/>
      <c r="W212" s="2"/>
      <c r="X212" s="2"/>
    </row>
    <row r="213" spans="2:24" s="173" customFormat="1">
      <c r="B213" s="266" t="s">
        <v>530</v>
      </c>
      <c r="C213" s="265"/>
      <c r="D213" s="275">
        <f t="shared" ref="D213:X213" si="17">SUM(D214:D217)</f>
        <v>22189.591675014075</v>
      </c>
      <c r="E213" s="275">
        <f t="shared" si="17"/>
        <v>22643.113515117446</v>
      </c>
      <c r="F213" s="275">
        <f t="shared" si="17"/>
        <v>23108.338616756897</v>
      </c>
      <c r="G213" s="275">
        <f t="shared" si="17"/>
        <v>23585.648726429717</v>
      </c>
      <c r="H213" s="275">
        <f t="shared" si="17"/>
        <v>24075.440112304306</v>
      </c>
      <c r="I213" s="275">
        <f t="shared" si="17"/>
        <v>24578.124159125589</v>
      </c>
      <c r="J213" s="275">
        <f t="shared" si="17"/>
        <v>25094.127988240314</v>
      </c>
      <c r="K213" s="275">
        <f t="shared" si="17"/>
        <v>25623.895103815026</v>
      </c>
      <c r="L213" s="275">
        <f t="shared" si="17"/>
        <v>26167.886066365812</v>
      </c>
      <c r="M213" s="275">
        <f t="shared" si="17"/>
        <v>26726.579194766622</v>
      </c>
      <c r="N213" s="275">
        <f t="shared" si="17"/>
        <v>27300.471297953274</v>
      </c>
      <c r="O213" s="275">
        <f t="shared" si="17"/>
        <v>27890.07843759231</v>
      </c>
      <c r="P213" s="275">
        <f t="shared" si="17"/>
        <v>28495.936723038372</v>
      </c>
      <c r="Q213" s="275">
        <f t="shared" si="17"/>
        <v>29118.603139960585</v>
      </c>
      <c r="R213" s="275">
        <f t="shared" si="17"/>
        <v>29758.656414077621</v>
      </c>
      <c r="S213" s="275">
        <f t="shared" si="17"/>
        <v>30416.697911502932</v>
      </c>
      <c r="T213" s="275">
        <f t="shared" si="17"/>
        <v>31093.35257726608</v>
      </c>
      <c r="U213" s="275">
        <f t="shared" si="17"/>
        <v>31789.269913643217</v>
      </c>
      <c r="V213" s="275">
        <f t="shared" si="17"/>
        <v>32505.124999999993</v>
      </c>
      <c r="W213" s="275">
        <f t="shared" si="17"/>
        <v>33241.619555923127</v>
      </c>
      <c r="X213" s="275">
        <f t="shared" si="17"/>
        <v>33999.483049493239</v>
      </c>
    </row>
    <row r="214" spans="2:24">
      <c r="B214" s="267" t="s">
        <v>518</v>
      </c>
      <c r="C214" s="9" t="s">
        <v>535</v>
      </c>
      <c r="D214" s="2">
        <f>E69*(1+$E$73)^2</f>
        <v>2787.112728581686</v>
      </c>
      <c r="E214" s="2">
        <f t="shared" ref="E214:X214" si="18">D214*(1+$E$73)</f>
        <v>2831.7174688218479</v>
      </c>
      <c r="F214" s="2">
        <f t="shared" si="18"/>
        <v>2877.0360599340929</v>
      </c>
      <c r="G214" s="2">
        <f t="shared" si="18"/>
        <v>2923.0799263335134</v>
      </c>
      <c r="H214" s="2">
        <f t="shared" si="18"/>
        <v>2969.8606752706719</v>
      </c>
      <c r="I214" s="2">
        <f t="shared" si="18"/>
        <v>3017.3900997576866</v>
      </c>
      <c r="J214" s="2">
        <f t="shared" si="18"/>
        <v>3065.680181541145</v>
      </c>
      <c r="K214" s="2">
        <f t="shared" si="18"/>
        <v>3114.7430941225971</v>
      </c>
      <c r="L214" s="2">
        <f t="shared" si="18"/>
        <v>3164.5912058273852</v>
      </c>
      <c r="M214" s="2">
        <f t="shared" si="18"/>
        <v>3215.2370829225911</v>
      </c>
      <c r="N214" s="2">
        <f t="shared" si="18"/>
        <v>3266.6934927848788</v>
      </c>
      <c r="O214" s="2">
        <f t="shared" si="18"/>
        <v>3318.9734071190387</v>
      </c>
      <c r="P214" s="2">
        <f t="shared" si="18"/>
        <v>3372.0900052280381</v>
      </c>
      <c r="Q214" s="2">
        <f t="shared" si="18"/>
        <v>3426.0566773354071</v>
      </c>
      <c r="R214" s="2">
        <f t="shared" si="18"/>
        <v>3480.8870279607959</v>
      </c>
      <c r="S214" s="2">
        <f t="shared" si="18"/>
        <v>3536.5948793495527</v>
      </c>
      <c r="T214" s="2">
        <f t="shared" si="18"/>
        <v>3593.194274957189</v>
      </c>
      <c r="U214" s="2">
        <f t="shared" si="18"/>
        <v>3650.6994829896116</v>
      </c>
      <c r="V214" s="2">
        <f t="shared" si="18"/>
        <v>3709.1250000000091</v>
      </c>
      <c r="W214" s="2">
        <f t="shared" si="18"/>
        <v>3768.4855545433061</v>
      </c>
      <c r="X214" s="2">
        <f t="shared" si="18"/>
        <v>3828.7961108891004</v>
      </c>
    </row>
    <row r="215" spans="2:24">
      <c r="B215" s="267" t="s">
        <v>50</v>
      </c>
      <c r="C215" s="9" t="s">
        <v>535</v>
      </c>
      <c r="D215" s="2">
        <f>F69*(1+$F$73)^2</f>
        <v>15468.618765370666</v>
      </c>
      <c r="E215" s="2">
        <f t="shared" ref="E215:X215" si="19">D215*(1+$F$73)</f>
        <v>15708.389980293918</v>
      </c>
      <c r="F215" s="2">
        <f t="shared" si="19"/>
        <v>15951.877767225169</v>
      </c>
      <c r="G215" s="2">
        <f t="shared" si="19"/>
        <v>16199.139734862338</v>
      </c>
      <c r="H215" s="2">
        <f t="shared" si="19"/>
        <v>16450.234384866559</v>
      </c>
      <c r="I215" s="2">
        <f t="shared" si="19"/>
        <v>16705.221125703545</v>
      </c>
      <c r="J215" s="2">
        <f t="shared" si="19"/>
        <v>16964.160286699509</v>
      </c>
      <c r="K215" s="2">
        <f t="shared" si="19"/>
        <v>17227.113132314957</v>
      </c>
      <c r="L215" s="2">
        <f t="shared" si="19"/>
        <v>17494.141876639726</v>
      </c>
      <c r="M215" s="2">
        <f t="shared" si="19"/>
        <v>17765.309698112709</v>
      </c>
      <c r="N215" s="2">
        <f t="shared" si="19"/>
        <v>18040.68075446974</v>
      </c>
      <c r="O215" s="2">
        <f t="shared" si="19"/>
        <v>18320.320197923185</v>
      </c>
      <c r="P215" s="2">
        <f t="shared" si="19"/>
        <v>18604.294190576806</v>
      </c>
      <c r="Q215" s="2">
        <f t="shared" si="19"/>
        <v>18892.669920079588</v>
      </c>
      <c r="R215" s="2">
        <f t="shared" si="19"/>
        <v>19185.515615522192</v>
      </c>
      <c r="S215" s="2">
        <f t="shared" si="19"/>
        <v>19482.900563579806</v>
      </c>
      <c r="T215" s="2">
        <f t="shared" si="19"/>
        <v>19784.895124905237</v>
      </c>
      <c r="U215" s="2">
        <f t="shared" si="19"/>
        <v>20091.570750776089</v>
      </c>
      <c r="V215" s="2">
        <f t="shared" si="19"/>
        <v>20402.999999999985</v>
      </c>
      <c r="W215" s="2">
        <f t="shared" si="19"/>
        <v>20719.256556081829</v>
      </c>
      <c r="X215" s="2">
        <f t="shared" si="19"/>
        <v>21040.415244657168</v>
      </c>
    </row>
    <row r="216" spans="2:24">
      <c r="B216" s="262" t="s">
        <v>529</v>
      </c>
      <c r="C216" s="9" t="s">
        <v>535</v>
      </c>
      <c r="D216" s="2">
        <f>G69*(1+$G$73)^2</f>
        <v>1208.8662607538718</v>
      </c>
      <c r="E216" s="2">
        <f t="shared" ref="E216:X216" si="20">D216*(1+$G$73)</f>
        <v>1260.8444120089753</v>
      </c>
      <c r="F216" s="2">
        <f t="shared" si="20"/>
        <v>1315.0574905638227</v>
      </c>
      <c r="G216" s="2">
        <f t="shared" si="20"/>
        <v>1371.601592564863</v>
      </c>
      <c r="H216" s="2">
        <f t="shared" si="20"/>
        <v>1430.5769460465767</v>
      </c>
      <c r="I216" s="2">
        <f t="shared" si="20"/>
        <v>1492.0880885920733</v>
      </c>
      <c r="J216" s="2">
        <f t="shared" si="20"/>
        <v>1556.2440526326377</v>
      </c>
      <c r="K216" s="2">
        <f t="shared" si="20"/>
        <v>1623.1585587146831</v>
      </c>
      <c r="L216" s="2">
        <f t="shared" si="20"/>
        <v>1692.9502170766871</v>
      </c>
      <c r="M216" s="2">
        <f t="shared" si="20"/>
        <v>1765.7427378934199</v>
      </c>
      <c r="N216" s="2">
        <f t="shared" si="20"/>
        <v>1841.6651505601353</v>
      </c>
      <c r="O216" s="2">
        <f t="shared" si="20"/>
        <v>1920.8520324054195</v>
      </c>
      <c r="P216" s="2">
        <f t="shared" si="20"/>
        <v>2003.4437472381076</v>
      </c>
      <c r="Q216" s="2">
        <f t="shared" si="20"/>
        <v>2089.586694151104</v>
      </c>
      <c r="R216" s="2">
        <f t="shared" si="20"/>
        <v>2179.4335670231326</v>
      </c>
      <c r="S216" s="2">
        <f t="shared" si="20"/>
        <v>2273.1436251783934</v>
      </c>
      <c r="T216" s="2">
        <f t="shared" si="20"/>
        <v>2370.8829756838941</v>
      </c>
      <c r="U216" s="2">
        <f t="shared" si="20"/>
        <v>2472.8248677848414</v>
      </c>
      <c r="V216" s="2">
        <f t="shared" si="20"/>
        <v>2579.1500000000015</v>
      </c>
      <c r="W216" s="2">
        <f t="shared" si="20"/>
        <v>2690.0468404213711</v>
      </c>
      <c r="X216" s="2">
        <f t="shared" si="20"/>
        <v>2805.7119607859172</v>
      </c>
    </row>
    <row r="217" spans="2:24">
      <c r="B217" s="262" t="s">
        <v>528</v>
      </c>
      <c r="C217" s="9" t="s">
        <v>535</v>
      </c>
      <c r="D217" s="2">
        <f>H69*(1+$H$73)^2</f>
        <v>2724.9939203078502</v>
      </c>
      <c r="E217" s="2">
        <f t="shared" ref="E217:X217" si="21">D217*(1+$H$73)</f>
        <v>2842.1616539927036</v>
      </c>
      <c r="F217" s="2">
        <f t="shared" si="21"/>
        <v>2964.3672990338118</v>
      </c>
      <c r="G217" s="2">
        <f t="shared" si="21"/>
        <v>3091.8274726690042</v>
      </c>
      <c r="H217" s="2">
        <f t="shared" si="21"/>
        <v>3224.768106120498</v>
      </c>
      <c r="I217" s="2">
        <f t="shared" si="21"/>
        <v>3363.4248450722862</v>
      </c>
      <c r="J217" s="2">
        <f t="shared" si="21"/>
        <v>3508.0434673670206</v>
      </c>
      <c r="K217" s="2">
        <f t="shared" si="21"/>
        <v>3658.8803186627893</v>
      </c>
      <c r="L217" s="2">
        <f t="shared" si="21"/>
        <v>3816.2027668220135</v>
      </c>
      <c r="M217" s="2">
        <f t="shared" si="21"/>
        <v>3980.2896758379015</v>
      </c>
      <c r="N217" s="2">
        <f t="shared" si="21"/>
        <v>4151.4319001385193</v>
      </c>
      <c r="O217" s="2">
        <f t="shared" si="21"/>
        <v>4329.9328001446684</v>
      </c>
      <c r="P217" s="2">
        <f t="shared" si="21"/>
        <v>4516.1087799954221</v>
      </c>
      <c r="Q217" s="2">
        <f t="shared" si="21"/>
        <v>4710.2898483944855</v>
      </c>
      <c r="R217" s="2">
        <f t="shared" si="21"/>
        <v>4912.8202035714994</v>
      </c>
      <c r="S217" s="2">
        <f t="shared" si="21"/>
        <v>5124.0588433951816</v>
      </c>
      <c r="T217" s="2">
        <f t="shared" si="21"/>
        <v>5344.3802017197604</v>
      </c>
      <c r="U217" s="2">
        <f t="shared" si="21"/>
        <v>5574.174812092675</v>
      </c>
      <c r="V217" s="2">
        <f t="shared" si="21"/>
        <v>5813.8499999999967</v>
      </c>
      <c r="W217" s="2">
        <f t="shared" si="21"/>
        <v>6063.8306048766226</v>
      </c>
      <c r="X217" s="2">
        <f t="shared" si="21"/>
        <v>6324.5597331610561</v>
      </c>
    </row>
    <row r="218" spans="2:24" s="173" customFormat="1">
      <c r="B218" s="266" t="s">
        <v>527</v>
      </c>
      <c r="C218" s="276"/>
      <c r="D218" s="275">
        <f t="shared" ref="D218:X218" si="22">SUM(D219:D223)</f>
        <v>22703.666636209073</v>
      </c>
      <c r="E218" s="275">
        <f t="shared" si="22"/>
        <v>23244.265475912216</v>
      </c>
      <c r="F218" s="275">
        <f t="shared" si="22"/>
        <v>23797.774523411321</v>
      </c>
      <c r="G218" s="275">
        <f t="shared" si="22"/>
        <v>24364.502663540225</v>
      </c>
      <c r="H218" s="275">
        <f t="shared" si="22"/>
        <v>24944.766179994807</v>
      </c>
      <c r="I218" s="275">
        <f t="shared" si="22"/>
        <v>25538.888932690348</v>
      </c>
      <c r="J218" s="275">
        <f t="shared" si="22"/>
        <v>26147.20253937224</v>
      </c>
      <c r="K218" s="275">
        <f t="shared" si="22"/>
        <v>26770.046561582061</v>
      </c>
      <c r="L218" s="275">
        <f t="shared" si="22"/>
        <v>27407.768695083523</v>
      </c>
      <c r="M218" s="275">
        <f t="shared" si="22"/>
        <v>28060.724964855275</v>
      </c>
      <c r="N218" s="275">
        <f t="shared" si="22"/>
        <v>28729.279924760078</v>
      </c>
      <c r="O218" s="275">
        <f t="shared" si="22"/>
        <v>29413.806862002573</v>
      </c>
      <c r="P218" s="275">
        <f t="shared" si="22"/>
        <v>30114.688006490531</v>
      </c>
      <c r="Q218" s="275">
        <f t="shared" si="22"/>
        <v>30832.314745217132</v>
      </c>
      <c r="R218" s="275">
        <f t="shared" si="22"/>
        <v>31567.087841784836</v>
      </c>
      <c r="S218" s="275">
        <f t="shared" si="22"/>
        <v>32319.417661194107</v>
      </c>
      <c r="T218" s="275">
        <f t="shared" si="22"/>
        <v>33089.724400023311</v>
      </c>
      <c r="U218" s="275">
        <f t="shared" si="22"/>
        <v>33878.438322129157</v>
      </c>
      <c r="V218" s="275">
        <f t="shared" si="22"/>
        <v>34686.000000000044</v>
      </c>
      <c r="W218" s="275">
        <f t="shared" si="22"/>
        <v>35512.860561898</v>
      </c>
      <c r="X218" s="275">
        <f t="shared" si="22"/>
        <v>36359.481944928062</v>
      </c>
    </row>
    <row r="219" spans="2:24">
      <c r="B219" s="262" t="s">
        <v>526</v>
      </c>
      <c r="C219" s="9" t="s">
        <v>535</v>
      </c>
      <c r="D219" s="2">
        <f>K69*(1+$K$73)^2</f>
        <v>120.4917302388978</v>
      </c>
      <c r="E219" s="2">
        <f>D219*(1+$K$73)</f>
        <v>122.27648063142703</v>
      </c>
      <c r="F219" s="2">
        <f t="shared" ref="F219:X219" si="23">E219*(1+$K$73)</f>
        <v>124.08766714498563</v>
      </c>
      <c r="G219" s="2">
        <f t="shared" si="23"/>
        <v>125.92568135729674</v>
      </c>
      <c r="H219" s="2">
        <f t="shared" si="23"/>
        <v>127.7909206462201</v>
      </c>
      <c r="I219" s="2">
        <f t="shared" si="23"/>
        <v>129.68378827566497</v>
      </c>
      <c r="J219" s="2">
        <f t="shared" si="23"/>
        <v>131.60469348277562</v>
      </c>
      <c r="K219" s="2">
        <f t="shared" si="23"/>
        <v>133.55405156640822</v>
      </c>
      <c r="L219" s="2">
        <f t="shared" si="23"/>
        <v>135.53228397691822</v>
      </c>
      <c r="M219" s="2">
        <f t="shared" si="23"/>
        <v>137.53981840727783</v>
      </c>
      <c r="N219" s="2">
        <f t="shared" si="23"/>
        <v>139.57708888554293</v>
      </c>
      <c r="O219" s="2">
        <f t="shared" si="23"/>
        <v>141.64453586868984</v>
      </c>
      <c r="P219" s="2">
        <f t="shared" si="23"/>
        <v>143.74260633784189</v>
      </c>
      <c r="Q219" s="2">
        <f t="shared" si="23"/>
        <v>145.8717538949065</v>
      </c>
      <c r="R219" s="2">
        <f t="shared" si="23"/>
        <v>148.03243886064382</v>
      </c>
      <c r="S219" s="2">
        <f t="shared" si="23"/>
        <v>150.22512837418773</v>
      </c>
      <c r="T219" s="2">
        <f t="shared" si="23"/>
        <v>152.45029649404125</v>
      </c>
      <c r="U219" s="2">
        <f t="shared" si="23"/>
        <v>154.70842430056769</v>
      </c>
      <c r="V219" s="2">
        <f t="shared" si="23"/>
        <v>157.00000000000006</v>
      </c>
      <c r="W219" s="2">
        <f t="shared" si="23"/>
        <v>159.32551902999097</v>
      </c>
      <c r="X219" s="2">
        <f t="shared" si="23"/>
        <v>161.68548416672616</v>
      </c>
    </row>
    <row r="220" spans="2:24">
      <c r="B220" s="262" t="s">
        <v>525</v>
      </c>
      <c r="C220" s="9" t="s">
        <v>535</v>
      </c>
      <c r="D220" s="2">
        <f>L69*(1+$L$73)^2</f>
        <v>118.48441432231486</v>
      </c>
      <c r="E220" s="2">
        <f t="shared" ref="E220:X220" si="24">D220*(1+$L$73)</f>
        <v>120.26601447749023</v>
      </c>
      <c r="F220" s="2">
        <f t="shared" si="24"/>
        <v>122.07440380262584</v>
      </c>
      <c r="G220" s="2">
        <f t="shared" si="24"/>
        <v>123.90998511516931</v>
      </c>
      <c r="H220" s="2">
        <f t="shared" si="24"/>
        <v>125.77316728956426</v>
      </c>
      <c r="I220" s="2">
        <f t="shared" si="24"/>
        <v>127.66436534832685</v>
      </c>
      <c r="J220" s="2">
        <f t="shared" si="24"/>
        <v>129.58400055449175</v>
      </c>
      <c r="K220" s="2">
        <f t="shared" si="24"/>
        <v>131.53250050544813</v>
      </c>
      <c r="L220" s="2">
        <f t="shared" si="24"/>
        <v>133.51029922818677</v>
      </c>
      <c r="M220" s="2">
        <f t="shared" si="24"/>
        <v>135.51783727597916</v>
      </c>
      <c r="N220" s="2">
        <f t="shared" si="24"/>
        <v>137.55556182651054</v>
      </c>
      <c r="O220" s="2">
        <f t="shared" si="24"/>
        <v>139.62392678148834</v>
      </c>
      <c r="P220" s="2">
        <f t="shared" si="24"/>
        <v>141.72339286774846</v>
      </c>
      <c r="Q220" s="2">
        <f t="shared" si="24"/>
        <v>143.85442773988188</v>
      </c>
      <c r="R220" s="2">
        <f t="shared" si="24"/>
        <v>146.01750608440443</v>
      </c>
      <c r="S220" s="2">
        <f t="shared" si="24"/>
        <v>148.21310972549279</v>
      </c>
      <c r="T220" s="2">
        <f t="shared" si="24"/>
        <v>150.44172773231048</v>
      </c>
      <c r="U220" s="2">
        <f t="shared" si="24"/>
        <v>152.70385652794783</v>
      </c>
      <c r="V220" s="2">
        <f t="shared" si="24"/>
        <v>154.99999999999966</v>
      </c>
      <c r="W220" s="2">
        <f t="shared" si="24"/>
        <v>157.33066961280605</v>
      </c>
      <c r="X220" s="2">
        <f t="shared" si="24"/>
        <v>159.69638452138057</v>
      </c>
    </row>
    <row r="221" spans="2:24">
      <c r="B221" s="262" t="s">
        <v>80</v>
      </c>
      <c r="C221" s="9" t="s">
        <v>535</v>
      </c>
      <c r="D221" s="2">
        <f>M69*(1+$M$73)^2</f>
        <v>64.915497094305806</v>
      </c>
      <c r="E221" s="2">
        <f t="shared" ref="E221:X221" si="25">D221*(1+$M$73)</f>
        <v>65.894976265316998</v>
      </c>
      <c r="F221" s="2">
        <f t="shared" si="25"/>
        <v>66.889234333346437</v>
      </c>
      <c r="G221" s="2">
        <f t="shared" si="25"/>
        <v>67.898494290167235</v>
      </c>
      <c r="H221" s="2">
        <f t="shared" si="25"/>
        <v>68.922982492169695</v>
      </c>
      <c r="I221" s="2">
        <f t="shared" si="25"/>
        <v>69.962928711128427</v>
      </c>
      <c r="J221" s="2">
        <f t="shared" si="25"/>
        <v>71.018566185735438</v>
      </c>
      <c r="K221" s="2">
        <f t="shared" si="25"/>
        <v>72.090131673910832</v>
      </c>
      <c r="L221" s="2">
        <f t="shared" si="25"/>
        <v>73.177865505902759</v>
      </c>
      <c r="M221" s="2">
        <f t="shared" si="25"/>
        <v>74.282011638188607</v>
      </c>
      <c r="N221" s="2">
        <f t="shared" si="25"/>
        <v>75.402817708189403</v>
      </c>
      <c r="O221" s="2">
        <f t="shared" si="25"/>
        <v>76.540535089809893</v>
      </c>
      <c r="P221" s="2">
        <f t="shared" si="25"/>
        <v>77.695418949816514</v>
      </c>
      <c r="Q221" s="2">
        <f t="shared" si="25"/>
        <v>78.867728305066137</v>
      </c>
      <c r="R221" s="2">
        <f t="shared" si="25"/>
        <v>80.057726080598215</v>
      </c>
      <c r="S221" s="2">
        <f t="shared" si="25"/>
        <v>81.265679168603512</v>
      </c>
      <c r="T221" s="2">
        <f t="shared" si="25"/>
        <v>82.491858488282602</v>
      </c>
      <c r="U221" s="2">
        <f t="shared" si="25"/>
        <v>83.736539046607462</v>
      </c>
      <c r="V221" s="2">
        <f t="shared" si="25"/>
        <v>84.999999999999929</v>
      </c>
      <c r="W221" s="2">
        <f t="shared" si="25"/>
        <v>86.282524716940827</v>
      </c>
      <c r="X221" s="2">
        <f t="shared" si="25"/>
        <v>87.584400841523646</v>
      </c>
    </row>
    <row r="222" spans="2:24">
      <c r="B222" s="262" t="s">
        <v>524</v>
      </c>
      <c r="C222" s="9" t="s">
        <v>535</v>
      </c>
      <c r="D222" s="2">
        <f>N69*(1+$N$73)^2</f>
        <v>169.96944144694689</v>
      </c>
      <c r="E222" s="2">
        <f t="shared" ref="E222:X222" si="26">D222*(1+$N$73)</f>
        <v>172.51000936568593</v>
      </c>
      <c r="F222" s="2">
        <f t="shared" si="26"/>
        <v>175.08855167143702</v>
      </c>
      <c r="G222" s="2">
        <f t="shared" si="26"/>
        <v>177.7056359751104</v>
      </c>
      <c r="H222" s="2">
        <f t="shared" si="26"/>
        <v>180.36183837181241</v>
      </c>
      <c r="I222" s="2">
        <f t="shared" si="26"/>
        <v>183.05774356766051</v>
      </c>
      <c r="J222" s="2">
        <f t="shared" si="26"/>
        <v>185.79394500849375</v>
      </c>
      <c r="K222" s="2">
        <f t="shared" si="26"/>
        <v>188.57104501050722</v>
      </c>
      <c r="L222" s="2">
        <f t="shared" si="26"/>
        <v>191.38965489283908</v>
      </c>
      <c r="M222" s="2">
        <f t="shared" si="26"/>
        <v>194.25039511213936</v>
      </c>
      <c r="N222" s="2">
        <f t="shared" si="26"/>
        <v>197.1538953991502</v>
      </c>
      <c r="O222" s="2">
        <f t="shared" si="26"/>
        <v>200.10079489732769</v>
      </c>
      <c r="P222" s="2">
        <f t="shared" si="26"/>
        <v>203.09174230353548</v>
      </c>
      <c r="Q222" s="2">
        <f t="shared" si="26"/>
        <v>206.12739601084164</v>
      </c>
      <c r="R222" s="2">
        <f t="shared" si="26"/>
        <v>209.20842425344969</v>
      </c>
      <c r="S222" s="2">
        <f t="shared" si="26"/>
        <v>212.33550525379624</v>
      </c>
      <c r="T222" s="2">
        <f t="shared" si="26"/>
        <v>215.50932737184692</v>
      </c>
      <c r="U222" s="2">
        <f t="shared" si="26"/>
        <v>218.73058925662426</v>
      </c>
      <c r="V222" s="2">
        <f t="shared" si="26"/>
        <v>222.00000000000026</v>
      </c>
      <c r="W222" s="2">
        <f t="shared" si="26"/>
        <v>225.31827929278779</v>
      </c>
      <c r="X222" s="2">
        <f t="shared" si="26"/>
        <v>228.68615758316517</v>
      </c>
    </row>
    <row r="223" spans="2:24">
      <c r="B223" s="261" t="s">
        <v>82</v>
      </c>
      <c r="C223" s="9" t="s">
        <v>535</v>
      </c>
      <c r="D223" s="2">
        <f>O69*(1+$O$73)^2</f>
        <v>22229.805553106606</v>
      </c>
      <c r="E223" s="2">
        <f t="shared" ref="E223:X223" si="27">D223*(1+$O$73)</f>
        <v>22763.317995172296</v>
      </c>
      <c r="F223" s="2">
        <f t="shared" si="27"/>
        <v>23309.634666458925</v>
      </c>
      <c r="G223" s="2">
        <f t="shared" si="27"/>
        <v>23869.06286680248</v>
      </c>
      <c r="H223" s="2">
        <f t="shared" si="27"/>
        <v>24441.917271195041</v>
      </c>
      <c r="I223" s="2">
        <f t="shared" si="27"/>
        <v>25028.520106787568</v>
      </c>
      <c r="J223" s="2">
        <f t="shared" si="27"/>
        <v>25629.201334140744</v>
      </c>
      <c r="K223" s="2">
        <f t="shared" si="27"/>
        <v>26244.298832825785</v>
      </c>
      <c r="L223" s="2">
        <f t="shared" si="27"/>
        <v>26874.158591479678</v>
      </c>
      <c r="M223" s="2">
        <f t="shared" si="27"/>
        <v>27519.134902421691</v>
      </c>
      <c r="N223" s="2">
        <f t="shared" si="27"/>
        <v>28179.590560940684</v>
      </c>
      <c r="O223" s="2">
        <f t="shared" si="27"/>
        <v>28855.897069365259</v>
      </c>
      <c r="P223" s="2">
        <f t="shared" si="27"/>
        <v>29548.434846031589</v>
      </c>
      <c r="Q223" s="2">
        <f t="shared" si="27"/>
        <v>30257.593439266435</v>
      </c>
      <c r="R223" s="2">
        <f t="shared" si="27"/>
        <v>30983.771746505739</v>
      </c>
      <c r="S223" s="2">
        <f t="shared" si="27"/>
        <v>31727.378238672027</v>
      </c>
      <c r="T223" s="2">
        <f t="shared" si="27"/>
        <v>32488.831189936831</v>
      </c>
      <c r="U223" s="2">
        <f t="shared" si="27"/>
        <v>33268.558912997411</v>
      </c>
      <c r="V223" s="2">
        <f t="shared" si="27"/>
        <v>34067.000000000044</v>
      </c>
      <c r="W223" s="2">
        <f t="shared" si="27"/>
        <v>34884.603569245475</v>
      </c>
      <c r="X223" s="2">
        <f t="shared" si="27"/>
        <v>35721.829517815269</v>
      </c>
    </row>
    <row r="224" spans="2:24">
      <c r="B224" s="261"/>
      <c r="C224" s="9"/>
      <c r="D224" s="2"/>
      <c r="E224" s="2"/>
      <c r="F224" s="2"/>
      <c r="G224" s="2"/>
      <c r="H224" s="2"/>
      <c r="I224" s="2"/>
      <c r="J224" s="2"/>
      <c r="K224" s="2"/>
      <c r="L224" s="2"/>
      <c r="M224" s="2"/>
      <c r="N224" s="2"/>
      <c r="O224" s="2"/>
      <c r="P224" s="2"/>
      <c r="Q224" s="2"/>
      <c r="R224" s="2"/>
      <c r="S224" s="2"/>
      <c r="T224" s="2"/>
      <c r="U224" s="2"/>
      <c r="V224" s="2"/>
      <c r="W224" s="2"/>
      <c r="X224" s="2"/>
    </row>
    <row r="225" spans="1:80" s="173" customFormat="1">
      <c r="B225" s="266" t="s">
        <v>530</v>
      </c>
      <c r="C225" s="276"/>
      <c r="D225" s="275">
        <f t="shared" ref="D225:X225" si="28">SUM(D226:D229)</f>
        <v>133137.55005008445</v>
      </c>
      <c r="E225" s="275">
        <f t="shared" si="28"/>
        <v>135858.68109070466</v>
      </c>
      <c r="F225" s="275">
        <f t="shared" si="28"/>
        <v>138650.03170054138</v>
      </c>
      <c r="G225" s="275">
        <f t="shared" si="28"/>
        <v>141513.8923585783</v>
      </c>
      <c r="H225" s="275">
        <f t="shared" si="28"/>
        <v>144452.64067382584</v>
      </c>
      <c r="I225" s="275">
        <f t="shared" si="28"/>
        <v>147468.74495475352</v>
      </c>
      <c r="J225" s="275">
        <f t="shared" si="28"/>
        <v>150564.76792944185</v>
      </c>
      <c r="K225" s="275">
        <f t="shared" si="28"/>
        <v>153743.37062289016</v>
      </c>
      <c r="L225" s="275">
        <f t="shared" si="28"/>
        <v>157007.31639819485</v>
      </c>
      <c r="M225" s="275">
        <f t="shared" si="28"/>
        <v>160359.47516859969</v>
      </c>
      <c r="N225" s="275">
        <f t="shared" si="28"/>
        <v>163802.82778771961</v>
      </c>
      <c r="O225" s="275">
        <f t="shared" si="28"/>
        <v>167340.47062555383</v>
      </c>
      <c r="P225" s="275">
        <f t="shared" si="28"/>
        <v>170975.62033823019</v>
      </c>
      <c r="Q225" s="275">
        <f t="shared" si="28"/>
        <v>174711.61883976348</v>
      </c>
      <c r="R225" s="275">
        <f t="shared" si="28"/>
        <v>178551.93848446567</v>
      </c>
      <c r="S225" s="275">
        <f t="shared" si="28"/>
        <v>182500.18746901755</v>
      </c>
      <c r="T225" s="275">
        <f t="shared" si="28"/>
        <v>186560.11546359642</v>
      </c>
      <c r="U225" s="275">
        <f t="shared" si="28"/>
        <v>190735.61948185926</v>
      </c>
      <c r="V225" s="275">
        <f t="shared" si="28"/>
        <v>195030.74999999988</v>
      </c>
      <c r="W225" s="275">
        <f t="shared" si="28"/>
        <v>199449.71733553871</v>
      </c>
      <c r="X225" s="275">
        <f t="shared" si="28"/>
        <v>203996.89829695938</v>
      </c>
      <c r="Z225" s="274" t="s">
        <v>534</v>
      </c>
      <c r="AA225" s="273">
        <f>(X225/D225)^(1/($X$208-$D$208))-1</f>
        <v>2.156534126945564E-2</v>
      </c>
    </row>
    <row r="226" spans="1:80">
      <c r="B226" s="267" t="s">
        <v>518</v>
      </c>
      <c r="C226" s="9" t="s">
        <v>532</v>
      </c>
      <c r="D226" s="2">
        <f>D214*$D$143</f>
        <v>16722.676371490117</v>
      </c>
      <c r="E226" s="2">
        <f t="shared" ref="E226:X226" si="29">D226*(1+$E$73)</f>
        <v>16990.304812931088</v>
      </c>
      <c r="F226" s="2">
        <f t="shared" si="29"/>
        <v>17262.216359604558</v>
      </c>
      <c r="G226" s="2">
        <f t="shared" si="29"/>
        <v>17538.47955800108</v>
      </c>
      <c r="H226" s="2">
        <f t="shared" si="29"/>
        <v>17819.16405162403</v>
      </c>
      <c r="I226" s="2">
        <f t="shared" si="29"/>
        <v>18104.340598546118</v>
      </c>
      <c r="J226" s="2">
        <f t="shared" si="29"/>
        <v>18394.081089246869</v>
      </c>
      <c r="K226" s="2">
        <f t="shared" si="29"/>
        <v>18688.458564735582</v>
      </c>
      <c r="L226" s="2">
        <f t="shared" si="29"/>
        <v>18987.54723496431</v>
      </c>
      <c r="M226" s="2">
        <f t="shared" si="29"/>
        <v>19291.422497535543</v>
      </c>
      <c r="N226" s="2">
        <f t="shared" si="29"/>
        <v>19600.160956709267</v>
      </c>
      <c r="O226" s="2">
        <f t="shared" si="29"/>
        <v>19913.840442714227</v>
      </c>
      <c r="P226" s="2">
        <f t="shared" si="29"/>
        <v>20232.540031368222</v>
      </c>
      <c r="Q226" s="2">
        <f t="shared" si="29"/>
        <v>20556.340064012438</v>
      </c>
      <c r="R226" s="2">
        <f t="shared" si="29"/>
        <v>20885.322167764771</v>
      </c>
      <c r="S226" s="2">
        <f t="shared" si="29"/>
        <v>21219.569276097311</v>
      </c>
      <c r="T226" s="2">
        <f t="shared" si="29"/>
        <v>21559.165649743129</v>
      </c>
      <c r="U226" s="2">
        <f t="shared" si="29"/>
        <v>21904.196897937662</v>
      </c>
      <c r="V226" s="2">
        <f t="shared" si="29"/>
        <v>22254.750000000047</v>
      </c>
      <c r="W226" s="2">
        <f t="shared" si="29"/>
        <v>22610.91332725983</v>
      </c>
      <c r="X226" s="2">
        <f t="shared" si="29"/>
        <v>22972.776665334597</v>
      </c>
    </row>
    <row r="227" spans="1:80">
      <c r="B227" s="267" t="s">
        <v>50</v>
      </c>
      <c r="C227" s="9" t="s">
        <v>532</v>
      </c>
      <c r="D227" s="2">
        <f>D215*$D$143</f>
        <v>92811.712592223994</v>
      </c>
      <c r="E227" s="2">
        <f t="shared" ref="E227:X227" si="30">D227*(1+$F$73)</f>
        <v>94250.339881763502</v>
      </c>
      <c r="F227" s="2">
        <f t="shared" si="30"/>
        <v>95711.266603351003</v>
      </c>
      <c r="G227" s="2">
        <f t="shared" si="30"/>
        <v>97194.838409174015</v>
      </c>
      <c r="H227" s="2">
        <f t="shared" si="30"/>
        <v>98701.406309199345</v>
      </c>
      <c r="I227" s="2">
        <f t="shared" si="30"/>
        <v>100231.32675422126</v>
      </c>
      <c r="J227" s="2">
        <f t="shared" si="30"/>
        <v>101784.96172019704</v>
      </c>
      <c r="K227" s="2">
        <f t="shared" si="30"/>
        <v>103362.67879388972</v>
      </c>
      <c r="L227" s="2">
        <f t="shared" si="30"/>
        <v>104964.85125983832</v>
      </c>
      <c r="M227" s="2">
        <f t="shared" si="30"/>
        <v>106591.85818867621</v>
      </c>
      <c r="N227" s="2">
        <f t="shared" si="30"/>
        <v>108244.08452681841</v>
      </c>
      <c r="O227" s="2">
        <f t="shared" si="30"/>
        <v>109921.92118753906</v>
      </c>
      <c r="P227" s="2">
        <f t="shared" si="30"/>
        <v>111625.76514346078</v>
      </c>
      <c r="Q227" s="2">
        <f t="shared" si="30"/>
        <v>113356.01952047748</v>
      </c>
      <c r="R227" s="2">
        <f t="shared" si="30"/>
        <v>115113.09369313309</v>
      </c>
      <c r="S227" s="2">
        <f t="shared" si="30"/>
        <v>116897.40338147877</v>
      </c>
      <c r="T227" s="2">
        <f t="shared" si="30"/>
        <v>118709.37074943136</v>
      </c>
      <c r="U227" s="2">
        <f t="shared" si="30"/>
        <v>120549.42450465648</v>
      </c>
      <c r="V227" s="2">
        <f t="shared" si="30"/>
        <v>122417.99999999985</v>
      </c>
      <c r="W227" s="2">
        <f t="shared" si="30"/>
        <v>124315.53933649091</v>
      </c>
      <c r="X227" s="2">
        <f t="shared" si="30"/>
        <v>126242.49146794293</v>
      </c>
    </row>
    <row r="228" spans="1:80">
      <c r="B228" s="262" t="s">
        <v>529</v>
      </c>
      <c r="C228" s="9" t="s">
        <v>532</v>
      </c>
      <c r="D228" s="2">
        <f>D216*$D$143</f>
        <v>7253.1975645232305</v>
      </c>
      <c r="E228" s="2">
        <f t="shared" ref="E228:X228" si="31">D228*(1+$G$73)</f>
        <v>7565.0664720538507</v>
      </c>
      <c r="F228" s="2">
        <f t="shared" si="31"/>
        <v>7890.3449433829355</v>
      </c>
      <c r="G228" s="2">
        <f t="shared" si="31"/>
        <v>8229.6095553891773</v>
      </c>
      <c r="H228" s="2">
        <f t="shared" si="31"/>
        <v>8583.4616762794594</v>
      </c>
      <c r="I228" s="2">
        <f t="shared" si="31"/>
        <v>8952.5285315524397</v>
      </c>
      <c r="J228" s="2">
        <f t="shared" si="31"/>
        <v>9337.4643157958253</v>
      </c>
      <c r="K228" s="2">
        <f t="shared" si="31"/>
        <v>9738.951352288097</v>
      </c>
      <c r="L228" s="2">
        <f t="shared" si="31"/>
        <v>10157.70130246012</v>
      </c>
      <c r="M228" s="2">
        <f t="shared" si="31"/>
        <v>10594.456427360517</v>
      </c>
      <c r="N228" s="2">
        <f t="shared" si="31"/>
        <v>11049.990903360809</v>
      </c>
      <c r="O228" s="2">
        <f t="shared" si="31"/>
        <v>11525.112194432515</v>
      </c>
      <c r="P228" s="2">
        <f t="shared" si="31"/>
        <v>12020.662483428643</v>
      </c>
      <c r="Q228" s="2">
        <f t="shared" si="31"/>
        <v>12537.520164906622</v>
      </c>
      <c r="R228" s="2">
        <f t="shared" si="31"/>
        <v>13076.601402138793</v>
      </c>
      <c r="S228" s="2">
        <f t="shared" si="31"/>
        <v>13638.861751070357</v>
      </c>
      <c r="T228" s="2">
        <f t="shared" si="31"/>
        <v>14225.297854103361</v>
      </c>
      <c r="U228" s="2">
        <f t="shared" si="31"/>
        <v>14836.949206709045</v>
      </c>
      <c r="V228" s="2">
        <f t="shared" si="31"/>
        <v>15474.900000000005</v>
      </c>
      <c r="W228" s="2">
        <f t="shared" si="31"/>
        <v>16140.281042528222</v>
      </c>
      <c r="X228" s="2">
        <f t="shared" si="31"/>
        <v>16834.271764715497</v>
      </c>
    </row>
    <row r="229" spans="1:80">
      <c r="B229" s="262" t="s">
        <v>528</v>
      </c>
      <c r="C229" s="9" t="s">
        <v>532</v>
      </c>
      <c r="D229" s="2">
        <f>D217*$D$143</f>
        <v>16349.963521847101</v>
      </c>
      <c r="E229" s="2">
        <f t="shared" ref="E229:X229" si="32">D229*(1+$H$73)</f>
        <v>17052.969923956221</v>
      </c>
      <c r="F229" s="2">
        <f t="shared" si="32"/>
        <v>17786.203794202873</v>
      </c>
      <c r="G229" s="2">
        <f t="shared" si="32"/>
        <v>18550.964836014027</v>
      </c>
      <c r="H229" s="2">
        <f t="shared" si="32"/>
        <v>19348.608636722991</v>
      </c>
      <c r="I229" s="2">
        <f t="shared" si="32"/>
        <v>20180.549070433721</v>
      </c>
      <c r="J229" s="2">
        <f t="shared" si="32"/>
        <v>21048.260804202127</v>
      </c>
      <c r="K229" s="2">
        <f t="shared" si="32"/>
        <v>21953.281911976741</v>
      </c>
      <c r="L229" s="2">
        <f t="shared" si="32"/>
        <v>22897.216600932086</v>
      </c>
      <c r="M229" s="2">
        <f t="shared" si="32"/>
        <v>23881.738055027414</v>
      </c>
      <c r="N229" s="2">
        <f t="shared" si="32"/>
        <v>24908.591400831123</v>
      </c>
      <c r="O229" s="2">
        <f t="shared" si="32"/>
        <v>25979.596800868017</v>
      </c>
      <c r="P229" s="2">
        <f t="shared" si="32"/>
        <v>27096.652679972543</v>
      </c>
      <c r="Q229" s="2">
        <f t="shared" si="32"/>
        <v>28261.739090366926</v>
      </c>
      <c r="R229" s="2">
        <f t="shared" si="32"/>
        <v>29476.921221429013</v>
      </c>
      <c r="S229" s="2">
        <f t="shared" si="32"/>
        <v>30744.353060371104</v>
      </c>
      <c r="T229" s="2">
        <f t="shared" si="32"/>
        <v>32066.281210318579</v>
      </c>
      <c r="U229" s="2">
        <f t="shared" si="32"/>
        <v>33445.048872556064</v>
      </c>
      <c r="V229" s="2">
        <f t="shared" si="32"/>
        <v>34883.099999999991</v>
      </c>
      <c r="W229" s="2">
        <f t="shared" si="32"/>
        <v>36382.983629259747</v>
      </c>
      <c r="X229" s="2">
        <f t="shared" si="32"/>
        <v>37947.358398966353</v>
      </c>
      <c r="Y229" s="274"/>
    </row>
    <row r="230" spans="1:80" s="173" customFormat="1">
      <c r="B230" s="266" t="s">
        <v>527</v>
      </c>
      <c r="C230" s="276"/>
      <c r="D230" s="275">
        <f t="shared" ref="D230:W230" si="33">SUM(D231:D235)</f>
        <v>136221.99981725443</v>
      </c>
      <c r="E230" s="275">
        <f t="shared" si="33"/>
        <v>139465.59285547328</v>
      </c>
      <c r="F230" s="275">
        <f t="shared" si="33"/>
        <v>142786.64714046792</v>
      </c>
      <c r="G230" s="275">
        <f t="shared" si="33"/>
        <v>146187.01598124136</v>
      </c>
      <c r="H230" s="275">
        <f t="shared" si="33"/>
        <v>149668.59707996887</v>
      </c>
      <c r="I230" s="275">
        <f t="shared" si="33"/>
        <v>153233.3335961421</v>
      </c>
      <c r="J230" s="275">
        <f t="shared" si="33"/>
        <v>156883.21523623343</v>
      </c>
      <c r="K230" s="275">
        <f t="shared" si="33"/>
        <v>160620.27936949235</v>
      </c>
      <c r="L230" s="275">
        <f t="shared" si="33"/>
        <v>164446.61217050112</v>
      </c>
      <c r="M230" s="275">
        <f t="shared" si="33"/>
        <v>168364.34978913164</v>
      </c>
      <c r="N230" s="275">
        <f t="shared" si="33"/>
        <v>172375.67954856041</v>
      </c>
      <c r="O230" s="275">
        <f t="shared" si="33"/>
        <v>176482.84117201541</v>
      </c>
      <c r="P230" s="275">
        <f t="shared" si="33"/>
        <v>180688.12803894313</v>
      </c>
      <c r="Q230" s="275">
        <f t="shared" si="33"/>
        <v>184993.88847130275</v>
      </c>
      <c r="R230" s="275">
        <f t="shared" si="33"/>
        <v>189402.527050709</v>
      </c>
      <c r="S230" s="275">
        <f t="shared" si="33"/>
        <v>193916.50596716462</v>
      </c>
      <c r="T230" s="275">
        <f t="shared" si="33"/>
        <v>198538.34640013985</v>
      </c>
      <c r="U230" s="275">
        <f t="shared" si="33"/>
        <v>203270.62993277493</v>
      </c>
      <c r="V230" s="275">
        <f t="shared" si="33"/>
        <v>208116.00000000023</v>
      </c>
      <c r="W230" s="275">
        <f t="shared" si="33"/>
        <v>213077.16337138799</v>
      </c>
      <c r="X230" s="275">
        <f>SUM(X231:X235)</f>
        <v>218156.89166956834</v>
      </c>
      <c r="Z230" s="274" t="s">
        <v>533</v>
      </c>
      <c r="AA230" s="273">
        <f>(X230/D230)^(1/($X$208-$D$208))-1</f>
        <v>2.3825835057635247E-2</v>
      </c>
    </row>
    <row r="231" spans="1:80">
      <c r="B231" s="262" t="s">
        <v>526</v>
      </c>
      <c r="C231" s="9" t="s">
        <v>532</v>
      </c>
      <c r="D231" s="2">
        <f>D219*$D$143</f>
        <v>722.95038143338684</v>
      </c>
      <c r="E231" s="2">
        <f t="shared" ref="E231:X231" si="34">D231*(1+$K$73)</f>
        <v>733.65888378856221</v>
      </c>
      <c r="F231" s="2">
        <f t="shared" si="34"/>
        <v>744.52600286991378</v>
      </c>
      <c r="G231" s="2">
        <f t="shared" si="34"/>
        <v>755.5540881437804</v>
      </c>
      <c r="H231" s="2">
        <f t="shared" si="34"/>
        <v>766.74552387732058</v>
      </c>
      <c r="I231" s="2">
        <f t="shared" si="34"/>
        <v>778.10272965398985</v>
      </c>
      <c r="J231" s="2">
        <f t="shared" si="34"/>
        <v>789.62816089665375</v>
      </c>
      <c r="K231" s="2">
        <f t="shared" si="34"/>
        <v>801.32430939844937</v>
      </c>
      <c r="L231" s="2">
        <f t="shared" si="34"/>
        <v>813.19370386150945</v>
      </c>
      <c r="M231" s="2">
        <f t="shared" si="34"/>
        <v>825.23891044366701</v>
      </c>
      <c r="N231" s="2">
        <f t="shared" si="34"/>
        <v>837.46253331325761</v>
      </c>
      <c r="O231" s="2">
        <f t="shared" si="34"/>
        <v>849.86721521213906</v>
      </c>
      <c r="P231" s="2">
        <f t="shared" si="34"/>
        <v>862.45563802705135</v>
      </c>
      <c r="Q231" s="2">
        <f t="shared" si="34"/>
        <v>875.23052336943908</v>
      </c>
      <c r="R231" s="2">
        <f t="shared" si="34"/>
        <v>888.19463316386293</v>
      </c>
      <c r="S231" s="2">
        <f t="shared" si="34"/>
        <v>901.35077024512645</v>
      </c>
      <c r="T231" s="2">
        <f t="shared" si="34"/>
        <v>914.70177896424764</v>
      </c>
      <c r="U231" s="2">
        <f t="shared" si="34"/>
        <v>928.25054580340634</v>
      </c>
      <c r="V231" s="2">
        <f t="shared" si="34"/>
        <v>942.00000000000045</v>
      </c>
      <c r="W231" s="2">
        <f t="shared" si="34"/>
        <v>955.95311417994606</v>
      </c>
      <c r="X231" s="2">
        <f t="shared" si="34"/>
        <v>970.11290500035727</v>
      </c>
    </row>
    <row r="232" spans="1:80">
      <c r="B232" s="262" t="s">
        <v>525</v>
      </c>
      <c r="C232" s="9" t="s">
        <v>532</v>
      </c>
      <c r="D232" s="2">
        <f>D220*$D$143</f>
        <v>710.90648593388914</v>
      </c>
      <c r="E232" s="2">
        <f t="shared" ref="E232:X232" si="35">D232*(1+$L$73)</f>
        <v>721.5960868649413</v>
      </c>
      <c r="F232" s="2">
        <f t="shared" si="35"/>
        <v>732.446422815755</v>
      </c>
      <c r="G232" s="2">
        <f t="shared" si="35"/>
        <v>743.45991069101581</v>
      </c>
      <c r="H232" s="2">
        <f t="shared" si="35"/>
        <v>754.63900373738545</v>
      </c>
      <c r="I232" s="2">
        <f t="shared" si="35"/>
        <v>765.98619208996104</v>
      </c>
      <c r="J232" s="2">
        <f t="shared" si="35"/>
        <v>777.5040033269504</v>
      </c>
      <c r="K232" s="2">
        <f t="shared" si="35"/>
        <v>789.19500303268876</v>
      </c>
      <c r="L232" s="2">
        <f t="shared" si="35"/>
        <v>801.06179536912055</v>
      </c>
      <c r="M232" s="2">
        <f t="shared" si="35"/>
        <v>813.10702365587497</v>
      </c>
      <c r="N232" s="2">
        <f t="shared" si="35"/>
        <v>825.33337095906336</v>
      </c>
      <c r="O232" s="2">
        <f t="shared" si="35"/>
        <v>837.74356068893019</v>
      </c>
      <c r="P232" s="2">
        <f t="shared" si="35"/>
        <v>850.34035720649092</v>
      </c>
      <c r="Q232" s="2">
        <f t="shared" si="35"/>
        <v>863.12656643929154</v>
      </c>
      <c r="R232" s="2">
        <f t="shared" si="35"/>
        <v>876.10503650642681</v>
      </c>
      <c r="S232" s="2">
        <f t="shared" si="35"/>
        <v>889.27865835295688</v>
      </c>
      <c r="T232" s="2">
        <f t="shared" si="35"/>
        <v>902.65036639386312</v>
      </c>
      <c r="U232" s="2">
        <f t="shared" si="35"/>
        <v>916.22313916768724</v>
      </c>
      <c r="V232" s="2">
        <f t="shared" si="35"/>
        <v>929.99999999999829</v>
      </c>
      <c r="W232" s="2">
        <f t="shared" si="35"/>
        <v>943.98401767683663</v>
      </c>
      <c r="X232" s="2">
        <f t="shared" si="35"/>
        <v>958.17830712828368</v>
      </c>
    </row>
    <row r="233" spans="1:80">
      <c r="B233" s="262" t="s">
        <v>80</v>
      </c>
      <c r="C233" s="9" t="s">
        <v>532</v>
      </c>
      <c r="D233" s="2">
        <f>D221*$D$143</f>
        <v>389.49298256583484</v>
      </c>
      <c r="E233" s="2">
        <f t="shared" ref="E233:X233" si="36">D233*(1+$M$73)</f>
        <v>395.36985759190202</v>
      </c>
      <c r="F233" s="2">
        <f t="shared" si="36"/>
        <v>401.33540600007865</v>
      </c>
      <c r="G233" s="2">
        <f t="shared" si="36"/>
        <v>407.39096574100347</v>
      </c>
      <c r="H233" s="2">
        <f t="shared" si="36"/>
        <v>413.53789495301828</v>
      </c>
      <c r="I233" s="2">
        <f t="shared" si="36"/>
        <v>419.77757226677068</v>
      </c>
      <c r="J233" s="2">
        <f t="shared" si="36"/>
        <v>426.11139711441274</v>
      </c>
      <c r="K233" s="2">
        <f t="shared" si="36"/>
        <v>432.54079004346511</v>
      </c>
      <c r="L233" s="2">
        <f t="shared" si="36"/>
        <v>439.06719303541672</v>
      </c>
      <c r="M233" s="2">
        <f t="shared" si="36"/>
        <v>445.69206982913175</v>
      </c>
      <c r="N233" s="2">
        <f t="shared" si="36"/>
        <v>452.41690624913656</v>
      </c>
      <c r="O233" s="2">
        <f t="shared" si="36"/>
        <v>459.2432105388595</v>
      </c>
      <c r="P233" s="2">
        <f t="shared" si="36"/>
        <v>466.17251369889925</v>
      </c>
      <c r="Q233" s="2">
        <f t="shared" si="36"/>
        <v>473.20636983039697</v>
      </c>
      <c r="R233" s="2">
        <f t="shared" si="36"/>
        <v>480.34635648358943</v>
      </c>
      <c r="S233" s="2">
        <f t="shared" si="36"/>
        <v>487.59407501162127</v>
      </c>
      <c r="T233" s="2">
        <f t="shared" si="36"/>
        <v>494.95115092969581</v>
      </c>
      <c r="U233" s="2">
        <f t="shared" si="36"/>
        <v>502.41923427964497</v>
      </c>
      <c r="V233" s="2">
        <f t="shared" si="36"/>
        <v>509.99999999999983</v>
      </c>
      <c r="W233" s="2">
        <f t="shared" si="36"/>
        <v>517.69514830164519</v>
      </c>
      <c r="X233" s="2">
        <f t="shared" si="36"/>
        <v>525.50640504914213</v>
      </c>
    </row>
    <row r="234" spans="1:80">
      <c r="B234" s="262" t="s">
        <v>524</v>
      </c>
      <c r="C234" s="9" t="s">
        <v>532</v>
      </c>
      <c r="D234" s="2">
        <f>D222*$D$143</f>
        <v>1019.8166486816813</v>
      </c>
      <c r="E234" s="2">
        <f t="shared" ref="E234:X234" si="37">D234*(1+$N$73)</f>
        <v>1035.0600561941155</v>
      </c>
      <c r="F234" s="2">
        <f t="shared" si="37"/>
        <v>1050.5313100286221</v>
      </c>
      <c r="G234" s="2">
        <f t="shared" si="37"/>
        <v>1066.2338158506623</v>
      </c>
      <c r="H234" s="2">
        <f t="shared" si="37"/>
        <v>1082.1710302308743</v>
      </c>
      <c r="I234" s="2">
        <f t="shared" si="37"/>
        <v>1098.3464614059628</v>
      </c>
      <c r="J234" s="2">
        <f t="shared" si="37"/>
        <v>1114.7636700509622</v>
      </c>
      <c r="K234" s="2">
        <f t="shared" si="37"/>
        <v>1131.4262700630431</v>
      </c>
      <c r="L234" s="2">
        <f t="shared" si="37"/>
        <v>1148.3379293570342</v>
      </c>
      <c r="M234" s="2">
        <f t="shared" si="37"/>
        <v>1165.5023706728359</v>
      </c>
      <c r="N234" s="2">
        <f t="shared" si="37"/>
        <v>1182.923372394901</v>
      </c>
      <c r="O234" s="2">
        <f t="shared" si="37"/>
        <v>1200.6047693839657</v>
      </c>
      <c r="P234" s="2">
        <f t="shared" si="37"/>
        <v>1218.5504538212124</v>
      </c>
      <c r="Q234" s="2">
        <f t="shared" si="37"/>
        <v>1236.7643760650492</v>
      </c>
      <c r="R234" s="2">
        <f t="shared" si="37"/>
        <v>1255.2505455206976</v>
      </c>
      <c r="S234" s="2">
        <f t="shared" si="37"/>
        <v>1274.0130315227768</v>
      </c>
      <c r="T234" s="2">
        <f t="shared" si="37"/>
        <v>1293.0559642310809</v>
      </c>
      <c r="U234" s="2">
        <f t="shared" si="37"/>
        <v>1312.383535539745</v>
      </c>
      <c r="V234" s="2">
        <f t="shared" si="37"/>
        <v>1332.0000000000009</v>
      </c>
      <c r="W234" s="2">
        <f t="shared" si="37"/>
        <v>1351.9096757567261</v>
      </c>
      <c r="X234" s="2">
        <f t="shared" si="37"/>
        <v>1372.1169454989902</v>
      </c>
    </row>
    <row r="235" spans="1:80">
      <c r="B235" s="261" t="s">
        <v>82</v>
      </c>
      <c r="C235" s="9" t="s">
        <v>532</v>
      </c>
      <c r="D235" s="2">
        <f>D223*$D$143</f>
        <v>133378.83331863963</v>
      </c>
      <c r="E235" s="2">
        <f t="shared" ref="E235:X235" si="38">D235*(1+$O$73)</f>
        <v>136579.90797103377</v>
      </c>
      <c r="F235" s="2">
        <f t="shared" si="38"/>
        <v>139857.80799875356</v>
      </c>
      <c r="G235" s="2">
        <f t="shared" si="38"/>
        <v>143214.3772008149</v>
      </c>
      <c r="H235" s="2">
        <f t="shared" si="38"/>
        <v>146651.50362717026</v>
      </c>
      <c r="I235" s="2">
        <f t="shared" si="38"/>
        <v>150171.12064072542</v>
      </c>
      <c r="J235" s="2">
        <f t="shared" si="38"/>
        <v>153775.20800484446</v>
      </c>
      <c r="K235" s="2">
        <f t="shared" si="38"/>
        <v>157465.7929969547</v>
      </c>
      <c r="L235" s="2">
        <f t="shared" si="38"/>
        <v>161244.95154887805</v>
      </c>
      <c r="M235" s="2">
        <f t="shared" si="38"/>
        <v>165114.80941453011</v>
      </c>
      <c r="N235" s="2">
        <f t="shared" si="38"/>
        <v>169077.54336564406</v>
      </c>
      <c r="O235" s="2">
        <f t="shared" si="38"/>
        <v>173135.38241619151</v>
      </c>
      <c r="P235" s="2">
        <f t="shared" si="38"/>
        <v>177290.60907618949</v>
      </c>
      <c r="Q235" s="2">
        <f t="shared" si="38"/>
        <v>181545.56063559858</v>
      </c>
      <c r="R235" s="2">
        <f t="shared" si="38"/>
        <v>185902.63047903441</v>
      </c>
      <c r="S235" s="2">
        <f t="shared" si="38"/>
        <v>190364.26943203213</v>
      </c>
      <c r="T235" s="2">
        <f t="shared" si="38"/>
        <v>194932.98713962096</v>
      </c>
      <c r="U235" s="2">
        <f t="shared" si="38"/>
        <v>199611.35347798443</v>
      </c>
      <c r="V235" s="2">
        <f t="shared" si="38"/>
        <v>204402.00000000023</v>
      </c>
      <c r="W235" s="2">
        <f t="shared" si="38"/>
        <v>209307.62141547282</v>
      </c>
      <c r="X235" s="2">
        <f t="shared" si="38"/>
        <v>214330.97710689157</v>
      </c>
    </row>
    <row r="236" spans="1:80">
      <c r="B236" s="261"/>
      <c r="C236" s="9"/>
      <c r="D236" s="2"/>
      <c r="E236" s="2"/>
      <c r="F236" s="2"/>
      <c r="G236" s="2"/>
      <c r="H236" s="2"/>
      <c r="I236" s="2"/>
      <c r="J236" s="2"/>
      <c r="K236" s="2"/>
      <c r="L236" s="2"/>
      <c r="M236" s="2"/>
      <c r="N236" s="2"/>
      <c r="O236" s="2"/>
      <c r="P236" s="2"/>
      <c r="Q236" s="2"/>
      <c r="R236" s="2"/>
      <c r="S236" s="2"/>
      <c r="T236" s="2"/>
      <c r="U236" s="2"/>
      <c r="V236" s="2"/>
      <c r="W236" s="2"/>
      <c r="X236" s="2"/>
    </row>
    <row r="237" spans="1:80" s="68" customFormat="1" ht="15.5">
      <c r="A237" s="272"/>
      <c r="B237" s="271" t="s">
        <v>531</v>
      </c>
      <c r="C237" s="187"/>
    </row>
    <row r="238" spans="1:80" s="257" customFormat="1" ht="15.5">
      <c r="A238" s="270"/>
      <c r="B238" s="266" t="s">
        <v>530</v>
      </c>
      <c r="C238" s="269"/>
      <c r="D238" s="264">
        <f t="shared" ref="D238:X238" si="39">SUM(D239:D242)</f>
        <v>1601475.4824395126</v>
      </c>
      <c r="E238" s="264">
        <f t="shared" si="39"/>
        <v>1626663.2664673077</v>
      </c>
      <c r="F238" s="264">
        <f t="shared" si="39"/>
        <v>1652253.8256509874</v>
      </c>
      <c r="G238" s="264">
        <f t="shared" si="39"/>
        <v>1678253.8814296932</v>
      </c>
      <c r="H238" s="264">
        <f t="shared" si="39"/>
        <v>1704670.2791443353</v>
      </c>
      <c r="I238" s="264">
        <f t="shared" si="39"/>
        <v>1731509.9907923345</v>
      </c>
      <c r="J238" s="264">
        <f t="shared" si="39"/>
        <v>1758780.1178607072</v>
      </c>
      <c r="K238" s="264">
        <f t="shared" si="39"/>
        <v>1786487.8942402529</v>
      </c>
      <c r="L238" s="264">
        <f t="shared" si="39"/>
        <v>1814640.6892236851</v>
      </c>
      <c r="M238" s="264">
        <f t="shared" si="39"/>
        <v>1843246.0105906765</v>
      </c>
      <c r="N238" s="264">
        <f t="shared" si="39"/>
        <v>1872311.5077828981</v>
      </c>
      <c r="O238" s="264">
        <f t="shared" si="39"/>
        <v>1901844.9751722608</v>
      </c>
      <c r="P238" s="264">
        <f t="shared" si="39"/>
        <v>1931854.3554256812</v>
      </c>
      <c r="Q238" s="264">
        <f t="shared" si="39"/>
        <v>1962347.7429698552</v>
      </c>
      <c r="R238" s="264">
        <f t="shared" si="39"/>
        <v>1993333.3875596218</v>
      </c>
      <c r="S238" s="264">
        <f t="shared" si="39"/>
        <v>2024819.6979536759</v>
      </c>
      <c r="T238" s="264">
        <f t="shared" si="39"/>
        <v>2056815.2457015307</v>
      </c>
      <c r="U238" s="264">
        <f t="shared" si="39"/>
        <v>2089328.7690457704</v>
      </c>
      <c r="V238" s="264">
        <f t="shared" si="39"/>
        <v>2122369.1769438237</v>
      </c>
      <c r="W238" s="264">
        <f t="shared" si="39"/>
        <v>2155945.5532136336</v>
      </c>
      <c r="X238" s="264">
        <f t="shared" si="39"/>
        <v>2190067.1608077944</v>
      </c>
      <c r="Y238" s="268"/>
      <c r="Z238" s="268"/>
      <c r="AA238" s="268"/>
      <c r="AB238" s="268"/>
      <c r="AC238" s="268"/>
      <c r="AD238" s="268"/>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row>
    <row r="239" spans="1:80" s="68" customFormat="1">
      <c r="B239" s="267" t="s">
        <v>518</v>
      </c>
      <c r="C239" s="202" t="s">
        <v>1119</v>
      </c>
      <c r="D239" s="112">
        <f t="shared" ref="D239:X239" si="40">D214*$L34*$E$122*$D$181</f>
        <v>243156.10321072509</v>
      </c>
      <c r="E239" s="112">
        <f t="shared" si="40"/>
        <v>247047.55500250237</v>
      </c>
      <c r="F239" s="112">
        <f t="shared" si="40"/>
        <v>251001.28529293856</v>
      </c>
      <c r="G239" s="112">
        <f t="shared" si="40"/>
        <v>255018.29078239205</v>
      </c>
      <c r="H239" s="112">
        <f t="shared" si="40"/>
        <v>259099.5841223379</v>
      </c>
      <c r="I239" s="112">
        <f t="shared" si="40"/>
        <v>263246.19417064841</v>
      </c>
      <c r="J239" s="112">
        <f t="shared" si="40"/>
        <v>267459.16625095898</v>
      </c>
      <c r="K239" s="112">
        <f t="shared" si="40"/>
        <v>271739.56241618522</v>
      </c>
      <c r="L239" s="112">
        <f t="shared" si="40"/>
        <v>276088.46171625669</v>
      </c>
      <c r="M239" s="112">
        <f t="shared" si="40"/>
        <v>280506.96047013614</v>
      </c>
      <c r="N239" s="112">
        <f t="shared" si="40"/>
        <v>284996.1725421914</v>
      </c>
      <c r="O239" s="112">
        <f t="shared" si="40"/>
        <v>289557.22962299123</v>
      </c>
      <c r="P239" s="112">
        <f t="shared" si="40"/>
        <v>294191.2815145941</v>
      </c>
      <c r="Q239" s="112">
        <f t="shared" si="40"/>
        <v>298899.4964204033</v>
      </c>
      <c r="R239" s="112">
        <f t="shared" si="40"/>
        <v>303683.06123966048</v>
      </c>
      <c r="S239" s="112">
        <f t="shared" si="40"/>
        <v>308543.18186665262</v>
      </c>
      <c r="T239" s="112">
        <f t="shared" si="40"/>
        <v>313481.08349470724</v>
      </c>
      <c r="U239" s="112">
        <f t="shared" si="40"/>
        <v>318498.01092505251</v>
      </c>
      <c r="V239" s="112">
        <f t="shared" si="40"/>
        <v>323595.22888062103</v>
      </c>
      <c r="W239" s="112">
        <f t="shared" si="40"/>
        <v>328774.02232487511</v>
      </c>
      <c r="X239" s="112">
        <f t="shared" si="40"/>
        <v>334035.69678573444</v>
      </c>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c r="AX239" s="260"/>
      <c r="AY239" s="260"/>
      <c r="AZ239" s="260"/>
      <c r="BA239" s="260"/>
      <c r="BB239" s="260"/>
      <c r="BC239" s="260"/>
      <c r="BD239" s="260"/>
      <c r="BE239" s="260"/>
      <c r="BF239" s="260"/>
      <c r="BG239" s="260"/>
      <c r="BH239" s="260"/>
      <c r="BI239" s="260"/>
      <c r="BJ239" s="260"/>
      <c r="BK239" s="260"/>
      <c r="BL239" s="260"/>
      <c r="BM239" s="260"/>
      <c r="BN239" s="260"/>
      <c r="BO239" s="260"/>
      <c r="BP239" s="260"/>
      <c r="BQ239" s="260"/>
      <c r="BR239" s="260"/>
      <c r="BS239" s="260"/>
      <c r="BT239" s="260"/>
      <c r="BU239" s="260"/>
      <c r="BV239" s="260"/>
      <c r="BW239" s="260"/>
      <c r="BX239" s="260"/>
      <c r="BY239" s="260"/>
      <c r="BZ239" s="260"/>
      <c r="CA239" s="260"/>
      <c r="CB239" s="260"/>
    </row>
    <row r="240" spans="1:80" s="68" customFormat="1">
      <c r="B240" s="267" t="s">
        <v>50</v>
      </c>
      <c r="C240" s="202" t="s">
        <v>1119</v>
      </c>
      <c r="D240" s="112">
        <f t="shared" ref="D240:X240" si="41">D215*$L35*$F$122*$D$181</f>
        <v>1349528.8591910971</v>
      </c>
      <c r="E240" s="112">
        <f t="shared" si="41"/>
        <v>1370447.221654501</v>
      </c>
      <c r="F240" s="112">
        <f t="shared" si="41"/>
        <v>1391689.8290461781</v>
      </c>
      <c r="G240" s="112">
        <f t="shared" si="41"/>
        <v>1413261.7073223277</v>
      </c>
      <c r="H240" s="112">
        <f t="shared" si="41"/>
        <v>1435167.9603439472</v>
      </c>
      <c r="I240" s="112">
        <f t="shared" si="41"/>
        <v>1457413.7710843962</v>
      </c>
      <c r="J240" s="112">
        <f t="shared" si="41"/>
        <v>1480004.402855675</v>
      </c>
      <c r="K240" s="112">
        <f t="shared" si="41"/>
        <v>1502945.2005537148</v>
      </c>
      <c r="L240" s="112">
        <f t="shared" si="41"/>
        <v>1526241.5919229672</v>
      </c>
      <c r="M240" s="112">
        <f t="shared" si="41"/>
        <v>1549899.0888405985</v>
      </c>
      <c r="N240" s="112">
        <f t="shared" si="41"/>
        <v>1573923.2886205874</v>
      </c>
      <c r="O240" s="112">
        <f t="shared" si="41"/>
        <v>1598319.8753380389</v>
      </c>
      <c r="P240" s="112">
        <f t="shared" si="41"/>
        <v>1623094.6211740223</v>
      </c>
      <c r="Q240" s="112">
        <f t="shared" si="41"/>
        <v>1648253.3877812594</v>
      </c>
      <c r="R240" s="112">
        <f t="shared" si="41"/>
        <v>1673802.1276709784</v>
      </c>
      <c r="S240" s="112">
        <f t="shared" si="41"/>
        <v>1699746.8856212643</v>
      </c>
      <c r="T240" s="112">
        <f t="shared" si="41"/>
        <v>1726093.800107243</v>
      </c>
      <c r="U240" s="112">
        <f t="shared" si="41"/>
        <v>1752849.1047534293</v>
      </c>
      <c r="V240" s="112">
        <f t="shared" si="41"/>
        <v>1780019.129808591</v>
      </c>
      <c r="W240" s="112">
        <f t="shared" si="41"/>
        <v>1807610.3036434713</v>
      </c>
      <c r="X240" s="112">
        <f t="shared" si="41"/>
        <v>1835629.1542717293</v>
      </c>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c r="AX240" s="260"/>
      <c r="AY240" s="260"/>
      <c r="AZ240" s="260"/>
      <c r="BA240" s="260"/>
      <c r="BB240" s="260"/>
      <c r="BC240" s="260"/>
      <c r="BD240" s="260"/>
      <c r="BE240" s="260"/>
      <c r="BF240" s="260"/>
      <c r="BG240" s="260"/>
      <c r="BH240" s="260"/>
      <c r="BI240" s="260"/>
      <c r="BJ240" s="260"/>
      <c r="BK240" s="260"/>
      <c r="BL240" s="260"/>
      <c r="BM240" s="260"/>
      <c r="BN240" s="260"/>
      <c r="BO240" s="260"/>
      <c r="BP240" s="260"/>
      <c r="BQ240" s="260"/>
      <c r="BR240" s="260"/>
      <c r="BS240" s="260"/>
      <c r="BT240" s="260"/>
      <c r="BU240" s="260"/>
      <c r="BV240" s="260"/>
      <c r="BW240" s="260"/>
      <c r="BX240" s="260"/>
      <c r="BY240" s="260"/>
      <c r="BZ240" s="260"/>
      <c r="CA240" s="260"/>
      <c r="CB240" s="260"/>
    </row>
    <row r="241" spans="2:80" s="68" customFormat="1">
      <c r="B241" s="262" t="s">
        <v>529</v>
      </c>
      <c r="C241" s="202" t="s">
        <v>1119</v>
      </c>
      <c r="D241" s="112">
        <f t="shared" ref="D241:X241" si="42">D216*$L36*$G$122*$D$181</f>
        <v>1006.8882664090913</v>
      </c>
      <c r="E241" s="112">
        <f t="shared" si="42"/>
        <v>1050.1818815156646</v>
      </c>
      <c r="F241" s="112">
        <f t="shared" si="42"/>
        <v>1095.3370111234256</v>
      </c>
      <c r="G241" s="112">
        <f t="shared" si="42"/>
        <v>1142.4336955854285</v>
      </c>
      <c r="H241" s="112">
        <f t="shared" si="42"/>
        <v>1191.5554167847897</v>
      </c>
      <c r="I241" s="112">
        <f t="shared" si="42"/>
        <v>1242.7892461116614</v>
      </c>
      <c r="J241" s="112">
        <f t="shared" si="42"/>
        <v>1296.2259988028343</v>
      </c>
      <c r="K241" s="112">
        <f t="shared" si="42"/>
        <v>1351.9603949175503</v>
      </c>
      <c r="L241" s="112">
        <f t="shared" si="42"/>
        <v>1410.0912272348573</v>
      </c>
      <c r="M241" s="112">
        <f t="shared" si="42"/>
        <v>1470.7215363701298</v>
      </c>
      <c r="N241" s="112">
        <f t="shared" si="42"/>
        <v>1533.9587934211388</v>
      </c>
      <c r="O241" s="112">
        <f t="shared" si="42"/>
        <v>1599.915090467445</v>
      </c>
      <c r="P241" s="112">
        <f t="shared" si="42"/>
        <v>1668.707339260772</v>
      </c>
      <c r="Q241" s="112">
        <f t="shared" si="42"/>
        <v>1740.4574784585582</v>
      </c>
      <c r="R241" s="112">
        <f t="shared" si="42"/>
        <v>1815.2926897680197</v>
      </c>
      <c r="S241" s="112">
        <f t="shared" si="42"/>
        <v>1893.3456233838556</v>
      </c>
      <c r="T241" s="112">
        <f t="shared" si="42"/>
        <v>1974.7546331191938</v>
      </c>
      <c r="U241" s="112">
        <f t="shared" si="42"/>
        <v>2059.6640216465689</v>
      </c>
      <c r="V241" s="112">
        <f t="shared" si="42"/>
        <v>2148.2242962836299</v>
      </c>
      <c r="W241" s="112">
        <f t="shared" si="42"/>
        <v>2240.5924357769804</v>
      </c>
      <c r="X241" s="112">
        <f t="shared" si="42"/>
        <v>2336.9321685570394</v>
      </c>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0"/>
      <c r="AT241" s="260"/>
      <c r="AU241" s="260"/>
      <c r="AV241" s="260"/>
      <c r="AW241" s="260"/>
      <c r="AX241" s="260"/>
      <c r="AY241" s="260"/>
      <c r="AZ241" s="260"/>
      <c r="BA241" s="260"/>
      <c r="BB241" s="260"/>
      <c r="BC241" s="260"/>
      <c r="BD241" s="260"/>
      <c r="BE241" s="260"/>
      <c r="BF241" s="260"/>
      <c r="BG241" s="260"/>
      <c r="BH241" s="260"/>
      <c r="BI241" s="260"/>
      <c r="BJ241" s="260"/>
      <c r="BK241" s="260"/>
      <c r="BL241" s="260"/>
      <c r="BM241" s="260"/>
      <c r="BN241" s="260"/>
      <c r="BO241" s="260"/>
      <c r="BP241" s="260"/>
      <c r="BQ241" s="260"/>
      <c r="BR241" s="260"/>
      <c r="BS241" s="260"/>
      <c r="BT241" s="260"/>
      <c r="BU241" s="260"/>
      <c r="BV241" s="260"/>
      <c r="BW241" s="260"/>
      <c r="BX241" s="260"/>
      <c r="BY241" s="260"/>
      <c r="BZ241" s="260"/>
      <c r="CA241" s="260"/>
      <c r="CB241" s="260"/>
    </row>
    <row r="242" spans="2:80" s="68" customFormat="1">
      <c r="B242" s="262" t="s">
        <v>528</v>
      </c>
      <c r="C242" s="202" t="s">
        <v>1119</v>
      </c>
      <c r="D242" s="112">
        <f t="shared" ref="D242:X242" si="43">D217*$L37*$H$122*$D$181</f>
        <v>7783.6317712814171</v>
      </c>
      <c r="E242" s="112">
        <f t="shared" si="43"/>
        <v>8118.3079287883811</v>
      </c>
      <c r="F242" s="112">
        <f t="shared" si="43"/>
        <v>8467.3743007472767</v>
      </c>
      <c r="G242" s="112">
        <f t="shared" si="43"/>
        <v>8831.4496293879529</v>
      </c>
      <c r="H242" s="112">
        <f t="shared" si="43"/>
        <v>9211.1792612655991</v>
      </c>
      <c r="I242" s="112">
        <f t="shared" si="43"/>
        <v>9607.2362911783439</v>
      </c>
      <c r="J242" s="112">
        <f t="shared" si="43"/>
        <v>10020.32275527037</v>
      </c>
      <c r="K242" s="112">
        <f t="shared" si="43"/>
        <v>10451.170875435411</v>
      </c>
      <c r="L242" s="112">
        <f t="shared" si="43"/>
        <v>10900.544357226359</v>
      </c>
      <c r="M242" s="112">
        <f t="shared" si="43"/>
        <v>11369.239743571716</v>
      </c>
      <c r="N242" s="112">
        <f t="shared" si="43"/>
        <v>11858.087826698289</v>
      </c>
      <c r="O242" s="112">
        <f t="shared" si="43"/>
        <v>12367.955120763012</v>
      </c>
      <c r="P242" s="112">
        <f t="shared" si="43"/>
        <v>12899.745397804096</v>
      </c>
      <c r="Q242" s="112">
        <f t="shared" si="43"/>
        <v>13454.401289734147</v>
      </c>
      <c r="R242" s="112">
        <f t="shared" si="43"/>
        <v>14032.905959214888</v>
      </c>
      <c r="S242" s="112">
        <f t="shared" si="43"/>
        <v>14636.284842375158</v>
      </c>
      <c r="T242" s="112">
        <f t="shared" si="43"/>
        <v>15265.607466461355</v>
      </c>
      <c r="U242" s="112">
        <f t="shared" si="43"/>
        <v>15921.989345642131</v>
      </c>
      <c r="V242" s="112">
        <f t="shared" si="43"/>
        <v>16606.593958327838</v>
      </c>
      <c r="W242" s="112">
        <f t="shared" si="43"/>
        <v>17320.634809509644</v>
      </c>
      <c r="X242" s="112">
        <f t="shared" si="43"/>
        <v>18065.377581773868</v>
      </c>
      <c r="Y242" s="260"/>
      <c r="Z242" s="260"/>
      <c r="AA242" s="260"/>
      <c r="AB242" s="260"/>
      <c r="AC242" s="260"/>
      <c r="AD242" s="260"/>
      <c r="AE242" s="260"/>
      <c r="AF242" s="260"/>
      <c r="AG242" s="260"/>
      <c r="AH242" s="260"/>
      <c r="AI242" s="260"/>
      <c r="AJ242" s="260"/>
      <c r="AK242" s="260"/>
      <c r="AL242" s="260"/>
      <c r="AM242" s="260"/>
      <c r="AN242" s="260"/>
      <c r="AO242" s="260"/>
      <c r="AP242" s="260"/>
      <c r="AQ242" s="260"/>
      <c r="AR242" s="260"/>
      <c r="AS242" s="260"/>
      <c r="AT242" s="260"/>
      <c r="AU242" s="260"/>
      <c r="AV242" s="260"/>
      <c r="AW242" s="260"/>
      <c r="AX242" s="260"/>
      <c r="AY242" s="260"/>
      <c r="AZ242" s="260"/>
      <c r="BA242" s="260"/>
      <c r="BB242" s="260"/>
      <c r="BC242" s="260"/>
      <c r="BD242" s="260"/>
      <c r="BE242" s="260"/>
      <c r="BF242" s="260"/>
      <c r="BG242" s="260"/>
      <c r="BH242" s="260"/>
      <c r="BI242" s="260"/>
      <c r="BJ242" s="260"/>
      <c r="BK242" s="260"/>
      <c r="BL242" s="260"/>
      <c r="BM242" s="260"/>
      <c r="BN242" s="260"/>
      <c r="BO242" s="260"/>
      <c r="BP242" s="260"/>
      <c r="BQ242" s="260"/>
      <c r="BR242" s="260"/>
      <c r="BS242" s="260"/>
      <c r="BT242" s="260"/>
      <c r="BU242" s="260"/>
      <c r="BV242" s="260"/>
      <c r="BW242" s="260"/>
      <c r="BX242" s="260"/>
      <c r="BY242" s="260"/>
      <c r="BZ242" s="260"/>
      <c r="CA242" s="260"/>
      <c r="CB242" s="260"/>
    </row>
    <row r="243" spans="2:80" s="257" customFormat="1">
      <c r="B243" s="266" t="s">
        <v>527</v>
      </c>
      <c r="C243" s="265"/>
      <c r="D243" s="264">
        <f>SUM(D244:D248)</f>
        <v>214037.13604591659</v>
      </c>
      <c r="E243" s="264">
        <f t="shared" ref="E243:X243" si="44">SUM(E244:E248)</f>
        <v>217244.83484702223</v>
      </c>
      <c r="F243" s="264">
        <f t="shared" si="44"/>
        <v>220500.60850977106</v>
      </c>
      <c r="G243" s="264">
        <f t="shared" si="44"/>
        <v>223805.17758135078</v>
      </c>
      <c r="H243" s="264">
        <f t="shared" si="44"/>
        <v>227159.27340902097</v>
      </c>
      <c r="I243" s="264">
        <f t="shared" si="44"/>
        <v>230563.63830199957</v>
      </c>
      <c r="J243" s="264">
        <f t="shared" si="44"/>
        <v>234019.0256957761</v>
      </c>
      <c r="K243" s="264">
        <f t="shared" si="44"/>
        <v>237526.20031888789</v>
      </c>
      <c r="L243" s="264">
        <f t="shared" si="44"/>
        <v>241085.93836219644</v>
      </c>
      <c r="M243" s="264">
        <f t="shared" si="44"/>
        <v>244699.02765070091</v>
      </c>
      <c r="N243" s="264">
        <f t="shared" si="44"/>
        <v>248366.26781792738</v>
      </c>
      <c r="O243" s="264">
        <f t="shared" si="44"/>
        <v>252088.47048293246</v>
      </c>
      <c r="P243" s="264">
        <f t="shared" si="44"/>
        <v>255866.45942995959</v>
      </c>
      <c r="Q243" s="264">
        <f t="shared" si="44"/>
        <v>259701.07079078874</v>
      </c>
      <c r="R243" s="264">
        <f t="shared" si="44"/>
        <v>263593.15322981984</v>
      </c>
      <c r="S243" s="264">
        <f t="shared" si="44"/>
        <v>267543.56813193019</v>
      </c>
      <c r="T243" s="264">
        <f t="shared" si="44"/>
        <v>271553.18979314808</v>
      </c>
      <c r="U243" s="264">
        <f t="shared" si="44"/>
        <v>275622.90561418462</v>
      </c>
      <c r="V243" s="264">
        <f t="shared" si="44"/>
        <v>279753.61629686656</v>
      </c>
      <c r="W243" s="264">
        <f t="shared" si="44"/>
        <v>283946.2360435141</v>
      </c>
      <c r="X243" s="264">
        <f t="shared" si="44"/>
        <v>288201.69275930664</v>
      </c>
      <c r="Y243" s="263"/>
      <c r="Z243" s="263"/>
      <c r="AA243" s="263"/>
      <c r="AB243" s="263"/>
      <c r="AC243" s="263"/>
      <c r="AD243" s="263"/>
      <c r="AE243" s="263"/>
      <c r="AF243" s="263"/>
      <c r="AG243" s="263"/>
      <c r="AH243" s="263"/>
      <c r="AI243" s="263"/>
      <c r="AJ243" s="263"/>
      <c r="AK243" s="263"/>
      <c r="AL243" s="263"/>
      <c r="AM243" s="263"/>
      <c r="AN243" s="263"/>
      <c r="AO243" s="263"/>
      <c r="AP243" s="263"/>
      <c r="AQ243" s="263"/>
      <c r="AR243" s="263"/>
      <c r="AS243" s="263"/>
      <c r="AT243" s="263"/>
      <c r="AU243" s="263"/>
      <c r="AV243" s="263"/>
      <c r="AW243" s="263"/>
      <c r="AX243" s="263"/>
      <c r="AY243" s="263"/>
      <c r="AZ243" s="263"/>
      <c r="BA243" s="263"/>
      <c r="BB243" s="263"/>
      <c r="BC243" s="263"/>
      <c r="BD243" s="263"/>
      <c r="BE243" s="263"/>
      <c r="BF243" s="263"/>
      <c r="BG243" s="263"/>
      <c r="BH243" s="263"/>
      <c r="BI243" s="263"/>
      <c r="BJ243" s="263"/>
      <c r="BK243" s="263"/>
      <c r="BL243" s="263"/>
      <c r="BM243" s="263"/>
      <c r="BN243" s="263"/>
      <c r="BO243" s="263"/>
      <c r="BP243" s="263"/>
      <c r="BQ243" s="263"/>
      <c r="BR243" s="263"/>
      <c r="BS243" s="263"/>
      <c r="BT243" s="263"/>
      <c r="BU243" s="263"/>
      <c r="BV243" s="263"/>
      <c r="BW243" s="263"/>
      <c r="BX243" s="263"/>
      <c r="BY243" s="263"/>
      <c r="BZ243" s="263"/>
      <c r="CA243" s="263"/>
      <c r="CB243" s="263"/>
    </row>
    <row r="244" spans="2:80" s="68" customFormat="1">
      <c r="B244" s="262" t="s">
        <v>526</v>
      </c>
      <c r="C244" s="202" t="s">
        <v>1119</v>
      </c>
      <c r="D244" s="112">
        <f>D219*$L49*$K$122*$D$182</f>
        <v>41398.330591957776</v>
      </c>
      <c r="E244" s="112">
        <f t="shared" ref="E244:X244" si="45">E219*$L49*$K$122*$D$182</f>
        <v>42011.531901521172</v>
      </c>
      <c r="F244" s="112">
        <f>F219*$L49*$K$122*$D$182</f>
        <v>42633.81608569988</v>
      </c>
      <c r="G244" s="112">
        <f>G219*$L49*$K$122*$D$182</f>
        <v>43265.3176820593</v>
      </c>
      <c r="H244" s="112">
        <f t="shared" si="45"/>
        <v>43906.17322096524</v>
      </c>
      <c r="I244" s="112">
        <f t="shared" si="45"/>
        <v>44556.521255101747</v>
      </c>
      <c r="J244" s="112">
        <f t="shared" si="45"/>
        <v>45216.502389426169</v>
      </c>
      <c r="K244" s="112">
        <f t="shared" si="45"/>
        <v>45886.259311567832</v>
      </c>
      <c r="L244" s="112">
        <f t="shared" si="45"/>
        <v>46565.93682267706</v>
      </c>
      <c r="M244" s="112">
        <f t="shared" si="45"/>
        <v>47255.681868731146</v>
      </c>
      <c r="N244" s="112">
        <f t="shared" si="45"/>
        <v>47955.643572303954</v>
      </c>
      <c r="O244" s="112">
        <f t="shared" si="45"/>
        <v>48665.97326480622</v>
      </c>
      <c r="P244" s="112">
        <f t="shared" si="45"/>
        <v>49386.824519203263</v>
      </c>
      <c r="Q244" s="112">
        <f t="shared" si="45"/>
        <v>50118.353183217463</v>
      </c>
      <c r="R244" s="112">
        <f t="shared" si="45"/>
        <v>50860.71741302243</v>
      </c>
      <c r="S244" s="112">
        <f t="shared" si="45"/>
        <v>51614.07770743627</v>
      </c>
      <c r="T244" s="112">
        <f t="shared" si="45"/>
        <v>52378.596942621451</v>
      </c>
      <c r="U244" s="112">
        <f t="shared" si="45"/>
        <v>53154.440407298462</v>
      </c>
      <c r="V244" s="112">
        <f t="shared" si="45"/>
        <v>53941.775838481204</v>
      </c>
      <c r="W244" s="112">
        <f t="shared" si="45"/>
        <v>54740.77345774167</v>
      </c>
      <c r="X244" s="112">
        <f t="shared" si="45"/>
        <v>55551.606008011731</v>
      </c>
      <c r="Y244" s="260"/>
      <c r="Z244" s="260"/>
      <c r="AA244" s="260"/>
      <c r="AB244" s="260"/>
      <c r="AC244" s="260"/>
      <c r="AD244" s="260"/>
      <c r="AE244" s="260"/>
      <c r="AF244" s="260"/>
      <c r="AG244" s="260"/>
      <c r="AH244" s="260"/>
      <c r="AI244" s="260"/>
      <c r="AJ244" s="260"/>
      <c r="AK244" s="260"/>
      <c r="AL244" s="260"/>
      <c r="AM244" s="260"/>
      <c r="AN244" s="260"/>
      <c r="AO244" s="260"/>
      <c r="AP244" s="260"/>
      <c r="AQ244" s="260"/>
      <c r="AR244" s="260"/>
      <c r="AS244" s="260"/>
      <c r="AT244" s="260"/>
      <c r="AU244" s="260"/>
      <c r="AV244" s="260"/>
      <c r="AW244" s="260"/>
      <c r="AX244" s="260"/>
      <c r="AY244" s="260"/>
      <c r="AZ244" s="260"/>
      <c r="BA244" s="260"/>
      <c r="BB244" s="260"/>
      <c r="BC244" s="260"/>
      <c r="BD244" s="260"/>
      <c r="BE244" s="260"/>
      <c r="BF244" s="260"/>
      <c r="BG244" s="260"/>
      <c r="BH244" s="260"/>
      <c r="BI244" s="260"/>
      <c r="BJ244" s="260"/>
      <c r="BK244" s="260"/>
      <c r="BL244" s="260"/>
      <c r="BM244" s="260"/>
      <c r="BN244" s="260"/>
      <c r="BO244" s="260"/>
      <c r="BP244" s="260"/>
      <c r="BQ244" s="260"/>
      <c r="BR244" s="260"/>
      <c r="BS244" s="260"/>
      <c r="BT244" s="260"/>
      <c r="BU244" s="260"/>
      <c r="BV244" s="260"/>
      <c r="BW244" s="260"/>
      <c r="BX244" s="260"/>
      <c r="BY244" s="260"/>
      <c r="BZ244" s="260"/>
      <c r="CA244" s="260"/>
      <c r="CB244" s="260"/>
    </row>
    <row r="245" spans="2:80" s="68" customFormat="1">
      <c r="B245" s="262" t="s">
        <v>525</v>
      </c>
      <c r="C245" s="202" t="s">
        <v>1119</v>
      </c>
      <c r="D245" s="112">
        <f t="shared" ref="D245:X245" si="46">D220*$L50*$K$122*$D$182</f>
        <v>40708.66062247158</v>
      </c>
      <c r="E245" s="112">
        <f t="shared" si="46"/>
        <v>41320.779579186696</v>
      </c>
      <c r="F245" s="112">
        <f t="shared" si="46"/>
        <v>41942.102710429797</v>
      </c>
      <c r="G245" s="112">
        <f t="shared" si="46"/>
        <v>42572.768415490464</v>
      </c>
      <c r="H245" s="112">
        <f t="shared" si="46"/>
        <v>43212.917174709997</v>
      </c>
      <c r="I245" s="112">
        <f t="shared" si="46"/>
        <v>43862.691580773324</v>
      </c>
      <c r="J245" s="112">
        <f t="shared" si="46"/>
        <v>44522.236370471437</v>
      </c>
      <c r="K245" s="112">
        <f t="shared" si="46"/>
        <v>45191.698456941376</v>
      </c>
      <c r="L245" s="112">
        <f t="shared" si="46"/>
        <v>45871.226962391069</v>
      </c>
      <c r="M245" s="112">
        <f t="shared" si="46"/>
        <v>46560.973251316165</v>
      </c>
      <c r="N245" s="112">
        <f t="shared" si="46"/>
        <v>47261.090964216375</v>
      </c>
      <c r="O245" s="112">
        <f t="shared" si="46"/>
        <v>47971.736051818822</v>
      </c>
      <c r="P245" s="112">
        <f t="shared" si="46"/>
        <v>48693.066809815871</v>
      </c>
      <c r="Q245" s="112">
        <f t="shared" si="46"/>
        <v>49425.243914125473</v>
      </c>
      <c r="R245" s="112">
        <f t="shared" si="46"/>
        <v>50168.43045668157</v>
      </c>
      <c r="S245" s="112">
        <f t="shared" si="46"/>
        <v>50922.791981762726</v>
      </c>
      <c r="T245" s="112">
        <f t="shared" si="46"/>
        <v>51688.496522866946</v>
      </c>
      <c r="U245" s="112">
        <f t="shared" si="46"/>
        <v>52465.714640141116</v>
      </c>
      <c r="V245" s="112">
        <f t="shared" si="46"/>
        <v>53254.619458373032</v>
      </c>
      <c r="W245" s="112">
        <f t="shared" si="46"/>
        <v>54055.386705554949</v>
      </c>
      <c r="X245" s="112">
        <f t="shared" si="46"/>
        <v>54868.1947520268</v>
      </c>
      <c r="Y245" s="260"/>
      <c r="Z245" s="260"/>
      <c r="AA245" s="260"/>
      <c r="AB245" s="260"/>
      <c r="AC245" s="260"/>
      <c r="AD245" s="260"/>
      <c r="AE245" s="260"/>
      <c r="AF245" s="260"/>
      <c r="AG245" s="260"/>
      <c r="AH245" s="260"/>
      <c r="AI245" s="260"/>
      <c r="AJ245" s="260"/>
      <c r="AK245" s="260"/>
      <c r="AL245" s="260"/>
      <c r="AM245" s="260"/>
      <c r="AN245" s="260"/>
      <c r="AO245" s="260"/>
      <c r="AP245" s="260"/>
      <c r="AQ245" s="260"/>
      <c r="AR245" s="260"/>
      <c r="AS245" s="260"/>
      <c r="AT245" s="260"/>
      <c r="AU245" s="260"/>
      <c r="AV245" s="260"/>
      <c r="AW245" s="260"/>
      <c r="AX245" s="260"/>
      <c r="AY245" s="260"/>
      <c r="AZ245" s="260"/>
      <c r="BA245" s="260"/>
      <c r="BB245" s="260"/>
      <c r="BC245" s="260"/>
      <c r="BD245" s="260"/>
      <c r="BE245" s="260"/>
      <c r="BF245" s="260"/>
      <c r="BG245" s="260"/>
      <c r="BH245" s="260"/>
      <c r="BI245" s="260"/>
      <c r="BJ245" s="260"/>
      <c r="BK245" s="260"/>
      <c r="BL245" s="260"/>
      <c r="BM245" s="260"/>
      <c r="BN245" s="260"/>
      <c r="BO245" s="260"/>
      <c r="BP245" s="260"/>
      <c r="BQ245" s="260"/>
      <c r="BR245" s="260"/>
      <c r="BS245" s="260"/>
      <c r="BT245" s="260"/>
      <c r="BU245" s="260"/>
      <c r="BV245" s="260"/>
      <c r="BW245" s="260"/>
      <c r="BX245" s="260"/>
      <c r="BY245" s="260"/>
      <c r="BZ245" s="260"/>
      <c r="CA245" s="260"/>
      <c r="CB245" s="260"/>
    </row>
    <row r="246" spans="2:80" s="68" customFormat="1">
      <c r="B246" s="262" t="s">
        <v>80</v>
      </c>
      <c r="C246" s="202" t="s">
        <v>1119</v>
      </c>
      <c r="D246" s="112">
        <f t="shared" ref="D246:X246" si="47">D221*$L51*$K$122*$D$182</f>
        <v>73532.35177465243</v>
      </c>
      <c r="E246" s="112">
        <f t="shared" si="47"/>
        <v>74641.846582249884</v>
      </c>
      <c r="F246" s="112">
        <f t="shared" si="47"/>
        <v>75768.082031189246</v>
      </c>
      <c r="G246" s="112">
        <f t="shared" si="47"/>
        <v>76911.31071307401</v>
      </c>
      <c r="H246" s="112">
        <f t="shared" si="47"/>
        <v>78071.789030742686</v>
      </c>
      <c r="I246" s="112">
        <f t="shared" si="47"/>
        <v>79249.777255774708</v>
      </c>
      <c r="J246" s="112">
        <f t="shared" si="47"/>
        <v>80445.539586864033</v>
      </c>
      <c r="K246" s="112">
        <f t="shared" si="47"/>
        <v>81659.344209073432</v>
      </c>
      <c r="L246" s="112">
        <f t="shared" si="47"/>
        <v>82891.463353983083</v>
      </c>
      <c r="M246" s="112">
        <f t="shared" si="47"/>
        <v>84142.173360746441</v>
      </c>
      <c r="N246" s="112">
        <f t="shared" si="47"/>
        <v>85411.754738067408</v>
      </c>
      <c r="O246" s="112">
        <f t="shared" si="47"/>
        <v>86700.492227112874</v>
      </c>
      <c r="P246" s="112">
        <f t="shared" si="47"/>
        <v>88008.674865374225</v>
      </c>
      <c r="Q246" s="112">
        <f t="shared" si="47"/>
        <v>89336.596051492554</v>
      </c>
      <c r="R246" s="112">
        <f t="shared" si="47"/>
        <v>90684.553611062001</v>
      </c>
      <c r="S246" s="112">
        <f t="shared" si="47"/>
        <v>92052.849863425974</v>
      </c>
      <c r="T246" s="112">
        <f t="shared" si="47"/>
        <v>93441.791689481179</v>
      </c>
      <c r="U246" s="112">
        <f t="shared" si="47"/>
        <v>94851.690600504749</v>
      </c>
      <c r="V246" s="112">
        <f t="shared" si="47"/>
        <v>96282.862808019767</v>
      </c>
      <c r="W246" s="112">
        <f t="shared" si="47"/>
        <v>97735.629294715225</v>
      </c>
      <c r="X246" s="112">
        <f t="shared" si="47"/>
        <v>99210.315886435754</v>
      </c>
      <c r="Y246" s="260"/>
      <c r="Z246" s="260"/>
      <c r="AA246" s="260"/>
      <c r="AB246" s="260"/>
      <c r="AC246" s="260"/>
      <c r="AD246" s="260"/>
      <c r="AE246" s="260"/>
      <c r="AF246" s="260"/>
      <c r="AG246" s="260"/>
      <c r="AH246" s="260"/>
      <c r="AI246" s="260"/>
      <c r="AJ246" s="260"/>
      <c r="AK246" s="260"/>
      <c r="AL246" s="260"/>
      <c r="AM246" s="260"/>
      <c r="AN246" s="260"/>
      <c r="AO246" s="260"/>
      <c r="AP246" s="260"/>
      <c r="AQ246" s="260"/>
      <c r="AR246" s="260"/>
      <c r="AS246" s="260"/>
      <c r="AT246" s="260"/>
      <c r="AU246" s="260"/>
      <c r="AV246" s="260"/>
      <c r="AW246" s="260"/>
      <c r="AX246" s="260"/>
      <c r="AY246" s="260"/>
      <c r="AZ246" s="260"/>
      <c r="BA246" s="260"/>
      <c r="BB246" s="260"/>
      <c r="BC246" s="260"/>
      <c r="BD246" s="260"/>
      <c r="BE246" s="260"/>
      <c r="BF246" s="260"/>
      <c r="BG246" s="260"/>
      <c r="BH246" s="260"/>
      <c r="BI246" s="260"/>
      <c r="BJ246" s="260"/>
      <c r="BK246" s="260"/>
      <c r="BL246" s="260"/>
      <c r="BM246" s="260"/>
      <c r="BN246" s="260"/>
      <c r="BO246" s="260"/>
      <c r="BP246" s="260"/>
      <c r="BQ246" s="260"/>
      <c r="BR246" s="260"/>
      <c r="BS246" s="260"/>
      <c r="BT246" s="260"/>
      <c r="BU246" s="260"/>
      <c r="BV246" s="260"/>
      <c r="BW246" s="260"/>
      <c r="BX246" s="260"/>
      <c r="BY246" s="260"/>
      <c r="BZ246" s="260"/>
      <c r="CA246" s="260"/>
      <c r="CB246" s="260"/>
    </row>
    <row r="247" spans="2:80" s="68" customFormat="1">
      <c r="B247" s="262" t="s">
        <v>524</v>
      </c>
      <c r="C247" s="202" t="s">
        <v>1119</v>
      </c>
      <c r="D247" s="112">
        <f t="shared" ref="D247:X247" si="48">D222*$L52*$K$122*$D$182</f>
        <v>58397.793056834795</v>
      </c>
      <c r="E247" s="112">
        <f t="shared" si="48"/>
        <v>59270.676784064475</v>
      </c>
      <c r="F247" s="112">
        <f t="shared" si="48"/>
        <v>60156.607682452137</v>
      </c>
      <c r="G247" s="112">
        <f t="shared" si="48"/>
        <v>61055.780770727026</v>
      </c>
      <c r="H247" s="112">
        <f t="shared" si="48"/>
        <v>61968.393982603055</v>
      </c>
      <c r="I247" s="112">
        <f t="shared" si="48"/>
        <v>62894.648210349784</v>
      </c>
      <c r="J247" s="112">
        <f t="shared" si="48"/>
        <v>63834.747349014462</v>
      </c>
      <c r="K247" s="112">
        <f t="shared" si="48"/>
        <v>64788.898341305263</v>
      </c>
      <c r="L247" s="112">
        <f t="shared" si="48"/>
        <v>65757.311223145225</v>
      </c>
      <c r="M247" s="112">
        <f t="shared" si="48"/>
        <v>66740.199169907166</v>
      </c>
      <c r="N247" s="112">
        <f t="shared" si="48"/>
        <v>67737.778543339664</v>
      </c>
      <c r="O247" s="112">
        <f t="shared" si="48"/>
        <v>68750.268939194575</v>
      </c>
      <c r="P247" s="112">
        <f t="shared" si="48"/>
        <v>69777.893235566225</v>
      </c>
      <c r="Q247" s="112">
        <f t="shared" si="48"/>
        <v>70820.877641953251</v>
      </c>
      <c r="R247" s="112">
        <f t="shared" si="48"/>
        <v>71879.451749053842</v>
      </c>
      <c r="S247" s="112">
        <f t="shared" si="48"/>
        <v>72953.848579305224</v>
      </c>
      <c r="T247" s="112">
        <f t="shared" si="48"/>
        <v>74044.304638178495</v>
      </c>
      <c r="U247" s="112">
        <f t="shared" si="48"/>
        <v>75151.059966240296</v>
      </c>
      <c r="V247" s="112">
        <f t="shared" si="48"/>
        <v>76274.358191992593</v>
      </c>
      <c r="W247" s="112">
        <f t="shared" si="48"/>
        <v>77414.446585502272</v>
      </c>
      <c r="X247" s="112">
        <f t="shared" si="48"/>
        <v>78571.576112832365</v>
      </c>
      <c r="Y247" s="260"/>
      <c r="Z247" s="260"/>
      <c r="AA247" s="260"/>
      <c r="AB247" s="260"/>
      <c r="AC247" s="260"/>
      <c r="AD247" s="260"/>
      <c r="AE247" s="260"/>
      <c r="AF247" s="260"/>
      <c r="AG247" s="260"/>
      <c r="AH247" s="260"/>
      <c r="AI247" s="260"/>
      <c r="AJ247" s="260"/>
      <c r="AK247" s="260"/>
      <c r="AL247" s="260"/>
      <c r="AM247" s="260"/>
      <c r="AN247" s="260"/>
      <c r="AO247" s="260"/>
      <c r="AP247" s="260"/>
      <c r="AQ247" s="260"/>
      <c r="AR247" s="260"/>
      <c r="AS247" s="260"/>
      <c r="AT247" s="260"/>
      <c r="AU247" s="260"/>
      <c r="AV247" s="260"/>
      <c r="AW247" s="260"/>
      <c r="AX247" s="260"/>
      <c r="AY247" s="260"/>
      <c r="AZ247" s="260"/>
      <c r="BA247" s="260"/>
      <c r="BB247" s="260"/>
      <c r="BC247" s="260"/>
      <c r="BD247" s="260"/>
      <c r="BE247" s="260"/>
      <c r="BF247" s="260"/>
      <c r="BG247" s="260"/>
      <c r="BH247" s="260"/>
      <c r="BI247" s="260"/>
      <c r="BJ247" s="260"/>
      <c r="BK247" s="260"/>
      <c r="BL247" s="260"/>
      <c r="BM247" s="260"/>
      <c r="BN247" s="260"/>
      <c r="BO247" s="260"/>
      <c r="BP247" s="260"/>
      <c r="BQ247" s="260"/>
      <c r="BR247" s="260"/>
      <c r="BS247" s="260"/>
      <c r="BT247" s="260"/>
      <c r="BU247" s="260"/>
      <c r="BV247" s="260"/>
      <c r="BW247" s="260"/>
      <c r="BX247" s="260"/>
      <c r="BY247" s="260"/>
      <c r="BZ247" s="260"/>
      <c r="CA247" s="260"/>
      <c r="CB247" s="260"/>
    </row>
    <row r="248" spans="2:80" s="68" customFormat="1">
      <c r="B248" s="261" t="s">
        <v>82</v>
      </c>
      <c r="C248" s="202" t="s">
        <v>1119</v>
      </c>
      <c r="D248" s="112">
        <f t="shared" ref="D248:X248" si="49">D223*$L53*$K$122*$D$182</f>
        <v>0</v>
      </c>
      <c r="E248" s="112">
        <f t="shared" si="49"/>
        <v>0</v>
      </c>
      <c r="F248" s="112">
        <f t="shared" si="49"/>
        <v>0</v>
      </c>
      <c r="G248" s="112">
        <f t="shared" si="49"/>
        <v>0</v>
      </c>
      <c r="H248" s="112">
        <f t="shared" si="49"/>
        <v>0</v>
      </c>
      <c r="I248" s="112">
        <f t="shared" si="49"/>
        <v>0</v>
      </c>
      <c r="J248" s="112">
        <f t="shared" si="49"/>
        <v>0</v>
      </c>
      <c r="K248" s="112">
        <f t="shared" si="49"/>
        <v>0</v>
      </c>
      <c r="L248" s="112">
        <f t="shared" si="49"/>
        <v>0</v>
      </c>
      <c r="M248" s="112">
        <f t="shared" si="49"/>
        <v>0</v>
      </c>
      <c r="N248" s="112">
        <f t="shared" si="49"/>
        <v>0</v>
      </c>
      <c r="O248" s="112">
        <f t="shared" si="49"/>
        <v>0</v>
      </c>
      <c r="P248" s="112">
        <f t="shared" si="49"/>
        <v>0</v>
      </c>
      <c r="Q248" s="112">
        <f t="shared" si="49"/>
        <v>0</v>
      </c>
      <c r="R248" s="112">
        <f t="shared" si="49"/>
        <v>0</v>
      </c>
      <c r="S248" s="112">
        <f t="shared" si="49"/>
        <v>0</v>
      </c>
      <c r="T248" s="112">
        <f t="shared" si="49"/>
        <v>0</v>
      </c>
      <c r="U248" s="112">
        <f t="shared" si="49"/>
        <v>0</v>
      </c>
      <c r="V248" s="112">
        <f t="shared" si="49"/>
        <v>0</v>
      </c>
      <c r="W248" s="112">
        <f t="shared" si="49"/>
        <v>0</v>
      </c>
      <c r="X248" s="112">
        <f t="shared" si="49"/>
        <v>0</v>
      </c>
      <c r="Y248" s="260"/>
      <c r="Z248" s="260"/>
      <c r="AA248" s="260"/>
      <c r="AB248" s="260"/>
      <c r="AC248" s="260"/>
      <c r="AD248" s="260"/>
      <c r="AE248" s="260"/>
      <c r="AF248" s="260"/>
      <c r="AG248" s="260"/>
      <c r="AH248" s="260"/>
      <c r="AI248" s="260"/>
      <c r="AJ248" s="260"/>
      <c r="AK248" s="260"/>
      <c r="AL248" s="260"/>
      <c r="AM248" s="260"/>
      <c r="AN248" s="260"/>
      <c r="AO248" s="260"/>
      <c r="AP248" s="260"/>
      <c r="AQ248" s="260"/>
      <c r="AR248" s="260"/>
      <c r="AS248" s="260"/>
      <c r="AT248" s="260"/>
      <c r="AU248" s="260"/>
      <c r="AV248" s="260"/>
      <c r="AW248" s="260"/>
      <c r="AX248" s="260"/>
      <c r="AY248" s="260"/>
      <c r="AZ248" s="260"/>
      <c r="BA248" s="260"/>
      <c r="BB248" s="260"/>
      <c r="BC248" s="260"/>
      <c r="BD248" s="260"/>
      <c r="BE248" s="260"/>
      <c r="BF248" s="260"/>
      <c r="BG248" s="260"/>
      <c r="BH248" s="260"/>
      <c r="BI248" s="260"/>
      <c r="BJ248" s="260"/>
      <c r="BK248" s="260"/>
      <c r="BL248" s="260"/>
      <c r="BM248" s="260"/>
      <c r="BN248" s="260"/>
      <c r="BO248" s="260"/>
      <c r="BP248" s="260"/>
      <c r="BQ248" s="260"/>
      <c r="BR248" s="260"/>
      <c r="BS248" s="260"/>
      <c r="BT248" s="260"/>
      <c r="BU248" s="260"/>
      <c r="BV248" s="260"/>
      <c r="BW248" s="260"/>
      <c r="BX248" s="260"/>
      <c r="BY248" s="260"/>
      <c r="BZ248" s="260"/>
      <c r="CA248" s="260"/>
      <c r="CB248" s="260"/>
    </row>
    <row r="249" spans="2:80" s="68" customFormat="1">
      <c r="C249" s="202"/>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260"/>
      <c r="AY249" s="260"/>
      <c r="AZ249" s="260"/>
      <c r="BA249" s="260"/>
      <c r="BB249" s="260"/>
      <c r="BC249" s="260"/>
      <c r="BD249" s="260"/>
      <c r="BE249" s="260"/>
      <c r="BF249" s="260"/>
      <c r="BG249" s="260"/>
      <c r="BH249" s="260"/>
      <c r="BI249" s="260"/>
      <c r="BJ249" s="260"/>
      <c r="BK249" s="260"/>
      <c r="BL249" s="260"/>
      <c r="BM249" s="260"/>
      <c r="BN249" s="260"/>
      <c r="BO249" s="260"/>
      <c r="BP249" s="260"/>
      <c r="BQ249" s="260"/>
      <c r="BR249" s="260"/>
      <c r="BS249" s="260"/>
      <c r="BT249" s="260"/>
      <c r="BU249" s="260"/>
      <c r="BV249" s="260"/>
      <c r="BW249" s="260"/>
      <c r="BX249" s="260"/>
      <c r="BY249" s="260"/>
      <c r="BZ249" s="260"/>
      <c r="CA249" s="260"/>
      <c r="CB249" s="260"/>
    </row>
    <row r="250" spans="2:80" s="68" customFormat="1">
      <c r="B250" s="125" t="s">
        <v>523</v>
      </c>
      <c r="C250" s="202"/>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c r="AT250" s="260"/>
      <c r="AU250" s="260"/>
      <c r="AV250" s="260"/>
      <c r="AW250" s="260"/>
      <c r="AX250" s="260"/>
      <c r="AY250" s="260"/>
      <c r="AZ250" s="260"/>
      <c r="BA250" s="260"/>
      <c r="BB250" s="260"/>
      <c r="BC250" s="260"/>
      <c r="BD250" s="260"/>
      <c r="BE250" s="260"/>
      <c r="BF250" s="260"/>
      <c r="BG250" s="260"/>
      <c r="BH250" s="260"/>
      <c r="BI250" s="260"/>
      <c r="BJ250" s="260"/>
      <c r="BK250" s="260"/>
      <c r="BL250" s="260"/>
      <c r="BM250" s="260"/>
      <c r="BN250" s="260"/>
      <c r="BO250" s="260"/>
      <c r="BP250" s="260"/>
      <c r="BQ250" s="260"/>
      <c r="BR250" s="260"/>
      <c r="BS250" s="260"/>
      <c r="BT250" s="260"/>
      <c r="BU250" s="260"/>
      <c r="BV250" s="260"/>
      <c r="BW250" s="260"/>
      <c r="BX250" s="260"/>
      <c r="BY250" s="260"/>
      <c r="BZ250" s="260"/>
      <c r="CA250" s="260"/>
      <c r="CB250" s="260"/>
    </row>
    <row r="251" spans="2:80" s="68" customFormat="1">
      <c r="B251" s="70" t="s">
        <v>522</v>
      </c>
      <c r="C251" s="202" t="s">
        <v>1119</v>
      </c>
      <c r="D251" s="26">
        <f>D200*(1+D203)</f>
        <v>220200.38042528389</v>
      </c>
      <c r="E251" s="260">
        <f t="shared" ref="E251:X251" si="50">D251*(1+$D$204)</f>
        <v>232034.66505476876</v>
      </c>
      <c r="F251" s="260">
        <f t="shared" si="50"/>
        <v>244504.96263037651</v>
      </c>
      <c r="G251" s="260">
        <f t="shared" si="50"/>
        <v>257645.45455641678</v>
      </c>
      <c r="H251" s="260">
        <f t="shared" si="50"/>
        <v>271492.15925703931</v>
      </c>
      <c r="I251" s="260">
        <f t="shared" si="50"/>
        <v>286083.03090365493</v>
      </c>
      <c r="J251" s="260">
        <f t="shared" si="50"/>
        <v>301458.06344828912</v>
      </c>
      <c r="K251" s="260">
        <f t="shared" si="50"/>
        <v>317659.40024802671</v>
      </c>
      <c r="L251" s="260">
        <f t="shared" si="50"/>
        <v>334731.44958103035</v>
      </c>
      <c r="M251" s="260">
        <f t="shared" si="50"/>
        <v>352721.00637076574</v>
      </c>
      <c r="N251" s="260">
        <f t="shared" si="50"/>
        <v>371677.38045208273</v>
      </c>
      <c r="O251" s="260">
        <f t="shared" si="50"/>
        <v>391652.53173073253</v>
      </c>
      <c r="P251" s="260">
        <f t="shared" si="50"/>
        <v>412701.21260679723</v>
      </c>
      <c r="Q251" s="260">
        <f t="shared" si="50"/>
        <v>434881.11805241741</v>
      </c>
      <c r="R251" s="260">
        <f t="shared" si="50"/>
        <v>458253.04375518515</v>
      </c>
      <c r="S251" s="260">
        <f t="shared" si="50"/>
        <v>482881.05276067712</v>
      </c>
      <c r="T251" s="260">
        <f t="shared" si="50"/>
        <v>508832.65107089968</v>
      </c>
      <c r="U251" s="260">
        <f t="shared" si="50"/>
        <v>536178.9726799652</v>
      </c>
      <c r="V251" s="260">
        <f t="shared" si="50"/>
        <v>564994.97455418773</v>
      </c>
      <c r="W251" s="260">
        <f t="shared" si="50"/>
        <v>595359.64209104318</v>
      </c>
      <c r="X251" s="260">
        <f t="shared" si="50"/>
        <v>627356.20562016172</v>
      </c>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c r="AT251" s="260"/>
      <c r="AU251" s="260"/>
      <c r="AV251" s="260"/>
      <c r="AW251" s="260"/>
      <c r="AX251" s="260"/>
      <c r="AY251" s="260"/>
      <c r="AZ251" s="260"/>
      <c r="BA251" s="260"/>
      <c r="BB251" s="260"/>
      <c r="BC251" s="260"/>
      <c r="BD251" s="260"/>
      <c r="BE251" s="260"/>
      <c r="BF251" s="260"/>
      <c r="BG251" s="260"/>
      <c r="BH251" s="260"/>
      <c r="BI251" s="260"/>
      <c r="BJ251" s="260"/>
      <c r="BK251" s="260"/>
      <c r="BL251" s="260"/>
      <c r="BM251" s="260"/>
      <c r="BN251" s="260"/>
      <c r="BO251" s="260"/>
      <c r="BP251" s="260"/>
      <c r="BQ251" s="260"/>
      <c r="BR251" s="260"/>
      <c r="BS251" s="260"/>
      <c r="BT251" s="260"/>
      <c r="BU251" s="260"/>
      <c r="BV251" s="260"/>
      <c r="BW251" s="260"/>
      <c r="BX251" s="260"/>
      <c r="BY251" s="260"/>
      <c r="BZ251" s="260"/>
      <c r="CA251" s="260"/>
      <c r="CB251" s="260"/>
    </row>
    <row r="252" spans="2:80" s="68" customFormat="1">
      <c r="B252" s="70" t="s">
        <v>514</v>
      </c>
      <c r="C252" s="202" t="s">
        <v>1119</v>
      </c>
      <c r="D252" s="26">
        <f>D201*(1+D204)</f>
        <v>437618.34044583963</v>
      </c>
      <c r="E252" s="260">
        <f t="shared" ref="E252:X252" si="51">D252*(1+$D$204)</f>
        <v>461137.37338264298</v>
      </c>
      <c r="F252" s="260">
        <f t="shared" si="51"/>
        <v>485920.39564338303</v>
      </c>
      <c r="G252" s="260">
        <f t="shared" si="51"/>
        <v>512035.33812535985</v>
      </c>
      <c r="H252" s="260">
        <f t="shared" si="51"/>
        <v>539553.7825532346</v>
      </c>
      <c r="I252" s="260">
        <f t="shared" si="51"/>
        <v>568551.15768636588</v>
      </c>
      <c r="J252" s="260">
        <f t="shared" si="51"/>
        <v>599106.94607096678</v>
      </c>
      <c r="K252" s="260">
        <f t="shared" si="51"/>
        <v>631304.90190379508</v>
      </c>
      <c r="L252" s="260">
        <f t="shared" si="51"/>
        <v>665233.28060454642</v>
      </c>
      <c r="M252" s="260">
        <f t="shared" si="51"/>
        <v>700985.08072621527</v>
      </c>
      <c r="N252" s="260">
        <f t="shared" si="51"/>
        <v>738658.2988665048</v>
      </c>
      <c r="O252" s="260">
        <f t="shared" si="51"/>
        <v>778356.19827900559</v>
      </c>
      <c r="P252" s="260">
        <f t="shared" si="51"/>
        <v>820187.59192041215</v>
      </c>
      <c r="Q252" s="260">
        <f t="shared" si="51"/>
        <v>864267.14070961787</v>
      </c>
      <c r="R252" s="260">
        <f t="shared" si="51"/>
        <v>910715.66781622358</v>
      </c>
      <c r="S252" s="260">
        <f t="shared" si="51"/>
        <v>959660.48983993288</v>
      </c>
      <c r="T252" s="260">
        <f t="shared" si="51"/>
        <v>1011235.7657886053</v>
      </c>
      <c r="U252" s="260">
        <f t="shared" si="51"/>
        <v>1065582.864811525</v>
      </c>
      <c r="V252" s="260">
        <f t="shared" si="51"/>
        <v>1122850.7536958512</v>
      </c>
      <c r="W252" s="260">
        <f t="shared" si="51"/>
        <v>1183196.4051883887</v>
      </c>
      <c r="X252" s="260">
        <f t="shared" si="51"/>
        <v>1246785.2282618976</v>
      </c>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c r="AT252" s="260"/>
      <c r="AU252" s="260"/>
      <c r="AV252" s="260"/>
      <c r="AW252" s="260"/>
      <c r="AX252" s="260"/>
      <c r="AY252" s="260"/>
      <c r="AZ252" s="260"/>
      <c r="BA252" s="260"/>
      <c r="BB252" s="260"/>
      <c r="BC252" s="260"/>
      <c r="BD252" s="260"/>
      <c r="BE252" s="260"/>
      <c r="BF252" s="260"/>
      <c r="BG252" s="260"/>
      <c r="BH252" s="260"/>
      <c r="BI252" s="260"/>
      <c r="BJ252" s="260"/>
      <c r="BK252" s="260"/>
      <c r="BL252" s="260"/>
      <c r="BM252" s="260"/>
      <c r="BN252" s="260"/>
      <c r="BO252" s="260"/>
      <c r="BP252" s="260"/>
      <c r="BQ252" s="260"/>
      <c r="BR252" s="260"/>
      <c r="BS252" s="260"/>
      <c r="BT252" s="260"/>
      <c r="BU252" s="260"/>
      <c r="BV252" s="260"/>
      <c r="BW252" s="260"/>
      <c r="BX252" s="260"/>
      <c r="BY252" s="260"/>
      <c r="BZ252" s="260"/>
      <c r="CA252" s="260"/>
      <c r="CB252" s="260"/>
    </row>
    <row r="253" spans="2:80" s="68" customFormat="1">
      <c r="C253" s="202"/>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c r="AT253" s="260"/>
      <c r="AU253" s="260"/>
      <c r="AV253" s="260"/>
      <c r="AW253" s="260"/>
      <c r="AX253" s="260"/>
      <c r="AY253" s="260"/>
      <c r="AZ253" s="260"/>
      <c r="BA253" s="260"/>
      <c r="BB253" s="260"/>
      <c r="BC253" s="260"/>
      <c r="BD253" s="260"/>
      <c r="BE253" s="260"/>
      <c r="BF253" s="260"/>
      <c r="BG253" s="260"/>
      <c r="BH253" s="260"/>
      <c r="BI253" s="260"/>
      <c r="BJ253" s="260"/>
      <c r="BK253" s="260"/>
      <c r="BL253" s="260"/>
      <c r="BM253" s="260"/>
      <c r="BN253" s="260"/>
      <c r="BO253" s="260"/>
      <c r="BP253" s="260"/>
      <c r="BQ253" s="260"/>
      <c r="BR253" s="260"/>
      <c r="BS253" s="260"/>
      <c r="BT253" s="260"/>
      <c r="BU253" s="260"/>
      <c r="BV253" s="260"/>
      <c r="BW253" s="260"/>
      <c r="BX253" s="260"/>
      <c r="BY253" s="260"/>
      <c r="BZ253" s="260"/>
      <c r="CA253" s="260"/>
      <c r="CB253" s="260"/>
    </row>
    <row r="254" spans="2:80" s="68" customFormat="1">
      <c r="C254" s="202"/>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E254" s="260"/>
      <c r="AF254" s="260"/>
      <c r="AG254" s="260"/>
      <c r="AH254" s="260"/>
      <c r="AI254" s="260"/>
      <c r="AJ254" s="260"/>
      <c r="AK254" s="260"/>
      <c r="AL254" s="260"/>
      <c r="AM254" s="260"/>
      <c r="AN254" s="260"/>
      <c r="AO254" s="260"/>
      <c r="AP254" s="260"/>
      <c r="AQ254" s="260"/>
      <c r="AR254" s="260"/>
      <c r="AS254" s="260"/>
      <c r="AT254" s="260"/>
      <c r="AU254" s="260"/>
      <c r="AV254" s="260"/>
      <c r="AW254" s="260"/>
      <c r="AX254" s="260"/>
      <c r="AY254" s="260"/>
      <c r="AZ254" s="260"/>
      <c r="BA254" s="260"/>
      <c r="BB254" s="260"/>
      <c r="BC254" s="260"/>
      <c r="BD254" s="260"/>
      <c r="BE254" s="260"/>
      <c r="BF254" s="260"/>
      <c r="BG254" s="260"/>
      <c r="BH254" s="260"/>
      <c r="BI254" s="260"/>
      <c r="BJ254" s="260"/>
      <c r="BK254" s="260"/>
      <c r="BL254" s="260"/>
      <c r="BM254" s="260"/>
      <c r="BN254" s="260"/>
      <c r="BO254" s="260"/>
      <c r="BP254" s="260"/>
      <c r="BQ254" s="260"/>
      <c r="BR254" s="260"/>
      <c r="BS254" s="260"/>
      <c r="BT254" s="260"/>
      <c r="BU254" s="260"/>
      <c r="BV254" s="260"/>
      <c r="BW254" s="260"/>
      <c r="BX254" s="260"/>
      <c r="BY254" s="260"/>
      <c r="BZ254" s="260"/>
      <c r="CA254" s="260"/>
      <c r="CB254" s="260"/>
    </row>
    <row r="255" spans="2:80" s="68" customFormat="1">
      <c r="C255" s="202"/>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0"/>
      <c r="AR255" s="260"/>
      <c r="AS255" s="260"/>
      <c r="AT255" s="260"/>
      <c r="AU255" s="260"/>
      <c r="AV255" s="260"/>
      <c r="AW255" s="260"/>
      <c r="AX255" s="260"/>
      <c r="AY255" s="260"/>
      <c r="AZ255" s="260"/>
      <c r="BA255" s="260"/>
      <c r="BB255" s="260"/>
      <c r="BC255" s="260"/>
      <c r="BD255" s="260"/>
      <c r="BE255" s="260"/>
      <c r="BF255" s="260"/>
      <c r="BG255" s="260"/>
      <c r="BH255" s="260"/>
      <c r="BI255" s="260"/>
      <c r="BJ255" s="260"/>
      <c r="BK255" s="260"/>
      <c r="BL255" s="260"/>
      <c r="BM255" s="260"/>
      <c r="BN255" s="260"/>
      <c r="BO255" s="260"/>
      <c r="BP255" s="260"/>
      <c r="BQ255" s="260"/>
      <c r="BR255" s="260"/>
      <c r="BS255" s="260"/>
      <c r="BT255" s="260"/>
      <c r="BU255" s="260"/>
      <c r="BV255" s="260"/>
      <c r="BW255" s="260"/>
      <c r="BX255" s="260"/>
      <c r="BY255" s="260"/>
      <c r="BZ255" s="260"/>
      <c r="CA255" s="260"/>
      <c r="CB255" s="260"/>
    </row>
    <row r="256" spans="2:80" ht="29">
      <c r="B256" s="1264" t="s">
        <v>1695</v>
      </c>
    </row>
    <row r="257" spans="2:9" ht="28.5" customHeight="1">
      <c r="B257" s="1265" t="s">
        <v>522</v>
      </c>
      <c r="C257" s="1388" t="s">
        <v>1696</v>
      </c>
      <c r="D257" s="1388"/>
      <c r="E257" s="1388"/>
      <c r="G257" s="1391" t="s">
        <v>1697</v>
      </c>
      <c r="H257" s="1391"/>
      <c r="I257" s="1137"/>
    </row>
    <row r="258" spans="2:9" ht="15" customHeight="1">
      <c r="B258" s="258"/>
      <c r="C258" s="257"/>
      <c r="D258" s="257"/>
      <c r="E258" s="1386" t="s">
        <v>513</v>
      </c>
      <c r="G258" s="257"/>
      <c r="H258" s="1386" t="s">
        <v>512</v>
      </c>
    </row>
    <row r="259" spans="2:9">
      <c r="B259" s="258"/>
      <c r="C259" s="256" t="s">
        <v>511</v>
      </c>
      <c r="D259" s="255" t="s">
        <v>510</v>
      </c>
      <c r="E259" s="1387"/>
      <c r="G259" s="255" t="s">
        <v>510</v>
      </c>
      <c r="H259" s="1387"/>
    </row>
    <row r="260" spans="2:9">
      <c r="B260" s="258"/>
      <c r="C260" s="9">
        <v>1</v>
      </c>
      <c r="D260" s="1" t="s">
        <v>168</v>
      </c>
      <c r="E260" s="4">
        <v>0.8</v>
      </c>
      <c r="G260" s="253" t="s">
        <v>521</v>
      </c>
      <c r="H260" s="4">
        <v>1</v>
      </c>
    </row>
    <row r="261" spans="2:9">
      <c r="B261" s="258"/>
      <c r="C261" s="9">
        <v>2</v>
      </c>
      <c r="D261" s="1" t="s">
        <v>90</v>
      </c>
      <c r="E261" s="4">
        <v>1</v>
      </c>
      <c r="G261" s="1" t="s">
        <v>520</v>
      </c>
      <c r="H261" s="4">
        <v>1</v>
      </c>
    </row>
    <row r="262" spans="2:9">
      <c r="B262" s="258"/>
      <c r="C262" s="9">
        <v>3</v>
      </c>
      <c r="D262" s="1" t="s">
        <v>519</v>
      </c>
      <c r="E262" s="4">
        <v>1</v>
      </c>
      <c r="G262" s="250" t="s">
        <v>503</v>
      </c>
      <c r="H262" s="4">
        <v>0.35</v>
      </c>
    </row>
    <row r="263" spans="2:9">
      <c r="B263" s="258"/>
      <c r="C263" s="9">
        <v>4</v>
      </c>
      <c r="D263" s="1" t="s">
        <v>88</v>
      </c>
      <c r="E263" s="4">
        <v>0.15</v>
      </c>
      <c r="G263" s="250" t="s">
        <v>502</v>
      </c>
      <c r="H263" s="4">
        <v>0.6</v>
      </c>
    </row>
    <row r="264" spans="2:9">
      <c r="B264" s="258"/>
      <c r="C264" s="9">
        <v>5</v>
      </c>
      <c r="D264" s="1" t="s">
        <v>85</v>
      </c>
      <c r="E264" s="4">
        <v>0.3</v>
      </c>
      <c r="G264" s="251" t="s">
        <v>499</v>
      </c>
      <c r="H264" s="4">
        <v>0.4</v>
      </c>
    </row>
    <row r="265" spans="2:9">
      <c r="B265" s="258"/>
      <c r="C265" s="9">
        <v>7</v>
      </c>
      <c r="D265" s="1" t="s">
        <v>167</v>
      </c>
      <c r="E265" s="4">
        <v>0.35</v>
      </c>
      <c r="G265" s="250" t="s">
        <v>498</v>
      </c>
      <c r="H265" s="4">
        <v>0.95</v>
      </c>
    </row>
    <row r="266" spans="2:9">
      <c r="B266" s="132"/>
      <c r="C266" s="9">
        <v>9</v>
      </c>
      <c r="D266" s="1" t="s">
        <v>166</v>
      </c>
      <c r="E266" s="4">
        <v>0.55000000000000004</v>
      </c>
      <c r="G266" s="250" t="s">
        <v>519</v>
      </c>
      <c r="H266" s="4">
        <v>1</v>
      </c>
    </row>
    <row r="267" spans="2:9">
      <c r="B267" s="132"/>
      <c r="C267" s="9">
        <v>10</v>
      </c>
      <c r="D267" s="1" t="s">
        <v>50</v>
      </c>
      <c r="E267" s="4">
        <v>0.4</v>
      </c>
      <c r="G267" s="253" t="s">
        <v>518</v>
      </c>
      <c r="H267" s="4">
        <v>1</v>
      </c>
    </row>
    <row r="268" spans="2:9">
      <c r="B268" s="132"/>
      <c r="C268" s="9">
        <v>11</v>
      </c>
      <c r="D268" s="1" t="s">
        <v>165</v>
      </c>
      <c r="E268" s="4">
        <v>0.55000000000000004</v>
      </c>
      <c r="G268" s="250" t="s">
        <v>496</v>
      </c>
      <c r="H268" s="4">
        <v>0.1</v>
      </c>
    </row>
    <row r="269" spans="2:9">
      <c r="B269" s="132"/>
      <c r="C269" s="9">
        <v>12</v>
      </c>
      <c r="D269" s="1" t="s">
        <v>164</v>
      </c>
      <c r="E269" s="4">
        <v>0.25</v>
      </c>
      <c r="G269" s="251" t="s">
        <v>50</v>
      </c>
      <c r="H269" s="4">
        <v>0.95</v>
      </c>
    </row>
    <row r="270" spans="2:9">
      <c r="B270" s="132"/>
      <c r="C270" s="9" t="s">
        <v>476</v>
      </c>
      <c r="D270" s="241" t="s">
        <v>516</v>
      </c>
      <c r="E270" s="133" t="s">
        <v>476</v>
      </c>
      <c r="G270" s="251" t="s">
        <v>493</v>
      </c>
      <c r="H270" s="4">
        <v>0.95</v>
      </c>
    </row>
    <row r="271" spans="2:9">
      <c r="B271" s="132"/>
      <c r="C271" s="9"/>
      <c r="D271" s="241"/>
      <c r="E271" s="133"/>
      <c r="G271" s="251" t="s">
        <v>517</v>
      </c>
      <c r="H271" s="4">
        <v>1</v>
      </c>
    </row>
    <row r="272" spans="2:9">
      <c r="B272" s="132"/>
      <c r="G272" s="241" t="s">
        <v>516</v>
      </c>
      <c r="H272" s="133" t="s">
        <v>476</v>
      </c>
    </row>
    <row r="273" spans="2:8">
      <c r="B273" s="132"/>
      <c r="C273" s="9"/>
      <c r="D273" s="241"/>
      <c r="E273" s="4"/>
      <c r="G273" s="250" t="s">
        <v>515</v>
      </c>
      <c r="H273" s="133" t="s">
        <v>476</v>
      </c>
    </row>
    <row r="274" spans="2:8" ht="15.5">
      <c r="B274" s="259"/>
    </row>
    <row r="275" spans="2:8" ht="25.5" customHeight="1">
      <c r="B275" s="258" t="s">
        <v>514</v>
      </c>
      <c r="C275" s="1388" t="s">
        <v>1698</v>
      </c>
      <c r="D275" s="1388"/>
      <c r="E275" s="1388"/>
      <c r="G275" s="1388" t="s">
        <v>1700</v>
      </c>
      <c r="H275" s="1388"/>
    </row>
    <row r="276" spans="2:8" ht="15" customHeight="1">
      <c r="C276" s="257"/>
      <c r="D276" s="257"/>
      <c r="E276" s="1386" t="s">
        <v>513</v>
      </c>
      <c r="G276" s="257"/>
      <c r="H276" s="1386" t="s">
        <v>512</v>
      </c>
    </row>
    <row r="277" spans="2:8">
      <c r="B277" s="132"/>
      <c r="C277" s="256" t="s">
        <v>511</v>
      </c>
      <c r="D277" s="255" t="s">
        <v>510</v>
      </c>
      <c r="E277" s="1387"/>
      <c r="G277" s="255" t="s">
        <v>510</v>
      </c>
      <c r="H277" s="1387"/>
    </row>
    <row r="278" spans="2:8">
      <c r="B278" s="132"/>
      <c r="C278" s="9">
        <v>1</v>
      </c>
      <c r="D278" s="1" t="s">
        <v>168</v>
      </c>
      <c r="E278" s="254">
        <v>0.2</v>
      </c>
      <c r="G278" s="253" t="s">
        <v>157</v>
      </c>
      <c r="H278" s="4">
        <v>1</v>
      </c>
    </row>
    <row r="279" spans="2:8">
      <c r="B279" s="132"/>
      <c r="C279" s="9">
        <v>5</v>
      </c>
      <c r="D279" s="1" t="s">
        <v>85</v>
      </c>
      <c r="E279" s="4">
        <v>0.7</v>
      </c>
      <c r="G279" s="1" t="s">
        <v>509</v>
      </c>
      <c r="H279" s="4">
        <v>0.8</v>
      </c>
    </row>
    <row r="280" spans="2:8">
      <c r="B280" s="132"/>
      <c r="C280" s="9">
        <v>6</v>
      </c>
      <c r="D280" s="1" t="s">
        <v>82</v>
      </c>
      <c r="E280" s="4">
        <v>1</v>
      </c>
      <c r="G280" s="252" t="s">
        <v>508</v>
      </c>
      <c r="H280" s="4">
        <v>0.2</v>
      </c>
    </row>
    <row r="281" spans="2:8">
      <c r="B281" s="132"/>
      <c r="C281" s="9">
        <v>7</v>
      </c>
      <c r="D281" s="1" t="s">
        <v>167</v>
      </c>
      <c r="E281" s="4">
        <v>0.65</v>
      </c>
      <c r="G281" s="1" t="s">
        <v>507</v>
      </c>
      <c r="H281" s="4">
        <v>1</v>
      </c>
    </row>
    <row r="282" spans="2:8">
      <c r="B282" s="132"/>
      <c r="C282" s="9">
        <v>8</v>
      </c>
      <c r="D282" s="1" t="s">
        <v>89</v>
      </c>
      <c r="E282" s="4">
        <v>1</v>
      </c>
      <c r="G282" s="1" t="s">
        <v>506</v>
      </c>
      <c r="H282" s="4">
        <v>1</v>
      </c>
    </row>
    <row r="283" spans="2:8">
      <c r="B283" s="132"/>
      <c r="C283" s="9">
        <v>9</v>
      </c>
      <c r="D283" s="1" t="s">
        <v>166</v>
      </c>
      <c r="E283" s="4">
        <v>0.05</v>
      </c>
      <c r="G283" s="250" t="s">
        <v>505</v>
      </c>
      <c r="H283" s="4">
        <v>1</v>
      </c>
    </row>
    <row r="284" spans="2:8">
      <c r="B284" s="132"/>
      <c r="C284" s="9">
        <v>11</v>
      </c>
      <c r="D284" s="1" t="s">
        <v>165</v>
      </c>
      <c r="E284" s="4">
        <v>0.2</v>
      </c>
      <c r="G284" s="250" t="s">
        <v>504</v>
      </c>
      <c r="H284" s="4">
        <v>1</v>
      </c>
    </row>
    <row r="285" spans="2:8">
      <c r="B285" s="132"/>
      <c r="C285" s="9">
        <v>13</v>
      </c>
      <c r="D285" s="1" t="s">
        <v>163</v>
      </c>
      <c r="E285" s="4">
        <v>0.6</v>
      </c>
      <c r="G285" s="250" t="s">
        <v>503</v>
      </c>
      <c r="H285" s="4">
        <v>0.65</v>
      </c>
    </row>
    <row r="286" spans="2:8">
      <c r="B286" s="132"/>
      <c r="C286" s="9">
        <v>14</v>
      </c>
      <c r="D286" s="1" t="s">
        <v>162</v>
      </c>
      <c r="E286" s="4">
        <v>0.75</v>
      </c>
      <c r="G286" s="250" t="s">
        <v>502</v>
      </c>
      <c r="H286" s="4">
        <v>0.4</v>
      </c>
    </row>
    <row r="287" spans="2:8">
      <c r="B287" s="132"/>
      <c r="C287" s="9">
        <v>15</v>
      </c>
      <c r="D287" s="1" t="s">
        <v>161</v>
      </c>
      <c r="E287" s="4">
        <v>0.55000000000000004</v>
      </c>
      <c r="G287" s="251" t="s">
        <v>501</v>
      </c>
      <c r="H287" s="4">
        <v>0.7</v>
      </c>
    </row>
    <row r="288" spans="2:8">
      <c r="B288" s="132"/>
      <c r="C288" s="9">
        <v>16</v>
      </c>
      <c r="D288" s="1" t="s">
        <v>160</v>
      </c>
      <c r="E288" s="4">
        <v>0.05</v>
      </c>
      <c r="G288" s="250" t="s">
        <v>500</v>
      </c>
      <c r="H288" s="4">
        <v>0.85</v>
      </c>
    </row>
    <row r="289" spans="2:8">
      <c r="B289" s="132"/>
      <c r="C289" s="9">
        <v>19</v>
      </c>
      <c r="D289" s="1" t="s">
        <v>158</v>
      </c>
      <c r="E289" s="4">
        <v>0.7</v>
      </c>
      <c r="G289" s="250" t="s">
        <v>499</v>
      </c>
      <c r="H289" s="4">
        <v>0.25</v>
      </c>
    </row>
    <row r="290" spans="2:8">
      <c r="B290" s="132"/>
      <c r="C290" s="9">
        <v>20</v>
      </c>
      <c r="D290" s="1" t="s">
        <v>157</v>
      </c>
      <c r="E290" s="4">
        <v>1</v>
      </c>
      <c r="G290" s="250" t="s">
        <v>498</v>
      </c>
      <c r="H290" s="4">
        <v>0.05</v>
      </c>
    </row>
    <row r="291" spans="2:8">
      <c r="B291" s="132"/>
      <c r="C291" s="9">
        <v>22</v>
      </c>
      <c r="D291" s="1" t="s">
        <v>156</v>
      </c>
      <c r="E291" s="4">
        <v>0.1</v>
      </c>
      <c r="G291" s="250" t="s">
        <v>497</v>
      </c>
      <c r="H291" s="4">
        <v>1</v>
      </c>
    </row>
    <row r="292" spans="2:8">
      <c r="B292" s="132"/>
      <c r="C292" s="9">
        <v>24</v>
      </c>
      <c r="D292" s="1" t="s">
        <v>155</v>
      </c>
      <c r="E292" s="4">
        <v>0.3</v>
      </c>
      <c r="G292" s="250" t="s">
        <v>50</v>
      </c>
      <c r="H292" s="4">
        <v>0.05</v>
      </c>
    </row>
    <row r="293" spans="2:8">
      <c r="B293" s="132"/>
      <c r="C293" s="9">
        <v>28</v>
      </c>
      <c r="D293" s="1" t="s">
        <v>154</v>
      </c>
      <c r="E293" s="4">
        <v>0.25</v>
      </c>
      <c r="G293" s="250" t="s">
        <v>167</v>
      </c>
      <c r="H293" s="4">
        <v>1</v>
      </c>
    </row>
    <row r="294" spans="2:8">
      <c r="B294" s="132"/>
      <c r="C294" s="9" t="s">
        <v>476</v>
      </c>
      <c r="D294" s="250" t="s">
        <v>477</v>
      </c>
      <c r="E294" s="133" t="s">
        <v>476</v>
      </c>
      <c r="G294" s="250" t="s">
        <v>496</v>
      </c>
      <c r="H294" s="4">
        <v>0.9</v>
      </c>
    </row>
    <row r="295" spans="2:8">
      <c r="B295" s="132"/>
      <c r="C295" s="9"/>
      <c r="D295" s="241"/>
      <c r="E295" s="4"/>
      <c r="G295" s="250" t="s">
        <v>495</v>
      </c>
      <c r="H295" s="4">
        <v>1</v>
      </c>
    </row>
    <row r="296" spans="2:8">
      <c r="B296" s="132"/>
      <c r="C296" s="9"/>
      <c r="D296" s="241"/>
      <c r="E296" s="4"/>
      <c r="G296" s="251" t="s">
        <v>494</v>
      </c>
      <c r="H296" s="4">
        <v>0.4</v>
      </c>
    </row>
    <row r="297" spans="2:8">
      <c r="B297" s="132"/>
      <c r="C297" s="9"/>
      <c r="D297" s="241"/>
      <c r="E297" s="4"/>
      <c r="G297" s="250" t="s">
        <v>154</v>
      </c>
      <c r="H297" s="4">
        <v>0.15</v>
      </c>
    </row>
    <row r="298" spans="2:8">
      <c r="B298" s="132"/>
      <c r="C298" s="9"/>
      <c r="D298" s="241"/>
      <c r="E298" s="4"/>
      <c r="G298" s="250" t="s">
        <v>493</v>
      </c>
      <c r="H298" s="4">
        <v>0.05</v>
      </c>
    </row>
    <row r="299" spans="2:8">
      <c r="B299" s="132"/>
      <c r="C299" s="9"/>
      <c r="D299" s="241"/>
      <c r="E299" s="4"/>
      <c r="G299" s="250" t="s">
        <v>492</v>
      </c>
      <c r="H299" s="4">
        <v>1</v>
      </c>
    </row>
    <row r="300" spans="2:8">
      <c r="B300" s="132"/>
      <c r="C300" s="9"/>
      <c r="D300" s="241"/>
      <c r="E300" s="4"/>
      <c r="G300" s="251" t="s">
        <v>491</v>
      </c>
      <c r="H300" s="4">
        <v>1</v>
      </c>
    </row>
    <row r="301" spans="2:8">
      <c r="B301" s="132"/>
      <c r="C301" s="9"/>
      <c r="D301" s="241"/>
      <c r="E301" s="4"/>
      <c r="G301" s="250" t="s">
        <v>490</v>
      </c>
      <c r="H301" s="4">
        <v>1</v>
      </c>
    </row>
    <row r="302" spans="2:8">
      <c r="B302" s="132"/>
      <c r="C302" s="9"/>
      <c r="D302" s="241"/>
      <c r="E302" s="4"/>
      <c r="G302" s="250" t="s">
        <v>489</v>
      </c>
      <c r="H302" s="4">
        <v>0.6</v>
      </c>
    </row>
    <row r="303" spans="2:8">
      <c r="B303" s="132"/>
      <c r="C303" s="9"/>
      <c r="D303" s="241"/>
      <c r="E303" s="4"/>
      <c r="G303" s="250" t="s">
        <v>488</v>
      </c>
      <c r="H303" s="4">
        <v>0.2</v>
      </c>
    </row>
    <row r="304" spans="2:8">
      <c r="B304" s="132"/>
      <c r="C304" s="9"/>
      <c r="D304" s="241"/>
      <c r="E304" s="4"/>
      <c r="G304" s="250" t="s">
        <v>487</v>
      </c>
      <c r="H304" s="4">
        <v>0.8</v>
      </c>
    </row>
    <row r="305" spans="2:8">
      <c r="B305" s="132"/>
      <c r="C305" s="9"/>
      <c r="D305" s="241"/>
      <c r="E305" s="4"/>
      <c r="G305" s="250" t="s">
        <v>486</v>
      </c>
      <c r="H305" s="4">
        <v>0.15</v>
      </c>
    </row>
    <row r="306" spans="2:8">
      <c r="B306" s="132"/>
      <c r="C306" s="9"/>
      <c r="D306" s="241"/>
      <c r="E306" s="4"/>
      <c r="G306" s="250" t="s">
        <v>159</v>
      </c>
      <c r="H306" s="4">
        <v>0.1</v>
      </c>
    </row>
    <row r="307" spans="2:8">
      <c r="B307" s="132"/>
      <c r="C307" s="9"/>
      <c r="D307" s="241"/>
      <c r="E307" s="4"/>
      <c r="G307" s="250" t="s">
        <v>485</v>
      </c>
      <c r="H307" s="4">
        <v>1</v>
      </c>
    </row>
    <row r="308" spans="2:8">
      <c r="B308" s="132"/>
      <c r="C308" s="9"/>
      <c r="D308" s="241"/>
      <c r="E308" s="4"/>
      <c r="G308" s="250" t="s">
        <v>484</v>
      </c>
      <c r="H308" s="4">
        <v>1</v>
      </c>
    </row>
    <row r="309" spans="2:8">
      <c r="B309" s="132"/>
      <c r="C309" s="9"/>
      <c r="D309" s="241"/>
      <c r="E309" s="4"/>
      <c r="G309" s="250" t="s">
        <v>483</v>
      </c>
      <c r="H309" s="4">
        <v>0.3</v>
      </c>
    </row>
    <row r="310" spans="2:8">
      <c r="B310" s="132"/>
      <c r="C310" s="9"/>
      <c r="D310" s="241"/>
      <c r="E310" s="4"/>
      <c r="G310" s="250" t="s">
        <v>482</v>
      </c>
      <c r="H310" s="4">
        <v>1</v>
      </c>
    </row>
    <row r="311" spans="2:8">
      <c r="B311" s="132"/>
      <c r="C311" s="9"/>
      <c r="D311" s="241"/>
      <c r="E311" s="4"/>
      <c r="G311" s="250" t="s">
        <v>481</v>
      </c>
      <c r="H311" s="4">
        <v>1</v>
      </c>
    </row>
    <row r="312" spans="2:8">
      <c r="B312" s="132"/>
      <c r="C312" s="9"/>
      <c r="D312" s="241"/>
      <c r="E312" s="4"/>
      <c r="G312" s="250" t="s">
        <v>480</v>
      </c>
      <c r="H312" s="4">
        <v>1</v>
      </c>
    </row>
    <row r="313" spans="2:8">
      <c r="B313" s="132"/>
      <c r="C313" s="9"/>
      <c r="D313" s="241"/>
      <c r="E313" s="4"/>
      <c r="G313" s="250" t="s">
        <v>479</v>
      </c>
      <c r="H313" s="4">
        <v>0.95</v>
      </c>
    </row>
    <row r="314" spans="2:8">
      <c r="B314" s="132"/>
      <c r="C314" s="9"/>
      <c r="D314" s="241"/>
      <c r="E314" s="4"/>
      <c r="G314" s="250" t="s">
        <v>478</v>
      </c>
      <c r="H314" s="4">
        <v>1</v>
      </c>
    </row>
    <row r="315" spans="2:8">
      <c r="B315" s="132"/>
      <c r="C315" s="9"/>
      <c r="D315" s="241"/>
      <c r="E315" s="4"/>
      <c r="G315" s="250" t="s">
        <v>477</v>
      </c>
      <c r="H315" s="133" t="s">
        <v>476</v>
      </c>
    </row>
  </sheetData>
  <mergeCells count="25">
    <mergeCell ref="R26:AB26"/>
    <mergeCell ref="X2:Z2"/>
    <mergeCell ref="K149:N149"/>
    <mergeCell ref="E149:J149"/>
    <mergeCell ref="G257:H257"/>
    <mergeCell ref="C257:E257"/>
    <mergeCell ref="P109:Y109"/>
    <mergeCell ref="P59:Z59"/>
    <mergeCell ref="P108:Y108"/>
    <mergeCell ref="P96:Q96"/>
    <mergeCell ref="P58:Y58"/>
    <mergeCell ref="P99:Y99"/>
    <mergeCell ref="P98:Y98"/>
    <mergeCell ref="P97:Y97"/>
    <mergeCell ref="D140:D141"/>
    <mergeCell ref="D77:H77"/>
    <mergeCell ref="G7:K7"/>
    <mergeCell ref="I58:N58"/>
    <mergeCell ref="D58:H58"/>
    <mergeCell ref="E276:E277"/>
    <mergeCell ref="C275:E275"/>
    <mergeCell ref="H276:H277"/>
    <mergeCell ref="G275:H275"/>
    <mergeCell ref="E258:E259"/>
    <mergeCell ref="H258:H259"/>
  </mergeCells>
  <hyperlinks>
    <hyperlink ref="E146" r:id="rId1" xr:uid="{00000000-0004-0000-0A00-000000000000}"/>
  </hyperlinks>
  <pageMargins left="0.25" right="0.25" top="0.75" bottom="0.75" header="0.3" footer="0.3"/>
  <pageSetup scale="14"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autoPageBreaks="0"/>
  </sheetPr>
  <dimension ref="B2:AB245"/>
  <sheetViews>
    <sheetView topLeftCell="C1" zoomScale="80" zoomScaleNormal="80" workbookViewId="0">
      <selection activeCell="Y2" sqref="Y2"/>
    </sheetView>
  </sheetViews>
  <sheetFormatPr defaultColWidth="9.1796875" defaultRowHeight="14.5"/>
  <cols>
    <col min="1" max="1" width="2.7265625" style="68" bestFit="1" customWidth="1"/>
    <col min="2" max="2" width="46.81640625" style="68" customWidth="1"/>
    <col min="3" max="3" width="20.453125" style="68" customWidth="1"/>
    <col min="4" max="7" width="12.7265625" style="68" customWidth="1"/>
    <col min="8" max="8" width="13.7265625" style="68" customWidth="1"/>
    <col min="9" max="9" width="12.7265625" style="68" customWidth="1"/>
    <col min="10" max="10" width="14.453125" style="68" customWidth="1"/>
    <col min="11" max="11" width="13.7265625" style="68" customWidth="1"/>
    <col min="12" max="25" width="12.7265625" style="68" customWidth="1"/>
    <col min="26" max="16384" width="9.1796875" style="68"/>
  </cols>
  <sheetData>
    <row r="2" spans="2:27" ht="18.5">
      <c r="B2" s="124" t="s">
        <v>868</v>
      </c>
      <c r="Y2" s="1319" t="s">
        <v>1764</v>
      </c>
      <c r="Z2" s="1073"/>
      <c r="AA2" s="1073"/>
    </row>
    <row r="3" spans="2:27" s="1" customFormat="1" ht="15.5">
      <c r="B3" s="668" t="s">
        <v>867</v>
      </c>
      <c r="E3" s="250"/>
      <c r="F3" s="250"/>
      <c r="G3" s="250"/>
      <c r="H3" s="250"/>
    </row>
    <row r="4" spans="2:27" s="1" customFormat="1" ht="16" thickBot="1">
      <c r="B4" s="192" t="s">
        <v>465</v>
      </c>
      <c r="E4" s="250"/>
      <c r="F4" s="250"/>
      <c r="G4" s="250"/>
      <c r="H4" s="250"/>
    </row>
    <row r="5" spans="2:27" s="1" customFormat="1">
      <c r="B5" s="432"/>
      <c r="C5" s="431"/>
      <c r="D5" s="667"/>
      <c r="E5" s="1335" t="s">
        <v>415</v>
      </c>
      <c r="F5" s="1335"/>
      <c r="G5" s="1335"/>
      <c r="H5" s="1335"/>
      <c r="I5" s="1335"/>
      <c r="J5" s="429"/>
      <c r="K5" s="429"/>
      <c r="L5" s="429"/>
      <c r="M5" s="429"/>
      <c r="N5" s="429"/>
      <c r="O5" s="429"/>
      <c r="P5" s="429"/>
      <c r="Q5" s="429"/>
      <c r="R5" s="429"/>
      <c r="S5" s="429"/>
      <c r="T5" s="429"/>
      <c r="U5" s="429"/>
      <c r="V5" s="429"/>
      <c r="W5" s="429"/>
      <c r="X5" s="429"/>
      <c r="Y5" s="428"/>
    </row>
    <row r="6" spans="2:27" s="6" customFormat="1">
      <c r="B6" s="666"/>
      <c r="C6" s="570" t="s">
        <v>414</v>
      </c>
      <c r="D6" s="425">
        <v>2012</v>
      </c>
      <c r="E6" s="425">
        <f t="shared" ref="E6:Y6" si="0">D6+1</f>
        <v>2013</v>
      </c>
      <c r="F6" s="425">
        <f t="shared" si="0"/>
        <v>2014</v>
      </c>
      <c r="G6" s="425">
        <f t="shared" si="0"/>
        <v>2015</v>
      </c>
      <c r="H6" s="425">
        <f t="shared" si="0"/>
        <v>2016</v>
      </c>
      <c r="I6" s="425">
        <f t="shared" si="0"/>
        <v>2017</v>
      </c>
      <c r="J6" s="425">
        <f t="shared" si="0"/>
        <v>2018</v>
      </c>
      <c r="K6" s="425">
        <f t="shared" si="0"/>
        <v>2019</v>
      </c>
      <c r="L6" s="425">
        <f t="shared" si="0"/>
        <v>2020</v>
      </c>
      <c r="M6" s="425">
        <f t="shared" si="0"/>
        <v>2021</v>
      </c>
      <c r="N6" s="425">
        <f t="shared" si="0"/>
        <v>2022</v>
      </c>
      <c r="O6" s="425">
        <f t="shared" si="0"/>
        <v>2023</v>
      </c>
      <c r="P6" s="425">
        <f t="shared" si="0"/>
        <v>2024</v>
      </c>
      <c r="Q6" s="425">
        <f t="shared" si="0"/>
        <v>2025</v>
      </c>
      <c r="R6" s="425">
        <f t="shared" si="0"/>
        <v>2026</v>
      </c>
      <c r="S6" s="425">
        <f t="shared" si="0"/>
        <v>2027</v>
      </c>
      <c r="T6" s="425">
        <f t="shared" si="0"/>
        <v>2028</v>
      </c>
      <c r="U6" s="425">
        <f t="shared" si="0"/>
        <v>2029</v>
      </c>
      <c r="V6" s="425">
        <f t="shared" si="0"/>
        <v>2030</v>
      </c>
      <c r="W6" s="425">
        <f t="shared" si="0"/>
        <v>2031</v>
      </c>
      <c r="X6" s="425">
        <f t="shared" si="0"/>
        <v>2032</v>
      </c>
      <c r="Y6" s="665">
        <f t="shared" si="0"/>
        <v>2033</v>
      </c>
    </row>
    <row r="7" spans="2:27" s="3" customFormat="1">
      <c r="B7" s="420"/>
      <c r="C7" s="570"/>
      <c r="D7" s="197">
        <v>0</v>
      </c>
      <c r="E7" s="197">
        <f t="shared" ref="E7:Y7" si="1">D7+1</f>
        <v>1</v>
      </c>
      <c r="F7" s="197">
        <f t="shared" si="1"/>
        <v>2</v>
      </c>
      <c r="G7" s="197">
        <f t="shared" si="1"/>
        <v>3</v>
      </c>
      <c r="H7" s="197">
        <f t="shared" si="1"/>
        <v>4</v>
      </c>
      <c r="I7" s="197">
        <f t="shared" si="1"/>
        <v>5</v>
      </c>
      <c r="J7" s="197">
        <f t="shared" si="1"/>
        <v>6</v>
      </c>
      <c r="K7" s="197">
        <f t="shared" si="1"/>
        <v>7</v>
      </c>
      <c r="L7" s="197">
        <f t="shared" si="1"/>
        <v>8</v>
      </c>
      <c r="M7" s="197">
        <f t="shared" si="1"/>
        <v>9</v>
      </c>
      <c r="N7" s="197">
        <f t="shared" si="1"/>
        <v>10</v>
      </c>
      <c r="O7" s="197">
        <f t="shared" si="1"/>
        <v>11</v>
      </c>
      <c r="P7" s="197">
        <f t="shared" si="1"/>
        <v>12</v>
      </c>
      <c r="Q7" s="197">
        <f t="shared" si="1"/>
        <v>13</v>
      </c>
      <c r="R7" s="197">
        <f t="shared" si="1"/>
        <v>14</v>
      </c>
      <c r="S7" s="197">
        <f t="shared" si="1"/>
        <v>15</v>
      </c>
      <c r="T7" s="197">
        <f t="shared" si="1"/>
        <v>16</v>
      </c>
      <c r="U7" s="197">
        <f t="shared" si="1"/>
        <v>17</v>
      </c>
      <c r="V7" s="197">
        <f t="shared" si="1"/>
        <v>18</v>
      </c>
      <c r="W7" s="197">
        <f t="shared" si="1"/>
        <v>19</v>
      </c>
      <c r="X7" s="197">
        <f t="shared" si="1"/>
        <v>20</v>
      </c>
      <c r="Y7" s="422">
        <f t="shared" si="1"/>
        <v>21</v>
      </c>
      <c r="AA7" s="250" t="s">
        <v>866</v>
      </c>
    </row>
    <row r="8" spans="2:27" s="482" customFormat="1">
      <c r="B8" s="664"/>
      <c r="C8" s="570"/>
      <c r="D8" s="570"/>
      <c r="E8" s="663"/>
      <c r="F8" s="484"/>
      <c r="G8" s="484"/>
      <c r="H8" s="484"/>
      <c r="I8" s="484"/>
      <c r="J8" s="484"/>
      <c r="K8" s="484"/>
      <c r="L8" s="484"/>
      <c r="M8" s="491"/>
      <c r="N8" s="484"/>
      <c r="O8" s="484"/>
      <c r="P8" s="484"/>
      <c r="Q8" s="484"/>
      <c r="R8" s="484"/>
      <c r="S8" s="484"/>
      <c r="T8" s="484"/>
      <c r="U8" s="484"/>
      <c r="V8" s="484"/>
      <c r="W8" s="484"/>
      <c r="X8" s="484"/>
      <c r="Y8" s="662"/>
      <c r="Z8" s="484"/>
      <c r="AA8" s="484"/>
    </row>
    <row r="9" spans="2:27" s="482" customFormat="1">
      <c r="B9" s="651" t="s">
        <v>865</v>
      </c>
      <c r="C9" s="68" t="s">
        <v>684</v>
      </c>
      <c r="D9" s="661">
        <f t="shared" ref="D9:Y9" si="2">D10+D13</f>
        <v>0</v>
      </c>
      <c r="E9" s="661">
        <f t="shared" si="2"/>
        <v>0</v>
      </c>
      <c r="F9" s="660">
        <f t="shared" si="2"/>
        <v>0</v>
      </c>
      <c r="G9" s="660">
        <f t="shared" si="2"/>
        <v>0.51560434798971799</v>
      </c>
      <c r="H9" s="660">
        <f t="shared" si="2"/>
        <v>2.648407913049339</v>
      </c>
      <c r="I9" s="660">
        <f>I10+I13</f>
        <v>6.5297179137447259</v>
      </c>
      <c r="J9" s="660">
        <f t="shared" si="2"/>
        <v>10.620991869158363</v>
      </c>
      <c r="K9" s="660">
        <f t="shared" si="2"/>
        <v>11.48523200635989</v>
      </c>
      <c r="L9" s="660">
        <f t="shared" si="2"/>
        <v>11.798806370600142</v>
      </c>
      <c r="M9" s="660">
        <f t="shared" si="2"/>
        <v>12.120942066631878</v>
      </c>
      <c r="N9" s="660">
        <f t="shared" si="2"/>
        <v>12.451872839334795</v>
      </c>
      <c r="O9" s="660">
        <f t="shared" si="2"/>
        <v>12.791838815384097</v>
      </c>
      <c r="P9" s="660">
        <f t="shared" si="2"/>
        <v>13.141086677488808</v>
      </c>
      <c r="Q9" s="660">
        <f t="shared" si="2"/>
        <v>13.49986984338722</v>
      </c>
      <c r="R9" s="660">
        <f t="shared" si="2"/>
        <v>13.868448649729322</v>
      </c>
      <c r="S9" s="660">
        <f t="shared" si="2"/>
        <v>14.247090540979693</v>
      </c>
      <c r="T9" s="660">
        <f t="shared" si="2"/>
        <v>14.636070263477862</v>
      </c>
      <c r="U9" s="660">
        <f t="shared" si="2"/>
        <v>15.035670064797005</v>
      </c>
      <c r="V9" s="660">
        <f t="shared" si="2"/>
        <v>15.446179898545601</v>
      </c>
      <c r="W9" s="660">
        <f t="shared" si="2"/>
        <v>15.867897634760666</v>
      </c>
      <c r="X9" s="660">
        <f t="shared" si="2"/>
        <v>16.301129276045245</v>
      </c>
      <c r="Y9" s="1121">
        <f t="shared" si="2"/>
        <v>16.746189179606915</v>
      </c>
      <c r="Z9" s="483"/>
      <c r="AA9" s="660">
        <f>NPV(0.1,F9:Y9)</f>
        <v>76.392194602319762</v>
      </c>
    </row>
    <row r="10" spans="2:27" s="482" customFormat="1">
      <c r="B10" s="575" t="s">
        <v>794</v>
      </c>
      <c r="C10" s="68" t="s">
        <v>684</v>
      </c>
      <c r="D10" s="660">
        <f t="shared" ref="D10:Y10" si="3">SUM(D11:D12)</f>
        <v>0</v>
      </c>
      <c r="E10" s="660">
        <f t="shared" si="3"/>
        <v>0</v>
      </c>
      <c r="F10" s="660">
        <f t="shared" si="3"/>
        <v>0</v>
      </c>
      <c r="G10" s="660">
        <f t="shared" si="3"/>
        <v>6.8642136905956025E-2</v>
      </c>
      <c r="H10" s="660">
        <f t="shared" si="3"/>
        <v>0.3525811589043763</v>
      </c>
      <c r="I10" s="660">
        <f t="shared" si="3"/>
        <v>0.86929792725773813</v>
      </c>
      <c r="J10" s="660">
        <f t="shared" si="3"/>
        <v>1.4139670869772276</v>
      </c>
      <c r="K10" s="660">
        <f t="shared" si="3"/>
        <v>1.5290229239745381</v>
      </c>
      <c r="L10" s="660">
        <f t="shared" si="3"/>
        <v>1.5707689149156518</v>
      </c>
      <c r="M10" s="660">
        <f t="shared" si="3"/>
        <v>1.6136546714759255</v>
      </c>
      <c r="N10" s="660">
        <f t="shared" si="3"/>
        <v>1.6577113119888178</v>
      </c>
      <c r="O10" s="660">
        <f t="shared" si="3"/>
        <v>1.7029708043928826</v>
      </c>
      <c r="P10" s="660">
        <f t="shared" si="3"/>
        <v>1.7494659894280216</v>
      </c>
      <c r="Q10" s="660">
        <f t="shared" si="3"/>
        <v>1.7972306044650583</v>
      </c>
      <c r="R10" s="660">
        <f t="shared" si="3"/>
        <v>1.8462993079859071</v>
      </c>
      <c r="S10" s="660">
        <f t="shared" si="3"/>
        <v>1.896707704732121</v>
      </c>
      <c r="T10" s="660">
        <f t="shared" si="3"/>
        <v>1.948492371540036</v>
      </c>
      <c r="U10" s="660">
        <f t="shared" si="3"/>
        <v>2.0016908838813006</v>
      </c>
      <c r="V10" s="660">
        <f t="shared" si="3"/>
        <v>2.0563418431280107</v>
      </c>
      <c r="W10" s="660">
        <f t="shared" si="3"/>
        <v>2.1124849045622449</v>
      </c>
      <c r="X10" s="660">
        <f t="shared" si="3"/>
        <v>2.1701608061503377</v>
      </c>
      <c r="Y10" s="1121">
        <f t="shared" si="3"/>
        <v>2.2294113981027559</v>
      </c>
      <c r="Z10" s="484"/>
      <c r="AA10" s="483"/>
    </row>
    <row r="11" spans="2:27" s="482" customFormat="1">
      <c r="B11" s="653" t="s">
        <v>793</v>
      </c>
      <c r="C11" s="68" t="s">
        <v>684</v>
      </c>
      <c r="D11" s="660">
        <f>-(D57-D36)*D$19</f>
        <v>0</v>
      </c>
      <c r="E11" s="660">
        <f t="shared" ref="E11:Y11" si="4">-(E57-E36)*E$19</f>
        <v>0</v>
      </c>
      <c r="F11" s="660">
        <f t="shared" si="4"/>
        <v>0</v>
      </c>
      <c r="G11" s="660">
        <f t="shared" si="4"/>
        <v>2.8006794544482228E-2</v>
      </c>
      <c r="H11" s="660">
        <f t="shared" si="4"/>
        <v>0.14385723584362209</v>
      </c>
      <c r="I11" s="660">
        <f t="shared" si="4"/>
        <v>0.35468371971006113</v>
      </c>
      <c r="J11" s="660">
        <f>-(J57-J36)*J$19</f>
        <v>0.57691510612332242</v>
      </c>
      <c r="K11" s="660">
        <f t="shared" si="4"/>
        <v>0.62385923305721924</v>
      </c>
      <c r="L11" s="660">
        <f t="shared" si="4"/>
        <v>0.64089208553011723</v>
      </c>
      <c r="M11" s="660">
        <f t="shared" si="4"/>
        <v>0.65838997570381341</v>
      </c>
      <c r="N11" s="660">
        <f t="shared" si="4"/>
        <v>0.67636560022225112</v>
      </c>
      <c r="O11" s="660">
        <f t="shared" si="4"/>
        <v>0.69483200237818732</v>
      </c>
      <c r="P11" s="660">
        <f t="shared" si="4"/>
        <v>0.71380258157753396</v>
      </c>
      <c r="Q11" s="660">
        <f t="shared" si="4"/>
        <v>0.73329110306210499</v>
      </c>
      <c r="R11" s="660">
        <f t="shared" si="4"/>
        <v>0.75331170789780977</v>
      </c>
      <c r="S11" s="660">
        <f t="shared" si="4"/>
        <v>0.77387892323555807</v>
      </c>
      <c r="T11" s="660">
        <f t="shared" si="4"/>
        <v>0.79500767285229479</v>
      </c>
      <c r="U11" s="660">
        <f t="shared" si="4"/>
        <v>0.81671328797985332</v>
      </c>
      <c r="V11" s="660">
        <f t="shared" si="4"/>
        <v>0.83901151842944621</v>
      </c>
      <c r="W11" s="660">
        <f t="shared" si="4"/>
        <v>0.86191854401988088</v>
      </c>
      <c r="X11" s="660">
        <f t="shared" si="4"/>
        <v>0.88545098631780306</v>
      </c>
      <c r="Y11" s="1121">
        <f t="shared" si="4"/>
        <v>0.90962592069847048</v>
      </c>
      <c r="Z11" s="484"/>
      <c r="AA11" s="483"/>
    </row>
    <row r="12" spans="2:27" s="482" customFormat="1">
      <c r="B12" s="648" t="s">
        <v>792</v>
      </c>
      <c r="C12" s="68" t="s">
        <v>684</v>
      </c>
      <c r="D12" s="660">
        <f t="shared" ref="D12:Y12" si="5">-(D58-D37)*D$19</f>
        <v>0</v>
      </c>
      <c r="E12" s="660">
        <f t="shared" si="5"/>
        <v>0</v>
      </c>
      <c r="F12" s="660">
        <f t="shared" si="5"/>
        <v>0</v>
      </c>
      <c r="G12" s="660">
        <f t="shared" si="5"/>
        <v>4.06353423614738E-2</v>
      </c>
      <c r="H12" s="660">
        <f t="shared" si="5"/>
        <v>0.20872392306075421</v>
      </c>
      <c r="I12" s="660">
        <f t="shared" si="5"/>
        <v>0.51461420754767706</v>
      </c>
      <c r="J12" s="660">
        <f t="shared" si="5"/>
        <v>0.8370519808539052</v>
      </c>
      <c r="K12" s="660">
        <f t="shared" si="5"/>
        <v>0.90516369091731896</v>
      </c>
      <c r="L12" s="660">
        <f t="shared" si="5"/>
        <v>0.92987682938553473</v>
      </c>
      <c r="M12" s="660">
        <f t="shared" si="5"/>
        <v>0.95526469577211215</v>
      </c>
      <c r="N12" s="660">
        <f t="shared" si="5"/>
        <v>0.98134571176656682</v>
      </c>
      <c r="O12" s="660">
        <f t="shared" si="5"/>
        <v>1.0081388020146953</v>
      </c>
      <c r="P12" s="660">
        <f t="shared" si="5"/>
        <v>1.0356634078504876</v>
      </c>
      <c r="Q12" s="660">
        <f t="shared" si="5"/>
        <v>1.0639395014029533</v>
      </c>
      <c r="R12" s="660">
        <f t="shared" si="5"/>
        <v>1.0929876000880974</v>
      </c>
      <c r="S12" s="660">
        <f t="shared" si="5"/>
        <v>1.122828781496563</v>
      </c>
      <c r="T12" s="660">
        <f t="shared" si="5"/>
        <v>1.1534846986877412</v>
      </c>
      <c r="U12" s="660">
        <f t="shared" si="5"/>
        <v>1.1849775959014475</v>
      </c>
      <c r="V12" s="660">
        <f t="shared" si="5"/>
        <v>1.2173303246985647</v>
      </c>
      <c r="W12" s="660">
        <f t="shared" si="5"/>
        <v>1.250566360542364</v>
      </c>
      <c r="X12" s="660">
        <f t="shared" si="5"/>
        <v>1.2847098198325346</v>
      </c>
      <c r="Y12" s="1121">
        <f t="shared" si="5"/>
        <v>1.3197854774042854</v>
      </c>
      <c r="Z12" s="483"/>
      <c r="AA12" s="483"/>
    </row>
    <row r="13" spans="2:27" s="482" customFormat="1">
      <c r="B13" s="575" t="s">
        <v>791</v>
      </c>
      <c r="C13" s="68" t="s">
        <v>684</v>
      </c>
      <c r="D13" s="660">
        <f>SUM(D14:D16)*ERR!$C$170</f>
        <v>0</v>
      </c>
      <c r="E13" s="660">
        <f>SUM(E14:E16)*ERR!$C$170</f>
        <v>0</v>
      </c>
      <c r="F13" s="660">
        <f>SUM(F14:F16)*ERR!$C$170</f>
        <v>0</v>
      </c>
      <c r="G13" s="660">
        <f>SUM(G14:G16)*ERR!$C$170</f>
        <v>0.44696221108376194</v>
      </c>
      <c r="H13" s="660">
        <f>SUM(H14:H16)*ERR!$C$170</f>
        <v>2.2958267541449628</v>
      </c>
      <c r="I13" s="660">
        <f>SUM(I14:I16)*ERR!$C$170</f>
        <v>5.6604199864869882</v>
      </c>
      <c r="J13" s="660">
        <f>SUM(J14:J16)*ERR!$C$170</f>
        <v>9.2070247821811346</v>
      </c>
      <c r="K13" s="660">
        <f>SUM(K14:K16)*ERR!$C$170</f>
        <v>9.9562090823853531</v>
      </c>
      <c r="L13" s="660">
        <f>SUM(L14:L16)*ERR!$C$170</f>
        <v>10.22803745568449</v>
      </c>
      <c r="M13" s="660">
        <f>SUM(M14:M16)*ERR!$C$170</f>
        <v>10.507287395155952</v>
      </c>
      <c r="N13" s="660">
        <f>SUM(N14:N16)*ERR!$C$170</f>
        <v>10.794161527345977</v>
      </c>
      <c r="O13" s="660">
        <f>SUM(O14:O16)*ERR!$C$170</f>
        <v>11.088868010991215</v>
      </c>
      <c r="P13" s="660">
        <f>SUM(P14:P16)*ERR!$C$170</f>
        <v>11.391620688060787</v>
      </c>
      <c r="Q13" s="660">
        <f>SUM(Q14:Q16)*ERR!$C$170</f>
        <v>11.702639238922162</v>
      </c>
      <c r="R13" s="660">
        <f>SUM(R14:R16)*ERR!$C$170</f>
        <v>12.022149341743415</v>
      </c>
      <c r="S13" s="660">
        <f>SUM(S14:S16)*ERR!$C$170</f>
        <v>12.350382836247572</v>
      </c>
      <c r="T13" s="660">
        <f>SUM(T14:T16)*ERR!$C$170</f>
        <v>12.687577891937826</v>
      </c>
      <c r="U13" s="660">
        <f>SUM(U14:U16)*ERR!$C$170</f>
        <v>13.033979180915704</v>
      </c>
      <c r="V13" s="660">
        <f>SUM(V14:V16)*ERR!$C$170</f>
        <v>13.38983805541759</v>
      </c>
      <c r="W13" s="660">
        <f>SUM(W14:W16)*ERR!$C$170</f>
        <v>13.755412730198422</v>
      </c>
      <c r="X13" s="660">
        <f>SUM(X14:X16)*ERR!$C$170</f>
        <v>14.130968469894906</v>
      </c>
      <c r="Y13" s="660">
        <f>SUM(Y14:Y16)*ERR!$C$170</f>
        <v>14.516777781504159</v>
      </c>
      <c r="Z13" s="483"/>
      <c r="AA13" s="483"/>
    </row>
    <row r="14" spans="2:27" s="482" customFormat="1">
      <c r="B14" s="653" t="s">
        <v>790</v>
      </c>
      <c r="C14" s="68" t="s">
        <v>684</v>
      </c>
      <c r="D14" s="660">
        <f t="shared" ref="D14:Y14" si="6">-(D60-D39)*D$19</f>
        <v>0</v>
      </c>
      <c r="E14" s="660">
        <f t="shared" si="6"/>
        <v>0</v>
      </c>
      <c r="F14" s="660">
        <f t="shared" si="6"/>
        <v>0</v>
      </c>
      <c r="G14" s="660">
        <f t="shared" si="6"/>
        <v>0.15573736829690266</v>
      </c>
      <c r="H14" s="660">
        <f t="shared" si="6"/>
        <v>0.79994685879418004</v>
      </c>
      <c r="I14" s="660">
        <f t="shared" si="6"/>
        <v>1.9722895812896133</v>
      </c>
      <c r="J14" s="660">
        <f t="shared" si="6"/>
        <v>3.2080515396245439</v>
      </c>
      <c r="K14" s="660">
        <f t="shared" si="6"/>
        <v>3.4690937225872922</v>
      </c>
      <c r="L14" s="660">
        <f t="shared" si="6"/>
        <v>3.5638082967419784</v>
      </c>
      <c r="M14" s="660">
        <f t="shared" si="6"/>
        <v>3.6611088058049361</v>
      </c>
      <c r="N14" s="660">
        <f t="shared" si="6"/>
        <v>3.7610658519977278</v>
      </c>
      <c r="O14" s="660">
        <f t="shared" si="6"/>
        <v>3.8637519651518044</v>
      </c>
      <c r="P14" s="660">
        <f t="shared" si="6"/>
        <v>3.9692416553368677</v>
      </c>
      <c r="Q14" s="660">
        <f t="shared" si="6"/>
        <v>4.077611466926129</v>
      </c>
      <c r="R14" s="660">
        <f t="shared" si="6"/>
        <v>4.1889400341376639</v>
      </c>
      <c r="S14" s="660">
        <f t="shared" si="6"/>
        <v>4.3033081380921931</v>
      </c>
      <c r="T14" s="660">
        <f t="shared" si="6"/>
        <v>4.4207987654286658</v>
      </c>
      <c r="U14" s="660">
        <f t="shared" si="6"/>
        <v>4.5414971685201948</v>
      </c>
      <c r="V14" s="660">
        <f t="shared" si="6"/>
        <v>4.6654909273340373</v>
      </c>
      <c r="W14" s="660">
        <f t="shared" si="6"/>
        <v>4.7928700129804831</v>
      </c>
      <c r="X14" s="660">
        <f t="shared" si="6"/>
        <v>4.9237268529967988</v>
      </c>
      <c r="Y14" s="1121">
        <f t="shared" si="6"/>
        <v>5.0581563984135673</v>
      </c>
      <c r="Z14" s="483"/>
      <c r="AA14" s="483"/>
    </row>
    <row r="15" spans="2:27" s="482" customFormat="1">
      <c r="B15" s="653" t="s">
        <v>789</v>
      </c>
      <c r="C15" s="68" t="s">
        <v>684</v>
      </c>
      <c r="D15" s="660">
        <f t="shared" ref="D15:Y15" si="7">-(D61-D40)*D$19</f>
        <v>0</v>
      </c>
      <c r="E15" s="660">
        <f t="shared" si="7"/>
        <v>0</v>
      </c>
      <c r="F15" s="660">
        <f t="shared" si="7"/>
        <v>0</v>
      </c>
      <c r="G15" s="660">
        <f t="shared" si="7"/>
        <v>1.2410195413398533</v>
      </c>
      <c r="H15" s="660">
        <f>-(H61-H40)*H$19</f>
        <v>6.3745117479088282</v>
      </c>
      <c r="I15" s="660">
        <f t="shared" si="7"/>
        <v>15.716522876482225</v>
      </c>
      <c r="J15" s="660">
        <f t="shared" si="7"/>
        <v>25.563900904691501</v>
      </c>
      <c r="K15" s="660">
        <f t="shared" si="7"/>
        <v>27.644059659866937</v>
      </c>
      <c r="L15" s="660">
        <f t="shared" si="7"/>
        <v>28.39880875227205</v>
      </c>
      <c r="M15" s="660">
        <f t="shared" si="7"/>
        <v>29.174164304057413</v>
      </c>
      <c r="N15" s="660">
        <f t="shared" si="7"/>
        <v>29.970688920958452</v>
      </c>
      <c r="O15" s="660">
        <f t="shared" si="7"/>
        <v>30.788960569195741</v>
      </c>
      <c r="P15" s="660">
        <f t="shared" si="7"/>
        <v>31.629572994853088</v>
      </c>
      <c r="Q15" s="660">
        <f t="shared" si="7"/>
        <v>32.493136154705624</v>
      </c>
      <c r="R15" s="660">
        <f t="shared" si="7"/>
        <v>33.380276658810502</v>
      </c>
      <c r="S15" s="660">
        <f t="shared" si="7"/>
        <v>34.291638225181472</v>
      </c>
      <c r="T15" s="660">
        <f t="shared" si="7"/>
        <v>35.227882146877043</v>
      </c>
      <c r="U15" s="660">
        <f t="shared" si="7"/>
        <v>36.189687771841378</v>
      </c>
      <c r="V15" s="660">
        <f t="shared" si="7"/>
        <v>37.177752995845928</v>
      </c>
      <c r="W15" s="660">
        <f t="shared" si="7"/>
        <v>38.192794768889591</v>
      </c>
      <c r="X15" s="660">
        <f t="shared" si="7"/>
        <v>39.23554961542478</v>
      </c>
      <c r="Y15" s="1121">
        <f t="shared" si="7"/>
        <v>40.30677416878693</v>
      </c>
      <c r="Z15" s="483"/>
      <c r="AA15" s="483"/>
    </row>
    <row r="16" spans="2:27" s="482" customFormat="1">
      <c r="B16" s="648" t="s">
        <v>566</v>
      </c>
      <c r="C16" s="68" t="s">
        <v>684</v>
      </c>
      <c r="D16" s="660">
        <f t="shared" ref="D16:Y16" si="8">-(D62-D41)*D$19</f>
        <v>0</v>
      </c>
      <c r="E16" s="660">
        <f t="shared" si="8"/>
        <v>0</v>
      </c>
      <c r="F16" s="660">
        <f t="shared" si="8"/>
        <v>0</v>
      </c>
      <c r="G16" s="660">
        <f t="shared" si="8"/>
        <v>0</v>
      </c>
      <c r="H16" s="660">
        <f t="shared" si="8"/>
        <v>0</v>
      </c>
      <c r="I16" s="660">
        <f t="shared" si="8"/>
        <v>0</v>
      </c>
      <c r="J16" s="660">
        <f t="shared" si="8"/>
        <v>0</v>
      </c>
      <c r="K16" s="660">
        <f t="shared" si="8"/>
        <v>0</v>
      </c>
      <c r="L16" s="660">
        <f t="shared" si="8"/>
        <v>0</v>
      </c>
      <c r="M16" s="660">
        <f t="shared" si="8"/>
        <v>0</v>
      </c>
      <c r="N16" s="660">
        <f t="shared" si="8"/>
        <v>0</v>
      </c>
      <c r="O16" s="660">
        <f t="shared" si="8"/>
        <v>0</v>
      </c>
      <c r="P16" s="660">
        <f t="shared" si="8"/>
        <v>0</v>
      </c>
      <c r="Q16" s="660">
        <f t="shared" si="8"/>
        <v>0</v>
      </c>
      <c r="R16" s="660">
        <f t="shared" si="8"/>
        <v>0</v>
      </c>
      <c r="S16" s="660">
        <f t="shared" si="8"/>
        <v>0</v>
      </c>
      <c r="T16" s="660">
        <f t="shared" si="8"/>
        <v>0</v>
      </c>
      <c r="U16" s="660">
        <f t="shared" si="8"/>
        <v>0</v>
      </c>
      <c r="V16" s="660">
        <f t="shared" si="8"/>
        <v>0</v>
      </c>
      <c r="W16" s="660">
        <f t="shared" si="8"/>
        <v>0</v>
      </c>
      <c r="X16" s="660">
        <f t="shared" si="8"/>
        <v>0</v>
      </c>
      <c r="Y16" s="1121">
        <f t="shared" si="8"/>
        <v>0</v>
      </c>
      <c r="Z16" s="483"/>
      <c r="AA16" s="483"/>
    </row>
    <row r="17" spans="2:28" s="482" customFormat="1">
      <c r="B17" s="575"/>
      <c r="C17" s="68"/>
      <c r="D17" s="659">
        <f>NPV(0.1,D15:X15)</f>
        <v>147.00720861945237</v>
      </c>
      <c r="E17" s="659"/>
      <c r="F17" s="659"/>
      <c r="G17" s="659"/>
      <c r="H17" s="659"/>
      <c r="I17" s="659"/>
      <c r="J17" s="659"/>
      <c r="K17" s="659"/>
      <c r="L17" s="659"/>
      <c r="M17" s="659"/>
      <c r="N17" s="659"/>
      <c r="O17" s="659"/>
      <c r="P17" s="659"/>
      <c r="Q17" s="659"/>
      <c r="R17" s="659"/>
      <c r="S17" s="659"/>
      <c r="T17" s="659"/>
      <c r="U17" s="659"/>
      <c r="V17" s="659"/>
      <c r="W17" s="659"/>
      <c r="X17" s="659"/>
      <c r="Y17" s="1122"/>
      <c r="Z17" s="483"/>
      <c r="AA17" s="483"/>
    </row>
    <row r="18" spans="2:28" s="482" customFormat="1">
      <c r="B18" s="414" t="s">
        <v>411</v>
      </c>
      <c r="C18" s="200" t="s">
        <v>224</v>
      </c>
      <c r="D18" s="207">
        <v>0</v>
      </c>
      <c r="E18" s="207">
        <f>D18</f>
        <v>0</v>
      </c>
      <c r="F18" s="207">
        <f>E18</f>
        <v>0</v>
      </c>
      <c r="G18" s="207">
        <f>Assumptions!E42</f>
        <v>0.05</v>
      </c>
      <c r="H18" s="207">
        <f>Assumptions!F42</f>
        <v>0.2</v>
      </c>
      <c r="I18" s="207">
        <f>Assumptions!G42</f>
        <v>0.35</v>
      </c>
      <c r="J18" s="207">
        <f>Assumptions!H42</f>
        <v>0.35</v>
      </c>
      <c r="K18" s="207">
        <f>Assumptions!I42</f>
        <v>0.05</v>
      </c>
      <c r="L18" s="207">
        <v>0</v>
      </c>
      <c r="M18" s="207">
        <v>0</v>
      </c>
      <c r="N18" s="207">
        <v>0</v>
      </c>
      <c r="O18" s="207">
        <v>0</v>
      </c>
      <c r="P18" s="207">
        <v>0</v>
      </c>
      <c r="Q18" s="207">
        <v>0</v>
      </c>
      <c r="R18" s="207">
        <v>0</v>
      </c>
      <c r="S18" s="207">
        <v>0</v>
      </c>
      <c r="T18" s="207">
        <v>0</v>
      </c>
      <c r="U18" s="207">
        <v>0</v>
      </c>
      <c r="V18" s="207">
        <v>0</v>
      </c>
      <c r="W18" s="207">
        <v>0</v>
      </c>
      <c r="X18" s="207">
        <v>0</v>
      </c>
      <c r="Y18" s="1123">
        <v>0</v>
      </c>
      <c r="Z18" s="483"/>
      <c r="AA18" s="483"/>
    </row>
    <row r="19" spans="2:28" ht="15" thickBot="1">
      <c r="B19" s="176" t="s">
        <v>382</v>
      </c>
      <c r="C19" s="658" t="s">
        <v>224</v>
      </c>
      <c r="D19" s="657">
        <f>D18</f>
        <v>0</v>
      </c>
      <c r="E19" s="656">
        <f t="shared" ref="E19:Y19" si="9">D19+E18</f>
        <v>0</v>
      </c>
      <c r="F19" s="656">
        <f t="shared" si="9"/>
        <v>0</v>
      </c>
      <c r="G19" s="656">
        <f t="shared" si="9"/>
        <v>0.05</v>
      </c>
      <c r="H19" s="656">
        <f t="shared" si="9"/>
        <v>0.25</v>
      </c>
      <c r="I19" s="656">
        <f t="shared" si="9"/>
        <v>0.6</v>
      </c>
      <c r="J19" s="656">
        <f t="shared" si="9"/>
        <v>0.95</v>
      </c>
      <c r="K19" s="656">
        <f t="shared" si="9"/>
        <v>1</v>
      </c>
      <c r="L19" s="656">
        <f t="shared" si="9"/>
        <v>1</v>
      </c>
      <c r="M19" s="656">
        <f t="shared" si="9"/>
        <v>1</v>
      </c>
      <c r="N19" s="656">
        <f t="shared" si="9"/>
        <v>1</v>
      </c>
      <c r="O19" s="656">
        <f t="shared" si="9"/>
        <v>1</v>
      </c>
      <c r="P19" s="656">
        <f t="shared" si="9"/>
        <v>1</v>
      </c>
      <c r="Q19" s="656">
        <f t="shared" si="9"/>
        <v>1</v>
      </c>
      <c r="R19" s="656">
        <f t="shared" si="9"/>
        <v>1</v>
      </c>
      <c r="S19" s="656">
        <f t="shared" si="9"/>
        <v>1</v>
      </c>
      <c r="T19" s="656">
        <f t="shared" si="9"/>
        <v>1</v>
      </c>
      <c r="U19" s="656">
        <f t="shared" si="9"/>
        <v>1</v>
      </c>
      <c r="V19" s="656">
        <f t="shared" si="9"/>
        <v>1</v>
      </c>
      <c r="W19" s="656">
        <f t="shared" si="9"/>
        <v>1</v>
      </c>
      <c r="X19" s="656">
        <f t="shared" si="9"/>
        <v>1</v>
      </c>
      <c r="Y19" s="1124">
        <f t="shared" si="9"/>
        <v>1</v>
      </c>
      <c r="AB19" s="68" t="s">
        <v>78</v>
      </c>
    </row>
    <row r="20" spans="2:28">
      <c r="B20" s="330"/>
      <c r="C20" s="201"/>
    </row>
    <row r="21" spans="2:28" ht="16" thickBot="1">
      <c r="B21" s="655" t="s">
        <v>681</v>
      </c>
      <c r="C21" s="201"/>
    </row>
    <row r="22" spans="2:28">
      <c r="B22" s="117" t="s">
        <v>385</v>
      </c>
      <c r="C22" s="500"/>
      <c r="D22" s="500"/>
      <c r="E22" s="500"/>
      <c r="F22" s="500"/>
      <c r="G22" s="500"/>
      <c r="H22" s="500"/>
      <c r="I22" s="500"/>
      <c r="J22" s="500"/>
      <c r="K22" s="500"/>
      <c r="L22" s="500"/>
      <c r="M22" s="500"/>
      <c r="N22" s="500"/>
      <c r="O22" s="500"/>
      <c r="P22" s="500"/>
      <c r="Q22" s="500"/>
      <c r="R22" s="500"/>
      <c r="S22" s="500"/>
      <c r="T22" s="500"/>
      <c r="U22" s="500"/>
      <c r="V22" s="500"/>
      <c r="W22" s="500"/>
      <c r="X22" s="500"/>
      <c r="Y22" s="654"/>
    </row>
    <row r="23" spans="2:28">
      <c r="B23" s="651" t="s">
        <v>862</v>
      </c>
      <c r="D23" s="650">
        <f t="shared" ref="D23:Y23" si="10">D24+D27</f>
        <v>39.350732884402021</v>
      </c>
      <c r="E23" s="650">
        <f t="shared" si="10"/>
        <v>39.350732884402021</v>
      </c>
      <c r="F23" s="650">
        <f t="shared" si="10"/>
        <v>39.350732884402021</v>
      </c>
      <c r="G23" s="650">
        <f t="shared" si="10"/>
        <v>39.350732884402021</v>
      </c>
      <c r="H23" s="650">
        <f t="shared" si="10"/>
        <v>39.350732884402021</v>
      </c>
      <c r="I23" s="650">
        <f t="shared" si="10"/>
        <v>39.350732884402021</v>
      </c>
      <c r="J23" s="650">
        <f t="shared" si="10"/>
        <v>39.350732884402021</v>
      </c>
      <c r="K23" s="650">
        <f t="shared" si="10"/>
        <v>39.350732884402021</v>
      </c>
      <c r="L23" s="650">
        <f t="shared" si="10"/>
        <v>39.350732884402021</v>
      </c>
      <c r="M23" s="650">
        <f t="shared" si="10"/>
        <v>39.350732884402021</v>
      </c>
      <c r="N23" s="650">
        <f t="shared" si="10"/>
        <v>39.350732884402021</v>
      </c>
      <c r="O23" s="650">
        <f t="shared" si="10"/>
        <v>39.350732884402021</v>
      </c>
      <c r="P23" s="650">
        <f t="shared" si="10"/>
        <v>39.350732884402021</v>
      </c>
      <c r="Q23" s="650">
        <f t="shared" si="10"/>
        <v>39.350732884402021</v>
      </c>
      <c r="R23" s="650">
        <f t="shared" si="10"/>
        <v>39.350732884402021</v>
      </c>
      <c r="S23" s="650">
        <f t="shared" si="10"/>
        <v>39.350732884402021</v>
      </c>
      <c r="T23" s="650">
        <f t="shared" si="10"/>
        <v>39.350732884402021</v>
      </c>
      <c r="U23" s="650">
        <f t="shared" si="10"/>
        <v>39.350732884402021</v>
      </c>
      <c r="V23" s="650">
        <f t="shared" si="10"/>
        <v>39.350732884402021</v>
      </c>
      <c r="W23" s="650">
        <f t="shared" si="10"/>
        <v>39.350732884402021</v>
      </c>
      <c r="X23" s="650">
        <f t="shared" si="10"/>
        <v>39.350732884402021</v>
      </c>
      <c r="Y23" s="1125">
        <f t="shared" si="10"/>
        <v>39.350732884402021</v>
      </c>
    </row>
    <row r="24" spans="2:28">
      <c r="B24" s="575" t="s">
        <v>794</v>
      </c>
      <c r="C24" s="202" t="s">
        <v>861</v>
      </c>
      <c r="D24" s="649">
        <f t="shared" ref="D24:Y24" si="11">SUM(D25:D26)</f>
        <v>6.1690668257353654</v>
      </c>
      <c r="E24" s="649">
        <f t="shared" si="11"/>
        <v>6.1690668257353654</v>
      </c>
      <c r="F24" s="649">
        <f t="shared" si="11"/>
        <v>6.1690668257353654</v>
      </c>
      <c r="G24" s="649">
        <f t="shared" si="11"/>
        <v>6.1690668257353654</v>
      </c>
      <c r="H24" s="649">
        <f t="shared" si="11"/>
        <v>6.1690668257353654</v>
      </c>
      <c r="I24" s="649">
        <f t="shared" si="11"/>
        <v>6.1690668257353654</v>
      </c>
      <c r="J24" s="649">
        <f t="shared" si="11"/>
        <v>6.1690668257353654</v>
      </c>
      <c r="K24" s="649">
        <f t="shared" si="11"/>
        <v>6.1690668257353654</v>
      </c>
      <c r="L24" s="649">
        <f t="shared" si="11"/>
        <v>6.1690668257353654</v>
      </c>
      <c r="M24" s="649">
        <f t="shared" si="11"/>
        <v>6.1690668257353654</v>
      </c>
      <c r="N24" s="649">
        <f t="shared" si="11"/>
        <v>6.1690668257353654</v>
      </c>
      <c r="O24" s="649">
        <f t="shared" si="11"/>
        <v>6.1690668257353654</v>
      </c>
      <c r="P24" s="649">
        <f t="shared" si="11"/>
        <v>6.1690668257353654</v>
      </c>
      <c r="Q24" s="649">
        <f t="shared" si="11"/>
        <v>6.1690668257353654</v>
      </c>
      <c r="R24" s="649">
        <f t="shared" si="11"/>
        <v>6.1690668257353654</v>
      </c>
      <c r="S24" s="649">
        <f t="shared" si="11"/>
        <v>6.1690668257353654</v>
      </c>
      <c r="T24" s="649">
        <f t="shared" si="11"/>
        <v>6.1690668257353654</v>
      </c>
      <c r="U24" s="649">
        <f t="shared" si="11"/>
        <v>6.1690668257353654</v>
      </c>
      <c r="V24" s="649">
        <f t="shared" si="11"/>
        <v>6.1690668257353654</v>
      </c>
      <c r="W24" s="649">
        <f t="shared" si="11"/>
        <v>6.1690668257353654</v>
      </c>
      <c r="X24" s="649">
        <f t="shared" si="11"/>
        <v>6.1690668257353654</v>
      </c>
      <c r="Y24" s="1126">
        <f t="shared" si="11"/>
        <v>6.1690668257353654</v>
      </c>
    </row>
    <row r="25" spans="2:28">
      <c r="B25" s="653" t="s">
        <v>793</v>
      </c>
      <c r="C25" s="202" t="s">
        <v>861</v>
      </c>
      <c r="D25" s="649">
        <f t="shared" ref="D25:Y25" si="12">D193*$D$81/1000000</f>
        <v>5.4501827004911805</v>
      </c>
      <c r="E25" s="649">
        <f t="shared" si="12"/>
        <v>5.4501827004911805</v>
      </c>
      <c r="F25" s="649">
        <f t="shared" si="12"/>
        <v>5.4501827004911805</v>
      </c>
      <c r="G25" s="649">
        <f t="shared" si="12"/>
        <v>5.4501827004911805</v>
      </c>
      <c r="H25" s="649">
        <f t="shared" si="12"/>
        <v>5.4501827004911805</v>
      </c>
      <c r="I25" s="649">
        <f t="shared" si="12"/>
        <v>5.4501827004911805</v>
      </c>
      <c r="J25" s="649">
        <f>J193*$D$81/1000000</f>
        <v>5.4501827004911805</v>
      </c>
      <c r="K25" s="649">
        <f t="shared" si="12"/>
        <v>5.4501827004911805</v>
      </c>
      <c r="L25" s="649">
        <f t="shared" si="12"/>
        <v>5.4501827004911805</v>
      </c>
      <c r="M25" s="649">
        <f t="shared" si="12"/>
        <v>5.4501827004911805</v>
      </c>
      <c r="N25" s="649">
        <f t="shared" si="12"/>
        <v>5.4501827004911805</v>
      </c>
      <c r="O25" s="649">
        <f t="shared" si="12"/>
        <v>5.4501827004911805</v>
      </c>
      <c r="P25" s="649">
        <f t="shared" si="12"/>
        <v>5.4501827004911805</v>
      </c>
      <c r="Q25" s="649">
        <f t="shared" si="12"/>
        <v>5.4501827004911805</v>
      </c>
      <c r="R25" s="649">
        <f t="shared" si="12"/>
        <v>5.4501827004911805</v>
      </c>
      <c r="S25" s="649">
        <f t="shared" si="12"/>
        <v>5.4501827004911805</v>
      </c>
      <c r="T25" s="649">
        <f t="shared" si="12"/>
        <v>5.4501827004911805</v>
      </c>
      <c r="U25" s="649">
        <f t="shared" si="12"/>
        <v>5.4501827004911805</v>
      </c>
      <c r="V25" s="649">
        <f t="shared" si="12"/>
        <v>5.4501827004911805</v>
      </c>
      <c r="W25" s="649">
        <f t="shared" si="12"/>
        <v>5.4501827004911805</v>
      </c>
      <c r="X25" s="649">
        <f t="shared" si="12"/>
        <v>5.4501827004911805</v>
      </c>
      <c r="Y25" s="1126">
        <f t="shared" si="12"/>
        <v>5.4501827004911805</v>
      </c>
    </row>
    <row r="26" spans="2:28">
      <c r="B26" s="648" t="s">
        <v>792</v>
      </c>
      <c r="C26" s="202" t="s">
        <v>861</v>
      </c>
      <c r="D26" s="649">
        <f t="shared" ref="D26:Y26" si="13">D194*$D$82/1000000</f>
        <v>0.71888412524418466</v>
      </c>
      <c r="E26" s="649">
        <f t="shared" si="13"/>
        <v>0.71888412524418466</v>
      </c>
      <c r="F26" s="649">
        <f t="shared" si="13"/>
        <v>0.71888412524418466</v>
      </c>
      <c r="G26" s="649">
        <f t="shared" si="13"/>
        <v>0.71888412524418466</v>
      </c>
      <c r="H26" s="649">
        <f t="shared" si="13"/>
        <v>0.71888412524418466</v>
      </c>
      <c r="I26" s="649">
        <f t="shared" si="13"/>
        <v>0.71888412524418466</v>
      </c>
      <c r="J26" s="649">
        <f t="shared" si="13"/>
        <v>0.71888412524418466</v>
      </c>
      <c r="K26" s="649">
        <f t="shared" si="13"/>
        <v>0.71888412524418466</v>
      </c>
      <c r="L26" s="649">
        <f t="shared" si="13"/>
        <v>0.71888412524418466</v>
      </c>
      <c r="M26" s="649">
        <f t="shared" si="13"/>
        <v>0.71888412524418466</v>
      </c>
      <c r="N26" s="649">
        <f t="shared" si="13"/>
        <v>0.71888412524418466</v>
      </c>
      <c r="O26" s="649">
        <f t="shared" si="13"/>
        <v>0.71888412524418466</v>
      </c>
      <c r="P26" s="649">
        <f t="shared" si="13"/>
        <v>0.71888412524418466</v>
      </c>
      <c r="Q26" s="649">
        <f t="shared" si="13"/>
        <v>0.71888412524418466</v>
      </c>
      <c r="R26" s="649">
        <f t="shared" si="13"/>
        <v>0.71888412524418466</v>
      </c>
      <c r="S26" s="649">
        <f t="shared" si="13"/>
        <v>0.71888412524418466</v>
      </c>
      <c r="T26" s="649">
        <f t="shared" si="13"/>
        <v>0.71888412524418466</v>
      </c>
      <c r="U26" s="649">
        <f t="shared" si="13"/>
        <v>0.71888412524418466</v>
      </c>
      <c r="V26" s="649">
        <f t="shared" si="13"/>
        <v>0.71888412524418466</v>
      </c>
      <c r="W26" s="649">
        <f t="shared" si="13"/>
        <v>0.71888412524418466</v>
      </c>
      <c r="X26" s="649">
        <f t="shared" si="13"/>
        <v>0.71888412524418466</v>
      </c>
      <c r="Y26" s="1126">
        <f t="shared" si="13"/>
        <v>0.71888412524418466</v>
      </c>
    </row>
    <row r="27" spans="2:28">
      <c r="B27" s="575" t="s">
        <v>791</v>
      </c>
      <c r="C27" s="202" t="s">
        <v>861</v>
      </c>
      <c r="D27" s="649">
        <f t="shared" ref="D27:Y27" si="14">SUM(D28:D30)</f>
        <v>33.181666058666657</v>
      </c>
      <c r="E27" s="649">
        <f t="shared" si="14"/>
        <v>33.181666058666657</v>
      </c>
      <c r="F27" s="649">
        <f t="shared" si="14"/>
        <v>33.181666058666657</v>
      </c>
      <c r="G27" s="649">
        <f t="shared" si="14"/>
        <v>33.181666058666657</v>
      </c>
      <c r="H27" s="649">
        <f t="shared" si="14"/>
        <v>33.181666058666657</v>
      </c>
      <c r="I27" s="649">
        <f t="shared" si="14"/>
        <v>33.181666058666657</v>
      </c>
      <c r="J27" s="649">
        <f t="shared" si="14"/>
        <v>33.181666058666657</v>
      </c>
      <c r="K27" s="649">
        <f t="shared" si="14"/>
        <v>33.181666058666657</v>
      </c>
      <c r="L27" s="649">
        <f t="shared" si="14"/>
        <v>33.181666058666657</v>
      </c>
      <c r="M27" s="649">
        <f t="shared" si="14"/>
        <v>33.181666058666657</v>
      </c>
      <c r="N27" s="649">
        <f t="shared" si="14"/>
        <v>33.181666058666657</v>
      </c>
      <c r="O27" s="649">
        <f t="shared" si="14"/>
        <v>33.181666058666657</v>
      </c>
      <c r="P27" s="649">
        <f t="shared" si="14"/>
        <v>33.181666058666657</v>
      </c>
      <c r="Q27" s="649">
        <f t="shared" si="14"/>
        <v>33.181666058666657</v>
      </c>
      <c r="R27" s="649">
        <f t="shared" si="14"/>
        <v>33.181666058666657</v>
      </c>
      <c r="S27" s="649">
        <f t="shared" si="14"/>
        <v>33.181666058666657</v>
      </c>
      <c r="T27" s="649">
        <f t="shared" si="14"/>
        <v>33.181666058666657</v>
      </c>
      <c r="U27" s="649">
        <f t="shared" si="14"/>
        <v>33.181666058666657</v>
      </c>
      <c r="V27" s="649">
        <f t="shared" si="14"/>
        <v>33.181666058666657</v>
      </c>
      <c r="W27" s="649">
        <f t="shared" si="14"/>
        <v>33.181666058666657</v>
      </c>
      <c r="X27" s="649">
        <f t="shared" si="14"/>
        <v>33.181666058666657</v>
      </c>
      <c r="Y27" s="1126">
        <f t="shared" si="14"/>
        <v>33.181666058666657</v>
      </c>
    </row>
    <row r="28" spans="2:28">
      <c r="B28" s="653" t="s">
        <v>790</v>
      </c>
      <c r="C28" s="202" t="s">
        <v>861</v>
      </c>
      <c r="D28" s="649">
        <f t="shared" ref="D28:Y28" si="15">D196*$D$78/1000000</f>
        <v>11.226658532191806</v>
      </c>
      <c r="E28" s="649">
        <f t="shared" si="15"/>
        <v>11.226658532191806</v>
      </c>
      <c r="F28" s="649">
        <f t="shared" si="15"/>
        <v>11.226658532191806</v>
      </c>
      <c r="G28" s="649">
        <f t="shared" si="15"/>
        <v>11.226658532191806</v>
      </c>
      <c r="H28" s="649">
        <f t="shared" si="15"/>
        <v>11.226658532191806</v>
      </c>
      <c r="I28" s="649">
        <f t="shared" si="15"/>
        <v>11.226658532191806</v>
      </c>
      <c r="J28" s="649">
        <f t="shared" si="15"/>
        <v>11.226658532191806</v>
      </c>
      <c r="K28" s="649">
        <f t="shared" si="15"/>
        <v>11.226658532191806</v>
      </c>
      <c r="L28" s="649">
        <f t="shared" si="15"/>
        <v>11.226658532191806</v>
      </c>
      <c r="M28" s="649">
        <f t="shared" si="15"/>
        <v>11.226658532191806</v>
      </c>
      <c r="N28" s="649">
        <f t="shared" si="15"/>
        <v>11.226658532191806</v>
      </c>
      <c r="O28" s="649">
        <f t="shared" si="15"/>
        <v>11.226658532191806</v>
      </c>
      <c r="P28" s="649">
        <f t="shared" si="15"/>
        <v>11.226658532191806</v>
      </c>
      <c r="Q28" s="649">
        <f t="shared" si="15"/>
        <v>11.226658532191806</v>
      </c>
      <c r="R28" s="649">
        <f t="shared" si="15"/>
        <v>11.226658532191806</v>
      </c>
      <c r="S28" s="649">
        <f t="shared" si="15"/>
        <v>11.226658532191806</v>
      </c>
      <c r="T28" s="649">
        <f t="shared" si="15"/>
        <v>11.226658532191806</v>
      </c>
      <c r="U28" s="649">
        <f t="shared" si="15"/>
        <v>11.226658532191806</v>
      </c>
      <c r="V28" s="649">
        <f t="shared" si="15"/>
        <v>11.226658532191806</v>
      </c>
      <c r="W28" s="649">
        <f t="shared" si="15"/>
        <v>11.226658532191806</v>
      </c>
      <c r="X28" s="649">
        <f t="shared" si="15"/>
        <v>11.226658532191806</v>
      </c>
      <c r="Y28" s="1126">
        <f t="shared" si="15"/>
        <v>11.226658532191806</v>
      </c>
    </row>
    <row r="29" spans="2:28">
      <c r="B29" s="653" t="s">
        <v>789</v>
      </c>
      <c r="C29" s="202" t="s">
        <v>861</v>
      </c>
      <c r="D29" s="649">
        <f t="shared" ref="D29:Y29" si="16">D197*$D$78/1000000</f>
        <v>21.955007526474851</v>
      </c>
      <c r="E29" s="649">
        <f t="shared" si="16"/>
        <v>21.955007526474851</v>
      </c>
      <c r="F29" s="649">
        <f t="shared" si="16"/>
        <v>21.955007526474851</v>
      </c>
      <c r="G29" s="649">
        <f t="shared" si="16"/>
        <v>21.955007526474851</v>
      </c>
      <c r="H29" s="649">
        <f>H197*$D$78/1000000</f>
        <v>21.955007526474851</v>
      </c>
      <c r="I29" s="649">
        <f t="shared" si="16"/>
        <v>21.955007526474851</v>
      </c>
      <c r="J29" s="649">
        <f t="shared" si="16"/>
        <v>21.955007526474851</v>
      </c>
      <c r="K29" s="649">
        <f t="shared" si="16"/>
        <v>21.955007526474851</v>
      </c>
      <c r="L29" s="649">
        <f t="shared" si="16"/>
        <v>21.955007526474851</v>
      </c>
      <c r="M29" s="649">
        <f t="shared" si="16"/>
        <v>21.955007526474851</v>
      </c>
      <c r="N29" s="649">
        <f t="shared" si="16"/>
        <v>21.955007526474851</v>
      </c>
      <c r="O29" s="649">
        <f t="shared" si="16"/>
        <v>21.955007526474851</v>
      </c>
      <c r="P29" s="649">
        <f t="shared" si="16"/>
        <v>21.955007526474851</v>
      </c>
      <c r="Q29" s="649">
        <f t="shared" si="16"/>
        <v>21.955007526474851</v>
      </c>
      <c r="R29" s="649">
        <f t="shared" si="16"/>
        <v>21.955007526474851</v>
      </c>
      <c r="S29" s="649">
        <f t="shared" si="16"/>
        <v>21.955007526474851</v>
      </c>
      <c r="T29" s="649">
        <f t="shared" si="16"/>
        <v>21.955007526474851</v>
      </c>
      <c r="U29" s="649">
        <f t="shared" si="16"/>
        <v>21.955007526474851</v>
      </c>
      <c r="V29" s="649">
        <f t="shared" si="16"/>
        <v>21.955007526474851</v>
      </c>
      <c r="W29" s="649">
        <f t="shared" si="16"/>
        <v>21.955007526474851</v>
      </c>
      <c r="X29" s="649">
        <f t="shared" si="16"/>
        <v>21.955007526474851</v>
      </c>
      <c r="Y29" s="1126">
        <f t="shared" si="16"/>
        <v>21.955007526474851</v>
      </c>
    </row>
    <row r="30" spans="2:28">
      <c r="B30" s="648" t="s">
        <v>566</v>
      </c>
      <c r="C30" s="202" t="s">
        <v>861</v>
      </c>
      <c r="D30" s="649">
        <f t="shared" ref="D30:Y30" si="17">D198*$D$81/1000000</f>
        <v>0</v>
      </c>
      <c r="E30" s="649">
        <f t="shared" si="17"/>
        <v>0</v>
      </c>
      <c r="F30" s="649">
        <f t="shared" si="17"/>
        <v>0</v>
      </c>
      <c r="G30" s="649">
        <f t="shared" si="17"/>
        <v>0</v>
      </c>
      <c r="H30" s="649">
        <f t="shared" si="17"/>
        <v>0</v>
      </c>
      <c r="I30" s="649">
        <f t="shared" si="17"/>
        <v>0</v>
      </c>
      <c r="J30" s="649">
        <f t="shared" si="17"/>
        <v>0</v>
      </c>
      <c r="K30" s="649">
        <f t="shared" si="17"/>
        <v>0</v>
      </c>
      <c r="L30" s="649">
        <f t="shared" si="17"/>
        <v>0</v>
      </c>
      <c r="M30" s="649">
        <f t="shared" si="17"/>
        <v>0</v>
      </c>
      <c r="N30" s="649">
        <f t="shared" si="17"/>
        <v>0</v>
      </c>
      <c r="O30" s="649">
        <f t="shared" si="17"/>
        <v>0</v>
      </c>
      <c r="P30" s="649">
        <f t="shared" si="17"/>
        <v>0</v>
      </c>
      <c r="Q30" s="649">
        <f t="shared" si="17"/>
        <v>0</v>
      </c>
      <c r="R30" s="649">
        <f t="shared" si="17"/>
        <v>0</v>
      </c>
      <c r="S30" s="649">
        <f t="shared" si="17"/>
        <v>0</v>
      </c>
      <c r="T30" s="649">
        <f t="shared" si="17"/>
        <v>0</v>
      </c>
      <c r="U30" s="649">
        <f t="shared" si="17"/>
        <v>0</v>
      </c>
      <c r="V30" s="649">
        <f t="shared" si="17"/>
        <v>0</v>
      </c>
      <c r="W30" s="649">
        <f t="shared" si="17"/>
        <v>0</v>
      </c>
      <c r="X30" s="649">
        <f t="shared" si="17"/>
        <v>0</v>
      </c>
      <c r="Y30" s="1126">
        <f t="shared" si="17"/>
        <v>0</v>
      </c>
    </row>
    <row r="31" spans="2:28">
      <c r="B31" s="116"/>
      <c r="D31" s="649"/>
      <c r="E31" s="649"/>
      <c r="F31" s="649"/>
      <c r="G31" s="649"/>
      <c r="H31" s="649"/>
      <c r="I31" s="649"/>
      <c r="J31" s="649"/>
      <c r="K31" s="649"/>
      <c r="L31" s="649"/>
      <c r="M31" s="649"/>
      <c r="N31" s="649"/>
      <c r="O31" s="649"/>
      <c r="P31" s="649"/>
      <c r="Q31" s="649"/>
      <c r="R31" s="649"/>
      <c r="S31" s="649"/>
      <c r="T31" s="649"/>
      <c r="U31" s="649"/>
      <c r="V31" s="649"/>
      <c r="W31" s="649"/>
      <c r="X31" s="649"/>
      <c r="Y31" s="1126"/>
    </row>
    <row r="32" spans="2:28">
      <c r="B32" s="652" t="s">
        <v>864</v>
      </c>
      <c r="C32" s="202" t="s">
        <v>409</v>
      </c>
      <c r="D32" s="645">
        <f t="shared" ref="D32:Y32" si="18">D189</f>
        <v>1.0427498138366833</v>
      </c>
      <c r="E32" s="645">
        <f t="shared" si="18"/>
        <v>1.0712193832589127</v>
      </c>
      <c r="F32" s="645">
        <f t="shared" si="18"/>
        <v>1.100466240168833</v>
      </c>
      <c r="G32" s="645">
        <f t="shared" si="18"/>
        <v>1.1305116063780409</v>
      </c>
      <c r="H32" s="645">
        <f t="shared" si="18"/>
        <v>1.1613772831044591</v>
      </c>
      <c r="I32" s="645">
        <f t="shared" si="18"/>
        <v>1.193085666791518</v>
      </c>
      <c r="J32" s="645">
        <f t="shared" si="18"/>
        <v>1.2256597653592383</v>
      </c>
      <c r="K32" s="645">
        <f t="shared" si="18"/>
        <v>1.2591232148990081</v>
      </c>
      <c r="L32" s="645">
        <f t="shared" si="18"/>
        <v>1.2935002968241673</v>
      </c>
      <c r="M32" s="645">
        <f t="shared" si="18"/>
        <v>1.3288159554888428</v>
      </c>
      <c r="N32" s="645">
        <f t="shared" si="18"/>
        <v>1.3650958162878215</v>
      </c>
      <c r="O32" s="645">
        <f t="shared" si="18"/>
        <v>1.4023662042505931</v>
      </c>
      <c r="P32" s="645">
        <f t="shared" si="18"/>
        <v>1.4406541631430545</v>
      </c>
      <c r="Q32" s="645">
        <f t="shared" si="18"/>
        <v>1.479987475090736</v>
      </c>
      <c r="R32" s="645">
        <f t="shared" si="18"/>
        <v>1.5203946807377897</v>
      </c>
      <c r="S32" s="645">
        <f t="shared" si="18"/>
        <v>1.5619050999563659</v>
      </c>
      <c r="T32" s="645">
        <f t="shared" si="18"/>
        <v>1.6045488531214052</v>
      </c>
      <c r="U32" s="645">
        <f t="shared" si="18"/>
        <v>1.6483568829662834</v>
      </c>
      <c r="V32" s="645">
        <f t="shared" si="18"/>
        <v>1.6933609770351683</v>
      </c>
      <c r="W32" s="645">
        <f t="shared" si="18"/>
        <v>1.7395937907483796</v>
      </c>
      <c r="X32" s="645">
        <f t="shared" si="18"/>
        <v>1.7870888710974873</v>
      </c>
      <c r="Y32" s="1127">
        <f t="shared" si="18"/>
        <v>1.8358806809873447</v>
      </c>
    </row>
    <row r="33" spans="2:25">
      <c r="B33" s="116"/>
      <c r="D33" s="649"/>
      <c r="E33" s="649"/>
      <c r="F33" s="649"/>
      <c r="G33" s="649"/>
      <c r="H33" s="649"/>
      <c r="I33" s="649"/>
      <c r="J33" s="649"/>
      <c r="K33" s="649"/>
      <c r="L33" s="649"/>
      <c r="M33" s="649"/>
      <c r="N33" s="649"/>
      <c r="O33" s="649"/>
      <c r="P33" s="649"/>
      <c r="Q33" s="649"/>
      <c r="R33" s="649"/>
      <c r="S33" s="649"/>
      <c r="T33" s="649"/>
      <c r="U33" s="649"/>
      <c r="V33" s="649"/>
      <c r="W33" s="649"/>
      <c r="X33" s="649"/>
      <c r="Y33" s="1126"/>
    </row>
    <row r="34" spans="2:25">
      <c r="B34" s="651" t="s">
        <v>863</v>
      </c>
      <c r="D34" s="650">
        <f t="shared" ref="D34:Y34" si="19">D35+D38</f>
        <v>41.032969389547262</v>
      </c>
      <c r="E34" s="650">
        <f t="shared" si="19"/>
        <v>42.153267811215343</v>
      </c>
      <c r="F34" s="650">
        <f t="shared" si="19"/>
        <v>43.304153065185957</v>
      </c>
      <c r="G34" s="650">
        <f t="shared" si="19"/>
        <v>44.486460245298531</v>
      </c>
      <c r="H34" s="650">
        <f t="shared" si="19"/>
        <v>45.70104724545611</v>
      </c>
      <c r="I34" s="650">
        <f t="shared" si="19"/>
        <v>46.948795382121695</v>
      </c>
      <c r="J34" s="650">
        <f t="shared" si="19"/>
        <v>48.230610033810237</v>
      </c>
      <c r="K34" s="650">
        <f t="shared" si="19"/>
        <v>49.547421298040398</v>
      </c>
      <c r="L34" s="650">
        <f t="shared" si="19"/>
        <v>50.900184666222543</v>
      </c>
      <c r="M34" s="650">
        <f t="shared" si="19"/>
        <v>52.289881716972893</v>
      </c>
      <c r="N34" s="650">
        <f t="shared" si="19"/>
        <v>53.717520828356797</v>
      </c>
      <c r="O34" s="650">
        <f t="shared" si="19"/>
        <v>55.184137909577856</v>
      </c>
      <c r="P34" s="650">
        <f t="shared" si="19"/>
        <v>56.690797152644066</v>
      </c>
      <c r="Q34" s="650">
        <f t="shared" si="19"/>
        <v>58.238591804556151</v>
      </c>
      <c r="R34" s="650">
        <f t="shared" si="19"/>
        <v>59.828644960578458</v>
      </c>
      <c r="S34" s="650">
        <f t="shared" si="19"/>
        <v>61.462110379168195</v>
      </c>
      <c r="T34" s="650">
        <f t="shared" si="19"/>
        <v>63.14017331915403</v>
      </c>
      <c r="U34" s="650">
        <f t="shared" si="19"/>
        <v>64.864051399771739</v>
      </c>
      <c r="V34" s="650">
        <f t="shared" si="19"/>
        <v>66.634995484180934</v>
      </c>
      <c r="W34" s="650">
        <f t="shared" si="19"/>
        <v>68.454290587103827</v>
      </c>
      <c r="X34" s="650">
        <f t="shared" si="19"/>
        <v>70.323256807244775</v>
      </c>
      <c r="Y34" s="1125">
        <f t="shared" si="19"/>
        <v>72.243250285167079</v>
      </c>
    </row>
    <row r="35" spans="2:25">
      <c r="B35" s="575" t="s">
        <v>794</v>
      </c>
      <c r="C35" s="68" t="s">
        <v>684</v>
      </c>
      <c r="D35" s="649">
        <f t="shared" ref="D35:Y35" si="20">SUM(D36:D37)</f>
        <v>6.4327932840816109</v>
      </c>
      <c r="E35" s="649">
        <f t="shared" si="20"/>
        <v>6.6084239603472561</v>
      </c>
      <c r="F35" s="649">
        <f t="shared" si="20"/>
        <v>6.7888497750672743</v>
      </c>
      <c r="G35" s="649">
        <f t="shared" si="20"/>
        <v>6.9742016470155699</v>
      </c>
      <c r="H35" s="649">
        <f t="shared" si="20"/>
        <v>7.1646140693623881</v>
      </c>
      <c r="I35" s="649">
        <f t="shared" si="20"/>
        <v>7.3602252072639116</v>
      </c>
      <c r="J35" s="649">
        <f t="shared" si="20"/>
        <v>7.5611769981162684</v>
      </c>
      <c r="K35" s="649">
        <f t="shared" si="20"/>
        <v>7.7676152545467323</v>
      </c>
      <c r="L35" s="649">
        <f t="shared" si="20"/>
        <v>7.9796897702168188</v>
      </c>
      <c r="M35" s="649">
        <f t="shared" si="20"/>
        <v>8.1975544285140618</v>
      </c>
      <c r="N35" s="649">
        <f t="shared" si="20"/>
        <v>8.4213673142113379</v>
      </c>
      <c r="O35" s="649">
        <f t="shared" si="20"/>
        <v>8.6512908281747585</v>
      </c>
      <c r="P35" s="649">
        <f t="shared" si="20"/>
        <v>8.8874918052033625</v>
      </c>
      <c r="Q35" s="649">
        <f t="shared" si="20"/>
        <v>9.1301416350861047</v>
      </c>
      <c r="R35" s="649">
        <f t="shared" si="20"/>
        <v>9.3794163869640101</v>
      </c>
      <c r="S35" s="649">
        <f t="shared" si="20"/>
        <v>9.6354969370876979</v>
      </c>
      <c r="T35" s="649">
        <f t="shared" si="20"/>
        <v>9.8985691000629874</v>
      </c>
      <c r="U35" s="649">
        <f t="shared" si="20"/>
        <v>10.16882376367985</v>
      </c>
      <c r="V35" s="649">
        <f t="shared" si="20"/>
        <v>10.446457027422483</v>
      </c>
      <c r="W35" s="649">
        <f t="shared" si="20"/>
        <v>10.731670344761056</v>
      </c>
      <c r="X35" s="649">
        <f t="shared" si="20"/>
        <v>11.024670669328373</v>
      </c>
      <c r="Y35" s="1126">
        <f t="shared" si="20"/>
        <v>11.325670605087478</v>
      </c>
    </row>
    <row r="36" spans="2:25" s="201" customFormat="1">
      <c r="B36" s="648" t="s">
        <v>793</v>
      </c>
      <c r="C36" s="201" t="s">
        <v>684</v>
      </c>
      <c r="D36" s="647">
        <f t="shared" ref="D36:Y36" si="21">D25*D32</f>
        <v>5.6831769963130903</v>
      </c>
      <c r="E36" s="647">
        <f t="shared" si="21"/>
        <v>5.838341351068558</v>
      </c>
      <c r="F36" s="647">
        <f t="shared" si="21"/>
        <v>5.997742064642746</v>
      </c>
      <c r="G36" s="647">
        <f t="shared" si="21"/>
        <v>6.1614947997860936</v>
      </c>
      <c r="H36" s="647">
        <f t="shared" si="21"/>
        <v>6.329718377119371</v>
      </c>
      <c r="I36" s="647">
        <f t="shared" si="21"/>
        <v>6.5025348613511165</v>
      </c>
      <c r="J36" s="647">
        <f>J25*J32</f>
        <v>6.680069649849</v>
      </c>
      <c r="K36" s="647">
        <f t="shared" si="21"/>
        <v>6.8624515636294134</v>
      </c>
      <c r="L36" s="647">
        <f t="shared" si="21"/>
        <v>7.0498129408312842</v>
      </c>
      <c r="M36" s="647">
        <f t="shared" si="21"/>
        <v>7.2422897327419493</v>
      </c>
      <c r="N36" s="647">
        <f t="shared" si="21"/>
        <v>7.4400216024447712</v>
      </c>
      <c r="O36" s="647">
        <f t="shared" si="21"/>
        <v>7.6431520261600641</v>
      </c>
      <c r="P36" s="647">
        <f t="shared" si="21"/>
        <v>7.8518283973528744</v>
      </c>
      <c r="Q36" s="647">
        <f t="shared" si="21"/>
        <v>8.0662021336831522</v>
      </c>
      <c r="R36" s="647">
        <f t="shared" si="21"/>
        <v>8.2864287868759128</v>
      </c>
      <c r="S36" s="647">
        <f t="shared" si="21"/>
        <v>8.5126681555911343</v>
      </c>
      <c r="T36" s="647">
        <f t="shared" si="21"/>
        <v>8.7450844013752462</v>
      </c>
      <c r="U36" s="647">
        <f t="shared" si="21"/>
        <v>8.9838461677784025</v>
      </c>
      <c r="V36" s="647">
        <f t="shared" si="21"/>
        <v>9.2291267027239172</v>
      </c>
      <c r="W36" s="647">
        <f t="shared" si="21"/>
        <v>9.4811039842186933</v>
      </c>
      <c r="X36" s="647">
        <f t="shared" si="21"/>
        <v>9.739960849495839</v>
      </c>
      <c r="Y36" s="1128">
        <f t="shared" si="21"/>
        <v>10.005885127683193</v>
      </c>
    </row>
    <row r="37" spans="2:25" s="201" customFormat="1">
      <c r="B37" s="648" t="s">
        <v>792</v>
      </c>
      <c r="C37" s="201" t="s">
        <v>684</v>
      </c>
      <c r="D37" s="647">
        <f t="shared" ref="D37:Y37" si="22">D26*D32</f>
        <v>0.74961628776852052</v>
      </c>
      <c r="E37" s="647">
        <f t="shared" si="22"/>
        <v>0.77008260927869843</v>
      </c>
      <c r="F37" s="647">
        <f t="shared" si="22"/>
        <v>0.79110771042452832</v>
      </c>
      <c r="G37" s="647">
        <f t="shared" si="22"/>
        <v>0.81270684722947595</v>
      </c>
      <c r="H37" s="647">
        <f t="shared" si="22"/>
        <v>0.83489569224301685</v>
      </c>
      <c r="I37" s="647">
        <f t="shared" si="22"/>
        <v>0.85769034591279514</v>
      </c>
      <c r="J37" s="647">
        <f t="shared" si="22"/>
        <v>0.88110734826726866</v>
      </c>
      <c r="K37" s="647">
        <f t="shared" si="22"/>
        <v>0.90516369091731896</v>
      </c>
      <c r="L37" s="647">
        <f t="shared" si="22"/>
        <v>0.92987682938553473</v>
      </c>
      <c r="M37" s="647">
        <f t="shared" si="22"/>
        <v>0.95526469577211215</v>
      </c>
      <c r="N37" s="647">
        <f t="shared" si="22"/>
        <v>0.98134571176656682</v>
      </c>
      <c r="O37" s="647">
        <f t="shared" si="22"/>
        <v>1.0081388020146953</v>
      </c>
      <c r="P37" s="647">
        <f t="shared" si="22"/>
        <v>1.0356634078504876</v>
      </c>
      <c r="Q37" s="647">
        <f t="shared" si="22"/>
        <v>1.0639395014029533</v>
      </c>
      <c r="R37" s="647">
        <f t="shared" si="22"/>
        <v>1.0929876000880974</v>
      </c>
      <c r="S37" s="647">
        <f t="shared" si="22"/>
        <v>1.122828781496563</v>
      </c>
      <c r="T37" s="647">
        <f t="shared" si="22"/>
        <v>1.1534846986877412</v>
      </c>
      <c r="U37" s="647">
        <f t="shared" si="22"/>
        <v>1.1849775959014475</v>
      </c>
      <c r="V37" s="647">
        <f t="shared" si="22"/>
        <v>1.2173303246985647</v>
      </c>
      <c r="W37" s="647">
        <f t="shared" si="22"/>
        <v>1.250566360542364</v>
      </c>
      <c r="X37" s="647">
        <f t="shared" si="22"/>
        <v>1.2847098198325346</v>
      </c>
      <c r="Y37" s="1128">
        <f t="shared" si="22"/>
        <v>1.3197854774042854</v>
      </c>
    </row>
    <row r="38" spans="2:25" s="201" customFormat="1">
      <c r="B38" s="572" t="s">
        <v>791</v>
      </c>
      <c r="C38" s="201" t="s">
        <v>684</v>
      </c>
      <c r="D38" s="647">
        <f t="shared" ref="D38:Y38" si="23">SUM(D39:D41)</f>
        <v>34.60017610546565</v>
      </c>
      <c r="E38" s="647">
        <f t="shared" si="23"/>
        <v>35.544843850868091</v>
      </c>
      <c r="F38" s="647">
        <f t="shared" si="23"/>
        <v>36.51530329011868</v>
      </c>
      <c r="G38" s="647">
        <f t="shared" si="23"/>
        <v>37.512258598282962</v>
      </c>
      <c r="H38" s="647">
        <f t="shared" si="23"/>
        <v>38.536433176093723</v>
      </c>
      <c r="I38" s="647">
        <f t="shared" si="23"/>
        <v>39.588570174857786</v>
      </c>
      <c r="J38" s="647">
        <f t="shared" si="23"/>
        <v>40.66943303569397</v>
      </c>
      <c r="K38" s="647">
        <f t="shared" si="23"/>
        <v>41.779806043493664</v>
      </c>
      <c r="L38" s="647">
        <f t="shared" si="23"/>
        <v>42.920494896005721</v>
      </c>
      <c r="M38" s="647">
        <f t="shared" si="23"/>
        <v>44.092327288458833</v>
      </c>
      <c r="N38" s="647">
        <f t="shared" si="23"/>
        <v>45.296153514145459</v>
      </c>
      <c r="O38" s="647">
        <f t="shared" si="23"/>
        <v>46.532847081403098</v>
      </c>
      <c r="P38" s="647">
        <f t="shared" si="23"/>
        <v>47.803305347440705</v>
      </c>
      <c r="Q38" s="647">
        <f t="shared" si="23"/>
        <v>49.108450169470046</v>
      </c>
      <c r="R38" s="647">
        <f t="shared" si="23"/>
        <v>50.449228573614448</v>
      </c>
      <c r="S38" s="647">
        <f t="shared" si="23"/>
        <v>51.8266134420805</v>
      </c>
      <c r="T38" s="647">
        <f t="shared" si="23"/>
        <v>53.241604219091045</v>
      </c>
      <c r="U38" s="647">
        <f t="shared" si="23"/>
        <v>54.695227636091893</v>
      </c>
      <c r="V38" s="647">
        <f t="shared" si="23"/>
        <v>56.188538456758451</v>
      </c>
      <c r="W38" s="647">
        <f t="shared" si="23"/>
        <v>57.722620242342771</v>
      </c>
      <c r="X38" s="647">
        <f t="shared" si="23"/>
        <v>59.298586137916409</v>
      </c>
      <c r="Y38" s="1128">
        <f t="shared" si="23"/>
        <v>60.917579680079605</v>
      </c>
    </row>
    <row r="39" spans="2:25" s="201" customFormat="1">
      <c r="B39" s="648" t="s">
        <v>790</v>
      </c>
      <c r="C39" s="201" t="s">
        <v>684</v>
      </c>
      <c r="D39" s="647">
        <f t="shared" ref="D39:Y39" si="24">D28*D32</f>
        <v>11.706596094451017</v>
      </c>
      <c r="E39" s="647">
        <f t="shared" si="24"/>
        <v>12.026214228912917</v>
      </c>
      <c r="F39" s="647">
        <f t="shared" si="24"/>
        <v>12.354558704580466</v>
      </c>
      <c r="G39" s="647">
        <f t="shared" si="24"/>
        <v>12.691867771485898</v>
      </c>
      <c r="H39" s="647">
        <f t="shared" si="24"/>
        <v>13.038386184458414</v>
      </c>
      <c r="I39" s="647">
        <f t="shared" si="24"/>
        <v>13.394365380720744</v>
      </c>
      <c r="J39" s="647">
        <f t="shared" si="24"/>
        <v>13.760063662334499</v>
      </c>
      <c r="K39" s="647">
        <f t="shared" si="24"/>
        <v>14.135746383626726</v>
      </c>
      <c r="L39" s="647">
        <f t="shared" si="24"/>
        <v>14.521686143733671</v>
      </c>
      <c r="M39" s="647">
        <f t="shared" si="24"/>
        <v>14.918162984401423</v>
      </c>
      <c r="N39" s="647">
        <f t="shared" si="24"/>
        <v>15.325464593187009</v>
      </c>
      <c r="O39" s="647">
        <f t="shared" si="24"/>
        <v>15.743886512207357</v>
      </c>
      <c r="P39" s="647">
        <f t="shared" si="24"/>
        <v>16.173732352587617</v>
      </c>
      <c r="Q39" s="647">
        <f t="shared" si="24"/>
        <v>16.615314014764419</v>
      </c>
      <c r="R39" s="647">
        <f t="shared" si="24"/>
        <v>17.068951914803943</v>
      </c>
      <c r="S39" s="647">
        <f t="shared" si="24"/>
        <v>17.534975216899031</v>
      </c>
      <c r="T39" s="647">
        <f t="shared" si="24"/>
        <v>18.013722072214001</v>
      </c>
      <c r="U39" s="647">
        <f t="shared" si="24"/>
        <v>18.505539864250515</v>
      </c>
      <c r="V39" s="647">
        <f t="shared" si="24"/>
        <v>19.010785460912526</v>
      </c>
      <c r="W39" s="647">
        <f t="shared" si="24"/>
        <v>19.529825473453183</v>
      </c>
      <c r="X39" s="647">
        <f t="shared" si="24"/>
        <v>20.063036522491629</v>
      </c>
      <c r="Y39" s="1128">
        <f t="shared" si="24"/>
        <v>20.610805511292675</v>
      </c>
    </row>
    <row r="40" spans="2:25" s="201" customFormat="1">
      <c r="B40" s="648" t="s">
        <v>789</v>
      </c>
      <c r="C40" s="201" t="s">
        <v>684</v>
      </c>
      <c r="D40" s="647">
        <f t="shared" ref="D40:Y40" si="25">D29*D32</f>
        <v>22.893580011014631</v>
      </c>
      <c r="E40" s="647">
        <f t="shared" si="25"/>
        <v>23.518629621955178</v>
      </c>
      <c r="F40" s="647">
        <f t="shared" si="25"/>
        <v>24.160744585538211</v>
      </c>
      <c r="G40" s="647">
        <f t="shared" si="25"/>
        <v>24.820390826797063</v>
      </c>
      <c r="H40" s="647">
        <f>H29*H32</f>
        <v>25.498046991635313</v>
      </c>
      <c r="I40" s="647">
        <f t="shared" si="25"/>
        <v>26.194204794137043</v>
      </c>
      <c r="J40" s="647">
        <f t="shared" si="25"/>
        <v>26.909369373359475</v>
      </c>
      <c r="K40" s="647">
        <f t="shared" si="25"/>
        <v>27.644059659866937</v>
      </c>
      <c r="L40" s="647">
        <f t="shared" si="25"/>
        <v>28.39880875227205</v>
      </c>
      <c r="M40" s="647">
        <f t="shared" si="25"/>
        <v>29.174164304057413</v>
      </c>
      <c r="N40" s="647">
        <f t="shared" si="25"/>
        <v>29.970688920958452</v>
      </c>
      <c r="O40" s="647">
        <f t="shared" si="25"/>
        <v>30.788960569195741</v>
      </c>
      <c r="P40" s="647">
        <f t="shared" si="25"/>
        <v>31.629572994853088</v>
      </c>
      <c r="Q40" s="647">
        <f t="shared" si="25"/>
        <v>32.493136154705624</v>
      </c>
      <c r="R40" s="647">
        <f t="shared" si="25"/>
        <v>33.380276658810502</v>
      </c>
      <c r="S40" s="647">
        <f t="shared" si="25"/>
        <v>34.291638225181472</v>
      </c>
      <c r="T40" s="647">
        <f t="shared" si="25"/>
        <v>35.227882146877043</v>
      </c>
      <c r="U40" s="647">
        <f t="shared" si="25"/>
        <v>36.189687771841378</v>
      </c>
      <c r="V40" s="647">
        <f t="shared" si="25"/>
        <v>37.177752995845928</v>
      </c>
      <c r="W40" s="647">
        <f t="shared" si="25"/>
        <v>38.192794768889591</v>
      </c>
      <c r="X40" s="647">
        <f t="shared" si="25"/>
        <v>39.23554961542478</v>
      </c>
      <c r="Y40" s="1128">
        <f t="shared" si="25"/>
        <v>40.30677416878693</v>
      </c>
    </row>
    <row r="41" spans="2:25" s="201" customFormat="1">
      <c r="B41" s="648" t="s">
        <v>566</v>
      </c>
      <c r="C41" s="201" t="s">
        <v>684</v>
      </c>
      <c r="D41" s="647">
        <f t="shared" ref="D41:Y41" si="26">D30*D32</f>
        <v>0</v>
      </c>
      <c r="E41" s="647">
        <f t="shared" si="26"/>
        <v>0</v>
      </c>
      <c r="F41" s="647">
        <f t="shared" si="26"/>
        <v>0</v>
      </c>
      <c r="G41" s="647">
        <f t="shared" si="26"/>
        <v>0</v>
      </c>
      <c r="H41" s="647">
        <f t="shared" si="26"/>
        <v>0</v>
      </c>
      <c r="I41" s="647">
        <f t="shared" si="26"/>
        <v>0</v>
      </c>
      <c r="J41" s="647">
        <f t="shared" si="26"/>
        <v>0</v>
      </c>
      <c r="K41" s="647">
        <f t="shared" si="26"/>
        <v>0</v>
      </c>
      <c r="L41" s="647">
        <f t="shared" si="26"/>
        <v>0</v>
      </c>
      <c r="M41" s="647">
        <f t="shared" si="26"/>
        <v>0</v>
      </c>
      <c r="N41" s="647">
        <f t="shared" si="26"/>
        <v>0</v>
      </c>
      <c r="O41" s="647">
        <f t="shared" si="26"/>
        <v>0</v>
      </c>
      <c r="P41" s="647">
        <f t="shared" si="26"/>
        <v>0</v>
      </c>
      <c r="Q41" s="647">
        <f t="shared" si="26"/>
        <v>0</v>
      </c>
      <c r="R41" s="647">
        <f t="shared" si="26"/>
        <v>0</v>
      </c>
      <c r="S41" s="647">
        <f t="shared" si="26"/>
        <v>0</v>
      </c>
      <c r="T41" s="647">
        <f t="shared" si="26"/>
        <v>0</v>
      </c>
      <c r="U41" s="647">
        <f t="shared" si="26"/>
        <v>0</v>
      </c>
      <c r="V41" s="647">
        <f t="shared" si="26"/>
        <v>0</v>
      </c>
      <c r="W41" s="647">
        <f t="shared" si="26"/>
        <v>0</v>
      </c>
      <c r="X41" s="647">
        <f t="shared" si="26"/>
        <v>0</v>
      </c>
      <c r="Y41" s="1128">
        <f t="shared" si="26"/>
        <v>0</v>
      </c>
    </row>
    <row r="42" spans="2:25">
      <c r="B42" s="116"/>
      <c r="D42" s="649">
        <f>D23-D44</f>
        <v>25.924529005723187</v>
      </c>
      <c r="E42" s="649">
        <f t="shared" ref="E42:J42" si="27">E23-E44</f>
        <v>25.924529005723187</v>
      </c>
      <c r="F42" s="649">
        <f>F23-F44</f>
        <v>25.924529005723187</v>
      </c>
      <c r="G42" s="649">
        <f t="shared" si="27"/>
        <v>25.924529005723187</v>
      </c>
      <c r="H42" s="649">
        <f t="shared" si="27"/>
        <v>25.924529005723187</v>
      </c>
      <c r="I42" s="649">
        <f t="shared" si="27"/>
        <v>25.924529005723187</v>
      </c>
      <c r="J42" s="649">
        <f t="shared" si="27"/>
        <v>25.924529005723187</v>
      </c>
      <c r="K42" s="649">
        <f>K23-K44</f>
        <v>25.924529005723187</v>
      </c>
      <c r="L42" s="649"/>
      <c r="M42" s="649"/>
      <c r="N42" s="649"/>
      <c r="O42" s="649"/>
      <c r="P42" s="649"/>
      <c r="Q42" s="649"/>
      <c r="R42" s="649"/>
      <c r="S42" s="649"/>
      <c r="T42" s="649"/>
      <c r="U42" s="649"/>
      <c r="V42" s="649"/>
      <c r="W42" s="649"/>
      <c r="X42" s="649"/>
      <c r="Y42" s="1126"/>
    </row>
    <row r="43" spans="2:25">
      <c r="B43" s="420" t="s">
        <v>388</v>
      </c>
      <c r="D43" s="649">
        <f>D42*D19*1000000</f>
        <v>0</v>
      </c>
      <c r="E43" s="649">
        <f>E42*E19*1000000</f>
        <v>0</v>
      </c>
      <c r="F43" s="26">
        <f t="shared" ref="F43:K43" si="28">(F23-F42*F19)*1000000</f>
        <v>39350732.884402022</v>
      </c>
      <c r="G43" s="26">
        <f t="shared" si="28"/>
        <v>38054506.434115864</v>
      </c>
      <c r="H43" s="26">
        <f t="shared" si="28"/>
        <v>32869600.632971227</v>
      </c>
      <c r="I43" s="26">
        <f t="shared" si="28"/>
        <v>23796015.48096811</v>
      </c>
      <c r="J43" s="26">
        <f t="shared" si="28"/>
        <v>14722430.328964993</v>
      </c>
      <c r="K43" s="26">
        <f t="shared" si="28"/>
        <v>13426203.878678834</v>
      </c>
      <c r="L43" s="649"/>
      <c r="M43" s="649"/>
      <c r="N43" s="649"/>
      <c r="O43" s="649"/>
      <c r="P43" s="649"/>
      <c r="Q43" s="649"/>
      <c r="R43" s="649"/>
      <c r="S43" s="649"/>
      <c r="T43" s="649"/>
      <c r="U43" s="649"/>
      <c r="V43" s="649"/>
      <c r="W43" s="649"/>
      <c r="X43" s="649"/>
      <c r="Y43" s="1126"/>
    </row>
    <row r="44" spans="2:25">
      <c r="B44" s="651" t="s">
        <v>862</v>
      </c>
      <c r="D44" s="650">
        <f t="shared" ref="D44:Y44" si="29">D45+D48</f>
        <v>13.426203878678836</v>
      </c>
      <c r="E44" s="650">
        <f t="shared" si="29"/>
        <v>13.426203878678836</v>
      </c>
      <c r="F44" s="650">
        <f t="shared" si="29"/>
        <v>13.426203878678836</v>
      </c>
      <c r="G44" s="650">
        <f t="shared" si="29"/>
        <v>13.426203878678836</v>
      </c>
      <c r="H44" s="650">
        <f t="shared" si="29"/>
        <v>13.426203878678836</v>
      </c>
      <c r="I44" s="650">
        <f t="shared" si="29"/>
        <v>13.426203878678836</v>
      </c>
      <c r="J44" s="650">
        <f t="shared" si="29"/>
        <v>13.426203878678836</v>
      </c>
      <c r="K44" s="650">
        <f t="shared" si="29"/>
        <v>13.426203878678836</v>
      </c>
      <c r="L44" s="650">
        <f t="shared" si="29"/>
        <v>13.426203878678836</v>
      </c>
      <c r="M44" s="650">
        <f t="shared" si="29"/>
        <v>13.426203878678836</v>
      </c>
      <c r="N44" s="650">
        <f t="shared" si="29"/>
        <v>13.426203878678836</v>
      </c>
      <c r="O44" s="650">
        <f t="shared" si="29"/>
        <v>13.426203878678836</v>
      </c>
      <c r="P44" s="650">
        <f t="shared" si="29"/>
        <v>13.426203878678836</v>
      </c>
      <c r="Q44" s="650">
        <f t="shared" si="29"/>
        <v>13.426203878678836</v>
      </c>
      <c r="R44" s="650">
        <f t="shared" si="29"/>
        <v>13.426203878678836</v>
      </c>
      <c r="S44" s="650">
        <f t="shared" si="29"/>
        <v>13.426203878678836</v>
      </c>
      <c r="T44" s="650">
        <f t="shared" si="29"/>
        <v>13.426203878678836</v>
      </c>
      <c r="U44" s="650">
        <f t="shared" si="29"/>
        <v>13.426203878678836</v>
      </c>
      <c r="V44" s="650">
        <f t="shared" si="29"/>
        <v>13.426203878678836</v>
      </c>
      <c r="W44" s="650">
        <f t="shared" si="29"/>
        <v>13.426203878678836</v>
      </c>
      <c r="X44" s="650">
        <f t="shared" si="29"/>
        <v>13.426203878678836</v>
      </c>
      <c r="Y44" s="1125">
        <f t="shared" si="29"/>
        <v>13.426203878678836</v>
      </c>
    </row>
    <row r="45" spans="2:25">
      <c r="B45" s="575" t="s">
        <v>794</v>
      </c>
      <c r="C45" s="202" t="s">
        <v>861</v>
      </c>
      <c r="D45" s="649">
        <f t="shared" ref="D45:Y45" si="30">SUM(D46:D47)</f>
        <v>4.9547115459010733</v>
      </c>
      <c r="E45" s="649">
        <f t="shared" si="30"/>
        <v>4.9547115459010733</v>
      </c>
      <c r="F45" s="649">
        <f t="shared" si="30"/>
        <v>4.9547115459010733</v>
      </c>
      <c r="G45" s="649">
        <f t="shared" si="30"/>
        <v>4.9547115459010733</v>
      </c>
      <c r="H45" s="649">
        <f t="shared" si="30"/>
        <v>4.9547115459010733</v>
      </c>
      <c r="I45" s="649">
        <f t="shared" si="30"/>
        <v>4.9547115459010733</v>
      </c>
      <c r="J45" s="649">
        <f t="shared" si="30"/>
        <v>4.9547115459010733</v>
      </c>
      <c r="K45" s="649">
        <f t="shared" si="30"/>
        <v>4.9547115459010733</v>
      </c>
      <c r="L45" s="649">
        <f t="shared" si="30"/>
        <v>4.9547115459010733</v>
      </c>
      <c r="M45" s="649">
        <f t="shared" si="30"/>
        <v>4.9547115459010733</v>
      </c>
      <c r="N45" s="649">
        <f t="shared" si="30"/>
        <v>4.9547115459010733</v>
      </c>
      <c r="O45" s="649">
        <f t="shared" si="30"/>
        <v>4.9547115459010733</v>
      </c>
      <c r="P45" s="649">
        <f t="shared" si="30"/>
        <v>4.9547115459010733</v>
      </c>
      <c r="Q45" s="649">
        <f t="shared" si="30"/>
        <v>4.9547115459010733</v>
      </c>
      <c r="R45" s="649">
        <f t="shared" si="30"/>
        <v>4.9547115459010733</v>
      </c>
      <c r="S45" s="649">
        <f t="shared" si="30"/>
        <v>4.9547115459010733</v>
      </c>
      <c r="T45" s="649">
        <f t="shared" si="30"/>
        <v>4.9547115459010733</v>
      </c>
      <c r="U45" s="649">
        <f t="shared" si="30"/>
        <v>4.9547115459010733</v>
      </c>
      <c r="V45" s="649">
        <f t="shared" si="30"/>
        <v>4.9547115459010733</v>
      </c>
      <c r="W45" s="649">
        <f t="shared" si="30"/>
        <v>4.9547115459010733</v>
      </c>
      <c r="X45" s="649">
        <f t="shared" si="30"/>
        <v>4.9547115459010733</v>
      </c>
      <c r="Y45" s="1126">
        <f t="shared" si="30"/>
        <v>4.9547115459010733</v>
      </c>
    </row>
    <row r="46" spans="2:25">
      <c r="B46" s="653" t="s">
        <v>793</v>
      </c>
      <c r="C46" s="202" t="s">
        <v>861</v>
      </c>
      <c r="D46" s="649">
        <f t="shared" ref="D46:Y46" si="31">D193*$D$79/1000000</f>
        <v>4.9547115459010733</v>
      </c>
      <c r="E46" s="649">
        <f t="shared" si="31"/>
        <v>4.9547115459010733</v>
      </c>
      <c r="F46" s="649">
        <f t="shared" si="31"/>
        <v>4.9547115459010733</v>
      </c>
      <c r="G46" s="649">
        <f t="shared" si="31"/>
        <v>4.9547115459010733</v>
      </c>
      <c r="H46" s="649">
        <f t="shared" si="31"/>
        <v>4.9547115459010733</v>
      </c>
      <c r="I46" s="649">
        <f t="shared" si="31"/>
        <v>4.9547115459010733</v>
      </c>
      <c r="J46" s="649">
        <f t="shared" si="31"/>
        <v>4.9547115459010733</v>
      </c>
      <c r="K46" s="649">
        <f t="shared" si="31"/>
        <v>4.9547115459010733</v>
      </c>
      <c r="L46" s="649">
        <f t="shared" si="31"/>
        <v>4.9547115459010733</v>
      </c>
      <c r="M46" s="649">
        <f t="shared" si="31"/>
        <v>4.9547115459010733</v>
      </c>
      <c r="N46" s="649">
        <f t="shared" si="31"/>
        <v>4.9547115459010733</v>
      </c>
      <c r="O46" s="649">
        <f t="shared" si="31"/>
        <v>4.9547115459010733</v>
      </c>
      <c r="P46" s="649">
        <f t="shared" si="31"/>
        <v>4.9547115459010733</v>
      </c>
      <c r="Q46" s="649">
        <f t="shared" si="31"/>
        <v>4.9547115459010733</v>
      </c>
      <c r="R46" s="649">
        <f t="shared" si="31"/>
        <v>4.9547115459010733</v>
      </c>
      <c r="S46" s="649">
        <f t="shared" si="31"/>
        <v>4.9547115459010733</v>
      </c>
      <c r="T46" s="649">
        <f t="shared" si="31"/>
        <v>4.9547115459010733</v>
      </c>
      <c r="U46" s="649">
        <f t="shared" si="31"/>
        <v>4.9547115459010733</v>
      </c>
      <c r="V46" s="649">
        <f t="shared" si="31"/>
        <v>4.9547115459010733</v>
      </c>
      <c r="W46" s="649">
        <f t="shared" si="31"/>
        <v>4.9547115459010733</v>
      </c>
      <c r="X46" s="649">
        <f t="shared" si="31"/>
        <v>4.9547115459010733</v>
      </c>
      <c r="Y46" s="1126">
        <f t="shared" si="31"/>
        <v>4.9547115459010733</v>
      </c>
    </row>
    <row r="47" spans="2:25">
      <c r="B47" s="648" t="s">
        <v>792</v>
      </c>
      <c r="C47" s="202" t="s">
        <v>861</v>
      </c>
      <c r="D47" s="649">
        <f t="shared" ref="D47:Y47" si="32">D194*$D$83/1000000</f>
        <v>0</v>
      </c>
      <c r="E47" s="649">
        <f t="shared" si="32"/>
        <v>0</v>
      </c>
      <c r="F47" s="649">
        <f t="shared" si="32"/>
        <v>0</v>
      </c>
      <c r="G47" s="649">
        <f t="shared" si="32"/>
        <v>0</v>
      </c>
      <c r="H47" s="649">
        <f t="shared" si="32"/>
        <v>0</v>
      </c>
      <c r="I47" s="649">
        <f t="shared" si="32"/>
        <v>0</v>
      </c>
      <c r="J47" s="649">
        <f t="shared" si="32"/>
        <v>0</v>
      </c>
      <c r="K47" s="649">
        <f t="shared" si="32"/>
        <v>0</v>
      </c>
      <c r="L47" s="649">
        <f t="shared" si="32"/>
        <v>0</v>
      </c>
      <c r="M47" s="649">
        <f t="shared" si="32"/>
        <v>0</v>
      </c>
      <c r="N47" s="649">
        <f t="shared" si="32"/>
        <v>0</v>
      </c>
      <c r="O47" s="649">
        <f t="shared" si="32"/>
        <v>0</v>
      </c>
      <c r="P47" s="649">
        <f t="shared" si="32"/>
        <v>0</v>
      </c>
      <c r="Q47" s="649">
        <f t="shared" si="32"/>
        <v>0</v>
      </c>
      <c r="R47" s="649">
        <f t="shared" si="32"/>
        <v>0</v>
      </c>
      <c r="S47" s="649">
        <f t="shared" si="32"/>
        <v>0</v>
      </c>
      <c r="T47" s="649">
        <f t="shared" si="32"/>
        <v>0</v>
      </c>
      <c r="U47" s="649">
        <f t="shared" si="32"/>
        <v>0</v>
      </c>
      <c r="V47" s="649">
        <f t="shared" si="32"/>
        <v>0</v>
      </c>
      <c r="W47" s="649">
        <f t="shared" si="32"/>
        <v>0</v>
      </c>
      <c r="X47" s="649">
        <f t="shared" si="32"/>
        <v>0</v>
      </c>
      <c r="Y47" s="1126">
        <f t="shared" si="32"/>
        <v>0</v>
      </c>
    </row>
    <row r="48" spans="2:25">
      <c r="B48" s="575" t="s">
        <v>791</v>
      </c>
      <c r="C48" s="202" t="s">
        <v>861</v>
      </c>
      <c r="D48" s="649">
        <f t="shared" ref="D48:Y48" si="33">SUM(D49:D51)</f>
        <v>8.4714923327777623</v>
      </c>
      <c r="E48" s="649">
        <f t="shared" si="33"/>
        <v>8.4714923327777623</v>
      </c>
      <c r="F48" s="649">
        <f t="shared" si="33"/>
        <v>8.4714923327777623</v>
      </c>
      <c r="G48" s="649">
        <f t="shared" si="33"/>
        <v>8.4714923327777623</v>
      </c>
      <c r="H48" s="649">
        <f t="shared" si="33"/>
        <v>8.4714923327777623</v>
      </c>
      <c r="I48" s="649">
        <f t="shared" si="33"/>
        <v>8.4714923327777623</v>
      </c>
      <c r="J48" s="649">
        <f t="shared" si="33"/>
        <v>8.4714923327777623</v>
      </c>
      <c r="K48" s="649">
        <f t="shared" si="33"/>
        <v>8.4714923327777623</v>
      </c>
      <c r="L48" s="649">
        <f t="shared" si="33"/>
        <v>8.4714923327777623</v>
      </c>
      <c r="M48" s="649">
        <f t="shared" si="33"/>
        <v>8.4714923327777623</v>
      </c>
      <c r="N48" s="649">
        <f t="shared" si="33"/>
        <v>8.4714923327777623</v>
      </c>
      <c r="O48" s="649">
        <f t="shared" si="33"/>
        <v>8.4714923327777623</v>
      </c>
      <c r="P48" s="649">
        <f t="shared" si="33"/>
        <v>8.4714923327777623</v>
      </c>
      <c r="Q48" s="649">
        <f t="shared" si="33"/>
        <v>8.4714923327777623</v>
      </c>
      <c r="R48" s="649">
        <f t="shared" si="33"/>
        <v>8.4714923327777623</v>
      </c>
      <c r="S48" s="649">
        <f t="shared" si="33"/>
        <v>8.4714923327777623</v>
      </c>
      <c r="T48" s="649">
        <f t="shared" si="33"/>
        <v>8.4714923327777623</v>
      </c>
      <c r="U48" s="649">
        <f t="shared" si="33"/>
        <v>8.4714923327777623</v>
      </c>
      <c r="V48" s="649">
        <f t="shared" si="33"/>
        <v>8.4714923327777623</v>
      </c>
      <c r="W48" s="649">
        <f t="shared" si="33"/>
        <v>8.4714923327777623</v>
      </c>
      <c r="X48" s="649">
        <f t="shared" si="33"/>
        <v>8.4714923327777623</v>
      </c>
      <c r="Y48" s="1126">
        <f t="shared" si="33"/>
        <v>8.4714923327777623</v>
      </c>
    </row>
    <row r="49" spans="2:25">
      <c r="B49" s="653" t="s">
        <v>790</v>
      </c>
      <c r="C49" s="202" t="s">
        <v>861</v>
      </c>
      <c r="D49" s="649">
        <f t="shared" ref="D49:Y49" si="34">D196*$D$79/1000000</f>
        <v>8.4714923327777623</v>
      </c>
      <c r="E49" s="649">
        <f t="shared" si="34"/>
        <v>8.4714923327777623</v>
      </c>
      <c r="F49" s="649">
        <f t="shared" si="34"/>
        <v>8.4714923327777623</v>
      </c>
      <c r="G49" s="649">
        <f t="shared" si="34"/>
        <v>8.4714923327777623</v>
      </c>
      <c r="H49" s="649">
        <f t="shared" si="34"/>
        <v>8.4714923327777623</v>
      </c>
      <c r="I49" s="649">
        <f t="shared" si="34"/>
        <v>8.4714923327777623</v>
      </c>
      <c r="J49" s="649">
        <f t="shared" si="34"/>
        <v>8.4714923327777623</v>
      </c>
      <c r="K49" s="649">
        <f t="shared" si="34"/>
        <v>8.4714923327777623</v>
      </c>
      <c r="L49" s="649">
        <f t="shared" si="34"/>
        <v>8.4714923327777623</v>
      </c>
      <c r="M49" s="649">
        <f t="shared" si="34"/>
        <v>8.4714923327777623</v>
      </c>
      <c r="N49" s="649">
        <f t="shared" si="34"/>
        <v>8.4714923327777623</v>
      </c>
      <c r="O49" s="649">
        <f t="shared" si="34"/>
        <v>8.4714923327777623</v>
      </c>
      <c r="P49" s="649">
        <f t="shared" si="34"/>
        <v>8.4714923327777623</v>
      </c>
      <c r="Q49" s="649">
        <f t="shared" si="34"/>
        <v>8.4714923327777623</v>
      </c>
      <c r="R49" s="649">
        <f t="shared" si="34"/>
        <v>8.4714923327777623</v>
      </c>
      <c r="S49" s="649">
        <f t="shared" si="34"/>
        <v>8.4714923327777623</v>
      </c>
      <c r="T49" s="649">
        <f t="shared" si="34"/>
        <v>8.4714923327777623</v>
      </c>
      <c r="U49" s="649">
        <f t="shared" si="34"/>
        <v>8.4714923327777623</v>
      </c>
      <c r="V49" s="649">
        <f t="shared" si="34"/>
        <v>8.4714923327777623</v>
      </c>
      <c r="W49" s="649">
        <f t="shared" si="34"/>
        <v>8.4714923327777623</v>
      </c>
      <c r="X49" s="649">
        <f t="shared" si="34"/>
        <v>8.4714923327777623</v>
      </c>
      <c r="Y49" s="1126">
        <f t="shared" si="34"/>
        <v>8.4714923327777623</v>
      </c>
    </row>
    <row r="50" spans="2:25">
      <c r="B50" s="653" t="s">
        <v>789</v>
      </c>
      <c r="C50" s="202" t="s">
        <v>861</v>
      </c>
      <c r="D50" s="649">
        <f t="shared" ref="D50:Y50" si="35">D197*$D$83/1000000</f>
        <v>0</v>
      </c>
      <c r="E50" s="649">
        <f t="shared" si="35"/>
        <v>0</v>
      </c>
      <c r="F50" s="649">
        <f t="shared" si="35"/>
        <v>0</v>
      </c>
      <c r="G50" s="649">
        <f t="shared" si="35"/>
        <v>0</v>
      </c>
      <c r="H50" s="649">
        <f t="shared" si="35"/>
        <v>0</v>
      </c>
      <c r="I50" s="649">
        <f t="shared" si="35"/>
        <v>0</v>
      </c>
      <c r="J50" s="649">
        <f t="shared" si="35"/>
        <v>0</v>
      </c>
      <c r="K50" s="649">
        <f t="shared" si="35"/>
        <v>0</v>
      </c>
      <c r="L50" s="649">
        <f t="shared" si="35"/>
        <v>0</v>
      </c>
      <c r="M50" s="649">
        <f t="shared" si="35"/>
        <v>0</v>
      </c>
      <c r="N50" s="649">
        <f t="shared" si="35"/>
        <v>0</v>
      </c>
      <c r="O50" s="649">
        <f t="shared" si="35"/>
        <v>0</v>
      </c>
      <c r="P50" s="649">
        <f t="shared" si="35"/>
        <v>0</v>
      </c>
      <c r="Q50" s="649">
        <f t="shared" si="35"/>
        <v>0</v>
      </c>
      <c r="R50" s="649">
        <f t="shared" si="35"/>
        <v>0</v>
      </c>
      <c r="S50" s="649">
        <f t="shared" si="35"/>
        <v>0</v>
      </c>
      <c r="T50" s="649">
        <f t="shared" si="35"/>
        <v>0</v>
      </c>
      <c r="U50" s="649">
        <f t="shared" si="35"/>
        <v>0</v>
      </c>
      <c r="V50" s="649">
        <f t="shared" si="35"/>
        <v>0</v>
      </c>
      <c r="W50" s="649">
        <f t="shared" si="35"/>
        <v>0</v>
      </c>
      <c r="X50" s="649">
        <f t="shared" si="35"/>
        <v>0</v>
      </c>
      <c r="Y50" s="1126">
        <f t="shared" si="35"/>
        <v>0</v>
      </c>
    </row>
    <row r="51" spans="2:25">
      <c r="B51" s="648" t="s">
        <v>566</v>
      </c>
      <c r="C51" s="202" t="s">
        <v>861</v>
      </c>
      <c r="D51" s="649">
        <f t="shared" ref="D51:Y51" si="36">D198*$D$83/1000000</f>
        <v>0</v>
      </c>
      <c r="E51" s="649">
        <f t="shared" si="36"/>
        <v>0</v>
      </c>
      <c r="F51" s="649">
        <f t="shared" si="36"/>
        <v>0</v>
      </c>
      <c r="G51" s="649">
        <f t="shared" si="36"/>
        <v>0</v>
      </c>
      <c r="H51" s="649">
        <f t="shared" si="36"/>
        <v>0</v>
      </c>
      <c r="I51" s="649">
        <f t="shared" si="36"/>
        <v>0</v>
      </c>
      <c r="J51" s="649">
        <f t="shared" si="36"/>
        <v>0</v>
      </c>
      <c r="K51" s="649">
        <f t="shared" si="36"/>
        <v>0</v>
      </c>
      <c r="L51" s="649">
        <f t="shared" si="36"/>
        <v>0</v>
      </c>
      <c r="M51" s="649">
        <f t="shared" si="36"/>
        <v>0</v>
      </c>
      <c r="N51" s="649">
        <f t="shared" si="36"/>
        <v>0</v>
      </c>
      <c r="O51" s="649">
        <f t="shared" si="36"/>
        <v>0</v>
      </c>
      <c r="P51" s="649">
        <f t="shared" si="36"/>
        <v>0</v>
      </c>
      <c r="Q51" s="649">
        <f t="shared" si="36"/>
        <v>0</v>
      </c>
      <c r="R51" s="649">
        <f t="shared" si="36"/>
        <v>0</v>
      </c>
      <c r="S51" s="649">
        <f t="shared" si="36"/>
        <v>0</v>
      </c>
      <c r="T51" s="649">
        <f t="shared" si="36"/>
        <v>0</v>
      </c>
      <c r="U51" s="649">
        <f t="shared" si="36"/>
        <v>0</v>
      </c>
      <c r="V51" s="649">
        <f t="shared" si="36"/>
        <v>0</v>
      </c>
      <c r="W51" s="649">
        <f t="shared" si="36"/>
        <v>0</v>
      </c>
      <c r="X51" s="649">
        <f t="shared" si="36"/>
        <v>0</v>
      </c>
      <c r="Y51" s="1126">
        <f t="shared" si="36"/>
        <v>0</v>
      </c>
    </row>
    <row r="52" spans="2:25">
      <c r="B52" s="116"/>
      <c r="D52" s="649"/>
      <c r="E52" s="649"/>
      <c r="F52" s="649"/>
      <c r="G52" s="649"/>
      <c r="H52" s="649"/>
      <c r="I52" s="649"/>
      <c r="J52" s="649"/>
      <c r="K52" s="649"/>
      <c r="L52" s="649"/>
      <c r="M52" s="649"/>
      <c r="N52" s="649"/>
      <c r="O52" s="649"/>
      <c r="P52" s="649"/>
      <c r="Q52" s="649"/>
      <c r="R52" s="649"/>
      <c r="S52" s="649"/>
      <c r="T52" s="649"/>
      <c r="U52" s="649"/>
      <c r="V52" s="649"/>
      <c r="W52" s="649"/>
      <c r="X52" s="649"/>
      <c r="Y52" s="1126"/>
    </row>
    <row r="53" spans="2:25">
      <c r="B53" s="652" t="s">
        <v>860</v>
      </c>
      <c r="C53" s="202" t="s">
        <v>409</v>
      </c>
      <c r="D53" s="645">
        <f t="shared" ref="D53:Y53" si="37">D189</f>
        <v>1.0427498138366833</v>
      </c>
      <c r="E53" s="645">
        <f t="shared" si="37"/>
        <v>1.0712193832589127</v>
      </c>
      <c r="F53" s="645">
        <f t="shared" si="37"/>
        <v>1.100466240168833</v>
      </c>
      <c r="G53" s="645">
        <f t="shared" si="37"/>
        <v>1.1305116063780409</v>
      </c>
      <c r="H53" s="645">
        <f t="shared" si="37"/>
        <v>1.1613772831044591</v>
      </c>
      <c r="I53" s="645">
        <f t="shared" si="37"/>
        <v>1.193085666791518</v>
      </c>
      <c r="J53" s="645">
        <f t="shared" si="37"/>
        <v>1.2256597653592383</v>
      </c>
      <c r="K53" s="645">
        <f t="shared" si="37"/>
        <v>1.2591232148990081</v>
      </c>
      <c r="L53" s="645">
        <f t="shared" si="37"/>
        <v>1.2935002968241673</v>
      </c>
      <c r="M53" s="645">
        <f t="shared" si="37"/>
        <v>1.3288159554888428</v>
      </c>
      <c r="N53" s="645">
        <f t="shared" si="37"/>
        <v>1.3650958162878215</v>
      </c>
      <c r="O53" s="645">
        <f t="shared" si="37"/>
        <v>1.4023662042505931</v>
      </c>
      <c r="P53" s="645">
        <f t="shared" si="37"/>
        <v>1.4406541631430545</v>
      </c>
      <c r="Q53" s="645">
        <f t="shared" si="37"/>
        <v>1.479987475090736</v>
      </c>
      <c r="R53" s="645">
        <f t="shared" si="37"/>
        <v>1.5203946807377897</v>
      </c>
      <c r="S53" s="645">
        <f t="shared" si="37"/>
        <v>1.5619050999563659</v>
      </c>
      <c r="T53" s="645">
        <f t="shared" si="37"/>
        <v>1.6045488531214052</v>
      </c>
      <c r="U53" s="645">
        <f t="shared" si="37"/>
        <v>1.6483568829662834</v>
      </c>
      <c r="V53" s="645">
        <f t="shared" si="37"/>
        <v>1.6933609770351683</v>
      </c>
      <c r="W53" s="645">
        <f t="shared" si="37"/>
        <v>1.7395937907483796</v>
      </c>
      <c r="X53" s="645">
        <f t="shared" si="37"/>
        <v>1.7870888710974873</v>
      </c>
      <c r="Y53" s="1127">
        <f t="shared" si="37"/>
        <v>1.8358806809873447</v>
      </c>
    </row>
    <row r="54" spans="2:25">
      <c r="B54" s="116"/>
      <c r="D54" s="649"/>
      <c r="E54" s="649"/>
      <c r="F54" s="649"/>
      <c r="G54" s="649"/>
      <c r="H54" s="649"/>
      <c r="I54" s="649"/>
      <c r="J54" s="649"/>
      <c r="K54" s="649"/>
      <c r="L54" s="649"/>
      <c r="M54" s="649"/>
      <c r="N54" s="649"/>
      <c r="O54" s="649"/>
      <c r="P54" s="649"/>
      <c r="Q54" s="649"/>
      <c r="R54" s="649"/>
      <c r="S54" s="649"/>
      <c r="T54" s="649"/>
      <c r="U54" s="649"/>
      <c r="V54" s="649"/>
      <c r="W54" s="649"/>
      <c r="X54" s="649"/>
      <c r="Y54" s="1126"/>
    </row>
    <row r="55" spans="2:25">
      <c r="B55" s="651" t="s">
        <v>859</v>
      </c>
      <c r="D55" s="650">
        <f t="shared" ref="D55:Y55" si="38">D56+D59</f>
        <v>14.00017159502571</v>
      </c>
      <c r="E55" s="650">
        <f t="shared" si="38"/>
        <v>14.382409838426764</v>
      </c>
      <c r="F55" s="650">
        <f t="shared" si="38"/>
        <v>14.775084102109901</v>
      </c>
      <c r="G55" s="650">
        <f t="shared" si="38"/>
        <v>15.178479314444294</v>
      </c>
      <c r="H55" s="650">
        <f t="shared" si="38"/>
        <v>15.592888183026577</v>
      </c>
      <c r="I55" s="650">
        <f t="shared" si="38"/>
        <v>16.018611407072402</v>
      </c>
      <c r="J55" s="650">
        <f t="shared" si="38"/>
        <v>16.455957895606797</v>
      </c>
      <c r="K55" s="650">
        <f t="shared" si="38"/>
        <v>16.905244991611628</v>
      </c>
      <c r="L55" s="650">
        <f t="shared" si="38"/>
        <v>17.366798702292861</v>
      </c>
      <c r="M55" s="650">
        <f t="shared" si="38"/>
        <v>17.840953935634623</v>
      </c>
      <c r="N55" s="650">
        <f t="shared" si="38"/>
        <v>18.328054743411801</v>
      </c>
      <c r="O55" s="650">
        <f t="shared" si="38"/>
        <v>18.82845457083743</v>
      </c>
      <c r="P55" s="650">
        <f t="shared" si="38"/>
        <v>19.342516513026091</v>
      </c>
      <c r="Q55" s="650">
        <f t="shared" si="38"/>
        <v>19.870613578459338</v>
      </c>
      <c r="R55" s="650">
        <f t="shared" si="38"/>
        <v>20.413128959644382</v>
      </c>
      <c r="S55" s="650">
        <f t="shared" si="38"/>
        <v>20.970456311162415</v>
      </c>
      <c r="T55" s="650">
        <f t="shared" si="38"/>
        <v>21.543000035308289</v>
      </c>
      <c r="U55" s="650">
        <f t="shared" si="38"/>
        <v>22.131175575528871</v>
      </c>
      <c r="V55" s="650">
        <f t="shared" si="38"/>
        <v>22.735409717872962</v>
      </c>
      <c r="W55" s="650">
        <f t="shared" si="38"/>
        <v>23.356140900671512</v>
      </c>
      <c r="X55" s="650">
        <f t="shared" si="38"/>
        <v>23.993819532672866</v>
      </c>
      <c r="Y55" s="1125">
        <f t="shared" si="38"/>
        <v>24.648908319863828</v>
      </c>
    </row>
    <row r="56" spans="2:25">
      <c r="B56" s="575" t="s">
        <v>794</v>
      </c>
      <c r="C56" s="68" t="s">
        <v>684</v>
      </c>
      <c r="D56" s="649">
        <f t="shared" ref="D56:Y56" si="39">SUM(D57:D58)</f>
        <v>5.1665245421028096</v>
      </c>
      <c r="E56" s="649">
        <f t="shared" si="39"/>
        <v>5.3075830464259619</v>
      </c>
      <c r="F56" s="649">
        <f t="shared" si="39"/>
        <v>5.4524927860388601</v>
      </c>
      <c r="G56" s="649">
        <f t="shared" si="39"/>
        <v>5.6013589088964491</v>
      </c>
      <c r="H56" s="649">
        <f t="shared" si="39"/>
        <v>5.7542894337448827</v>
      </c>
      <c r="I56" s="649">
        <f t="shared" si="39"/>
        <v>5.9113953285010146</v>
      </c>
      <c r="J56" s="649">
        <f t="shared" si="39"/>
        <v>6.0727905907718185</v>
      </c>
      <c r="K56" s="649">
        <f t="shared" si="39"/>
        <v>6.2385923305721942</v>
      </c>
      <c r="L56" s="649">
        <f t="shared" si="39"/>
        <v>6.408920855301167</v>
      </c>
      <c r="M56" s="649">
        <f t="shared" si="39"/>
        <v>6.5838997570381359</v>
      </c>
      <c r="N56" s="649">
        <f t="shared" si="39"/>
        <v>6.7636560022225201</v>
      </c>
      <c r="O56" s="649">
        <f t="shared" si="39"/>
        <v>6.9483200237818767</v>
      </c>
      <c r="P56" s="649">
        <f t="shared" si="39"/>
        <v>7.1380258157753405</v>
      </c>
      <c r="Q56" s="649">
        <f t="shared" si="39"/>
        <v>7.3329110306210472</v>
      </c>
      <c r="R56" s="649">
        <f t="shared" si="39"/>
        <v>7.533117078978103</v>
      </c>
      <c r="S56" s="649">
        <f t="shared" si="39"/>
        <v>7.7387892323555763</v>
      </c>
      <c r="T56" s="649">
        <f t="shared" si="39"/>
        <v>7.9500767285229514</v>
      </c>
      <c r="U56" s="649">
        <f t="shared" si="39"/>
        <v>8.1671328797985492</v>
      </c>
      <c r="V56" s="649">
        <f t="shared" si="39"/>
        <v>8.390115184294471</v>
      </c>
      <c r="W56" s="649">
        <f t="shared" si="39"/>
        <v>8.6191854401988124</v>
      </c>
      <c r="X56" s="649">
        <f t="shared" si="39"/>
        <v>8.8545098631780359</v>
      </c>
      <c r="Y56" s="1126">
        <f t="shared" si="39"/>
        <v>9.0962592069847226</v>
      </c>
    </row>
    <row r="57" spans="2:25" s="201" customFormat="1">
      <c r="B57" s="648" t="s">
        <v>793</v>
      </c>
      <c r="C57" s="201" t="s">
        <v>684</v>
      </c>
      <c r="D57" s="647">
        <f t="shared" ref="D57:Y57" si="40">D46*D53</f>
        <v>5.1665245421028096</v>
      </c>
      <c r="E57" s="647">
        <f t="shared" si="40"/>
        <v>5.3075830464259619</v>
      </c>
      <c r="F57" s="647">
        <f t="shared" si="40"/>
        <v>5.4524927860388601</v>
      </c>
      <c r="G57" s="647">
        <f t="shared" si="40"/>
        <v>5.6013589088964491</v>
      </c>
      <c r="H57" s="647">
        <f t="shared" si="40"/>
        <v>5.7542894337448827</v>
      </c>
      <c r="I57" s="647">
        <f t="shared" si="40"/>
        <v>5.9113953285010146</v>
      </c>
      <c r="J57" s="647">
        <f t="shared" si="40"/>
        <v>6.0727905907718185</v>
      </c>
      <c r="K57" s="647">
        <f t="shared" si="40"/>
        <v>6.2385923305721942</v>
      </c>
      <c r="L57" s="647">
        <f t="shared" si="40"/>
        <v>6.408920855301167</v>
      </c>
      <c r="M57" s="647">
        <f t="shared" si="40"/>
        <v>6.5838997570381359</v>
      </c>
      <c r="N57" s="647">
        <f t="shared" si="40"/>
        <v>6.7636560022225201</v>
      </c>
      <c r="O57" s="647">
        <f t="shared" si="40"/>
        <v>6.9483200237818767</v>
      </c>
      <c r="P57" s="647">
        <f t="shared" si="40"/>
        <v>7.1380258157753405</v>
      </c>
      <c r="Q57" s="647">
        <f t="shared" si="40"/>
        <v>7.3329110306210472</v>
      </c>
      <c r="R57" s="647">
        <f t="shared" si="40"/>
        <v>7.533117078978103</v>
      </c>
      <c r="S57" s="647">
        <f t="shared" si="40"/>
        <v>7.7387892323555763</v>
      </c>
      <c r="T57" s="647">
        <f t="shared" si="40"/>
        <v>7.9500767285229514</v>
      </c>
      <c r="U57" s="647">
        <f t="shared" si="40"/>
        <v>8.1671328797985492</v>
      </c>
      <c r="V57" s="647">
        <f t="shared" si="40"/>
        <v>8.390115184294471</v>
      </c>
      <c r="W57" s="647">
        <f t="shared" si="40"/>
        <v>8.6191854401988124</v>
      </c>
      <c r="X57" s="647">
        <f t="shared" si="40"/>
        <v>8.8545098631780359</v>
      </c>
      <c r="Y57" s="1128">
        <f t="shared" si="40"/>
        <v>9.0962592069847226</v>
      </c>
    </row>
    <row r="58" spans="2:25" s="201" customFormat="1">
      <c r="B58" s="648" t="s">
        <v>792</v>
      </c>
      <c r="C58" s="201" t="s">
        <v>684</v>
      </c>
      <c r="D58" s="647">
        <f t="shared" ref="D58:Y58" si="41">D47*D53</f>
        <v>0</v>
      </c>
      <c r="E58" s="647">
        <f t="shared" si="41"/>
        <v>0</v>
      </c>
      <c r="F58" s="647">
        <f t="shared" si="41"/>
        <v>0</v>
      </c>
      <c r="G58" s="647">
        <f t="shared" si="41"/>
        <v>0</v>
      </c>
      <c r="H58" s="647">
        <f t="shared" si="41"/>
        <v>0</v>
      </c>
      <c r="I58" s="647">
        <f t="shared" si="41"/>
        <v>0</v>
      </c>
      <c r="J58" s="647">
        <f t="shared" si="41"/>
        <v>0</v>
      </c>
      <c r="K58" s="647">
        <f t="shared" si="41"/>
        <v>0</v>
      </c>
      <c r="L58" s="647">
        <f t="shared" si="41"/>
        <v>0</v>
      </c>
      <c r="M58" s="647">
        <f t="shared" si="41"/>
        <v>0</v>
      </c>
      <c r="N58" s="647">
        <f t="shared" si="41"/>
        <v>0</v>
      </c>
      <c r="O58" s="647">
        <f t="shared" si="41"/>
        <v>0</v>
      </c>
      <c r="P58" s="647">
        <f t="shared" si="41"/>
        <v>0</v>
      </c>
      <c r="Q58" s="647">
        <f t="shared" si="41"/>
        <v>0</v>
      </c>
      <c r="R58" s="647">
        <f t="shared" si="41"/>
        <v>0</v>
      </c>
      <c r="S58" s="647">
        <f t="shared" si="41"/>
        <v>0</v>
      </c>
      <c r="T58" s="647">
        <f t="shared" si="41"/>
        <v>0</v>
      </c>
      <c r="U58" s="647">
        <f t="shared" si="41"/>
        <v>0</v>
      </c>
      <c r="V58" s="647">
        <f t="shared" si="41"/>
        <v>0</v>
      </c>
      <c r="W58" s="647">
        <f t="shared" si="41"/>
        <v>0</v>
      </c>
      <c r="X58" s="647">
        <f t="shared" si="41"/>
        <v>0</v>
      </c>
      <c r="Y58" s="1128">
        <f t="shared" si="41"/>
        <v>0</v>
      </c>
    </row>
    <row r="59" spans="2:25" s="201" customFormat="1">
      <c r="B59" s="572" t="s">
        <v>791</v>
      </c>
      <c r="C59" s="201" t="s">
        <v>684</v>
      </c>
      <c r="D59" s="647">
        <f t="shared" ref="D59:Y59" si="42">SUM(D60:D62)</f>
        <v>8.8336470529229008</v>
      </c>
      <c r="E59" s="647">
        <f t="shared" si="42"/>
        <v>9.0748267920008026</v>
      </c>
      <c r="F59" s="647">
        <f t="shared" si="42"/>
        <v>9.3225913160710405</v>
      </c>
      <c r="G59" s="647">
        <f t="shared" si="42"/>
        <v>9.5771204055478449</v>
      </c>
      <c r="H59" s="647">
        <f t="shared" si="42"/>
        <v>9.8385987492816938</v>
      </c>
      <c r="I59" s="647">
        <f t="shared" si="42"/>
        <v>10.107216078571389</v>
      </c>
      <c r="J59" s="647">
        <f t="shared" si="42"/>
        <v>10.383167304834979</v>
      </c>
      <c r="K59" s="647">
        <f t="shared" si="42"/>
        <v>10.666652661039434</v>
      </c>
      <c r="L59" s="647">
        <f t="shared" si="42"/>
        <v>10.957877846991693</v>
      </c>
      <c r="M59" s="647">
        <f t="shared" si="42"/>
        <v>11.257054178596487</v>
      </c>
      <c r="N59" s="647">
        <f t="shared" si="42"/>
        <v>11.564398741189281</v>
      </c>
      <c r="O59" s="647">
        <f t="shared" si="42"/>
        <v>11.880134547055553</v>
      </c>
      <c r="P59" s="647">
        <f t="shared" si="42"/>
        <v>12.204490697250749</v>
      </c>
      <c r="Q59" s="647">
        <f t="shared" si="42"/>
        <v>12.53770254783829</v>
      </c>
      <c r="R59" s="647">
        <f t="shared" si="42"/>
        <v>12.880011880666279</v>
      </c>
      <c r="S59" s="647">
        <f t="shared" si="42"/>
        <v>13.231667078806838</v>
      </c>
      <c r="T59" s="647">
        <f t="shared" si="42"/>
        <v>13.592923306785336</v>
      </c>
      <c r="U59" s="647">
        <f t="shared" si="42"/>
        <v>13.964042695730321</v>
      </c>
      <c r="V59" s="647">
        <f t="shared" si="42"/>
        <v>14.345294533578489</v>
      </c>
      <c r="W59" s="647">
        <f t="shared" si="42"/>
        <v>14.7369554604727</v>
      </c>
      <c r="X59" s="647">
        <f t="shared" si="42"/>
        <v>15.13930966949483</v>
      </c>
      <c r="Y59" s="1128">
        <f t="shared" si="42"/>
        <v>15.552649112879108</v>
      </c>
    </row>
    <row r="60" spans="2:25" s="201" customFormat="1">
      <c r="B60" s="648" t="s">
        <v>790</v>
      </c>
      <c r="C60" s="201" t="s">
        <v>684</v>
      </c>
      <c r="D60" s="647">
        <f t="shared" ref="D60:Y60" si="43">D49*D53</f>
        <v>8.8336470529229008</v>
      </c>
      <c r="E60" s="647">
        <f t="shared" si="43"/>
        <v>9.0748267920008026</v>
      </c>
      <c r="F60" s="647">
        <f t="shared" si="43"/>
        <v>9.3225913160710405</v>
      </c>
      <c r="G60" s="647">
        <f t="shared" si="43"/>
        <v>9.5771204055478449</v>
      </c>
      <c r="H60" s="647">
        <f t="shared" si="43"/>
        <v>9.8385987492816938</v>
      </c>
      <c r="I60" s="647">
        <f t="shared" si="43"/>
        <v>10.107216078571389</v>
      </c>
      <c r="J60" s="647">
        <f t="shared" si="43"/>
        <v>10.383167304834979</v>
      </c>
      <c r="K60" s="647">
        <f t="shared" si="43"/>
        <v>10.666652661039434</v>
      </c>
      <c r="L60" s="647">
        <f t="shared" si="43"/>
        <v>10.957877846991693</v>
      </c>
      <c r="M60" s="647">
        <f t="shared" si="43"/>
        <v>11.257054178596487</v>
      </c>
      <c r="N60" s="647">
        <f t="shared" si="43"/>
        <v>11.564398741189281</v>
      </c>
      <c r="O60" s="647">
        <f t="shared" si="43"/>
        <v>11.880134547055553</v>
      </c>
      <c r="P60" s="647">
        <f t="shared" si="43"/>
        <v>12.204490697250749</v>
      </c>
      <c r="Q60" s="647">
        <f t="shared" si="43"/>
        <v>12.53770254783829</v>
      </c>
      <c r="R60" s="647">
        <f t="shared" si="43"/>
        <v>12.880011880666279</v>
      </c>
      <c r="S60" s="647">
        <f t="shared" si="43"/>
        <v>13.231667078806838</v>
      </c>
      <c r="T60" s="647">
        <f t="shared" si="43"/>
        <v>13.592923306785336</v>
      </c>
      <c r="U60" s="647">
        <f t="shared" si="43"/>
        <v>13.964042695730321</v>
      </c>
      <c r="V60" s="647">
        <f t="shared" si="43"/>
        <v>14.345294533578489</v>
      </c>
      <c r="W60" s="647">
        <f t="shared" si="43"/>
        <v>14.7369554604727</v>
      </c>
      <c r="X60" s="647">
        <f t="shared" si="43"/>
        <v>15.13930966949483</v>
      </c>
      <c r="Y60" s="1128">
        <f t="shared" si="43"/>
        <v>15.552649112879108</v>
      </c>
    </row>
    <row r="61" spans="2:25" s="201" customFormat="1">
      <c r="B61" s="648" t="s">
        <v>789</v>
      </c>
      <c r="C61" s="201" t="s">
        <v>684</v>
      </c>
      <c r="D61" s="647">
        <f t="shared" ref="D61:Y61" si="44">D50*D53</f>
        <v>0</v>
      </c>
      <c r="E61" s="647">
        <f t="shared" si="44"/>
        <v>0</v>
      </c>
      <c r="F61" s="647">
        <f t="shared" si="44"/>
        <v>0</v>
      </c>
      <c r="G61" s="647">
        <f t="shared" si="44"/>
        <v>0</v>
      </c>
      <c r="H61" s="647">
        <f>H50*H53</f>
        <v>0</v>
      </c>
      <c r="I61" s="647">
        <f t="shared" si="44"/>
        <v>0</v>
      </c>
      <c r="J61" s="647">
        <f t="shared" si="44"/>
        <v>0</v>
      </c>
      <c r="K61" s="647">
        <f t="shared" si="44"/>
        <v>0</v>
      </c>
      <c r="L61" s="647">
        <f t="shared" si="44"/>
        <v>0</v>
      </c>
      <c r="M61" s="647">
        <f t="shared" si="44"/>
        <v>0</v>
      </c>
      <c r="N61" s="647">
        <f t="shared" si="44"/>
        <v>0</v>
      </c>
      <c r="O61" s="647">
        <f t="shared" si="44"/>
        <v>0</v>
      </c>
      <c r="P61" s="647">
        <f t="shared" si="44"/>
        <v>0</v>
      </c>
      <c r="Q61" s="647">
        <f t="shared" si="44"/>
        <v>0</v>
      </c>
      <c r="R61" s="647">
        <f t="shared" si="44"/>
        <v>0</v>
      </c>
      <c r="S61" s="647">
        <f t="shared" si="44"/>
        <v>0</v>
      </c>
      <c r="T61" s="647">
        <f t="shared" si="44"/>
        <v>0</v>
      </c>
      <c r="U61" s="647">
        <f t="shared" si="44"/>
        <v>0</v>
      </c>
      <c r="V61" s="647">
        <f t="shared" si="44"/>
        <v>0</v>
      </c>
      <c r="W61" s="647">
        <f t="shared" si="44"/>
        <v>0</v>
      </c>
      <c r="X61" s="647">
        <f t="shared" si="44"/>
        <v>0</v>
      </c>
      <c r="Y61" s="1128">
        <f t="shared" si="44"/>
        <v>0</v>
      </c>
    </row>
    <row r="62" spans="2:25" s="201" customFormat="1">
      <c r="B62" s="648" t="s">
        <v>566</v>
      </c>
      <c r="C62" s="201" t="s">
        <v>684</v>
      </c>
      <c r="D62" s="647">
        <f t="shared" ref="D62:Y62" si="45">D51*D53</f>
        <v>0</v>
      </c>
      <c r="E62" s="647">
        <f t="shared" si="45"/>
        <v>0</v>
      </c>
      <c r="F62" s="647">
        <f t="shared" si="45"/>
        <v>0</v>
      </c>
      <c r="G62" s="647">
        <f t="shared" si="45"/>
        <v>0</v>
      </c>
      <c r="H62" s="647">
        <f t="shared" si="45"/>
        <v>0</v>
      </c>
      <c r="I62" s="647">
        <f t="shared" si="45"/>
        <v>0</v>
      </c>
      <c r="J62" s="647">
        <f t="shared" si="45"/>
        <v>0</v>
      </c>
      <c r="K62" s="647">
        <f t="shared" si="45"/>
        <v>0</v>
      </c>
      <c r="L62" s="647">
        <f t="shared" si="45"/>
        <v>0</v>
      </c>
      <c r="M62" s="647">
        <f t="shared" si="45"/>
        <v>0</v>
      </c>
      <c r="N62" s="647">
        <f t="shared" si="45"/>
        <v>0</v>
      </c>
      <c r="O62" s="647">
        <f t="shared" si="45"/>
        <v>0</v>
      </c>
      <c r="P62" s="647">
        <f t="shared" si="45"/>
        <v>0</v>
      </c>
      <c r="Q62" s="647">
        <f t="shared" si="45"/>
        <v>0</v>
      </c>
      <c r="R62" s="647">
        <f t="shared" si="45"/>
        <v>0</v>
      </c>
      <c r="S62" s="647">
        <f t="shared" si="45"/>
        <v>0</v>
      </c>
      <c r="T62" s="647">
        <f t="shared" si="45"/>
        <v>0</v>
      </c>
      <c r="U62" s="647">
        <f t="shared" si="45"/>
        <v>0</v>
      </c>
      <c r="V62" s="647">
        <f t="shared" si="45"/>
        <v>0</v>
      </c>
      <c r="W62" s="647">
        <f t="shared" si="45"/>
        <v>0</v>
      </c>
      <c r="X62" s="647">
        <f t="shared" si="45"/>
        <v>0</v>
      </c>
      <c r="Y62" s="1128">
        <f t="shared" si="45"/>
        <v>0</v>
      </c>
    </row>
    <row r="63" spans="2:25" ht="15" thickBot="1">
      <c r="B63" s="114"/>
      <c r="C63" s="409"/>
      <c r="D63" s="409"/>
      <c r="E63" s="409"/>
      <c r="F63" s="409"/>
      <c r="G63" s="409"/>
      <c r="H63" s="409"/>
      <c r="I63" s="409"/>
      <c r="J63" s="409"/>
      <c r="K63" s="409"/>
      <c r="L63" s="409"/>
      <c r="M63" s="409"/>
      <c r="N63" s="409"/>
      <c r="O63" s="409"/>
      <c r="P63" s="409"/>
      <c r="Q63" s="409"/>
      <c r="R63" s="409"/>
      <c r="S63" s="409"/>
      <c r="T63" s="409"/>
      <c r="U63" s="409"/>
      <c r="V63" s="409"/>
      <c r="W63" s="409"/>
      <c r="X63" s="409"/>
      <c r="Y63" s="113"/>
    </row>
    <row r="65" spans="2:15">
      <c r="B65" s="3" t="s">
        <v>858</v>
      </c>
      <c r="C65" s="221" t="s">
        <v>414</v>
      </c>
      <c r="D65" s="221" t="s">
        <v>857</v>
      </c>
      <c r="E65" s="3" t="s">
        <v>347</v>
      </c>
    </row>
    <row r="66" spans="2:15">
      <c r="B66" s="201"/>
      <c r="C66" s="202"/>
      <c r="D66" s="2"/>
      <c r="G66" s="201"/>
      <c r="I66" s="697"/>
      <c r="J66" s="199"/>
    </row>
    <row r="67" spans="2:15">
      <c r="B67" s="1" t="s">
        <v>1348</v>
      </c>
      <c r="C67" s="529">
        <f>'ERR &amp; Sensitivity Analysis'!D13</f>
        <v>3286</v>
      </c>
      <c r="D67" s="1"/>
      <c r="E67" s="1"/>
      <c r="M67" s="1"/>
      <c r="N67" s="1"/>
      <c r="O67" s="1"/>
    </row>
    <row r="68" spans="2:15">
      <c r="B68" s="879" t="s">
        <v>1349</v>
      </c>
      <c r="C68" s="880">
        <f>Health!B15</f>
        <v>9.5195014198180701</v>
      </c>
      <c r="D68" s="879"/>
      <c r="E68" s="879"/>
      <c r="M68" s="879"/>
      <c r="N68" s="879"/>
      <c r="O68" s="879"/>
    </row>
    <row r="69" spans="2:15">
      <c r="B69" s="68" t="s">
        <v>1326</v>
      </c>
      <c r="C69" s="202" t="s">
        <v>1750</v>
      </c>
      <c r="D69" s="646">
        <f>Health!B18</f>
        <v>1.1725108551129682</v>
      </c>
      <c r="E69" s="68" t="s">
        <v>732</v>
      </c>
      <c r="K69" s="645">
        <v>1.0111131939094551</v>
      </c>
    </row>
    <row r="70" spans="2:15">
      <c r="B70" s="201" t="s">
        <v>897</v>
      </c>
      <c r="C70" s="200" t="s">
        <v>224</v>
      </c>
      <c r="D70" s="289">
        <v>0.42</v>
      </c>
      <c r="E70" s="288" t="s">
        <v>577</v>
      </c>
      <c r="K70" s="645">
        <v>0.92156916629166652</v>
      </c>
    </row>
    <row r="71" spans="2:15">
      <c r="B71" s="68" t="s">
        <v>856</v>
      </c>
      <c r="C71" s="202" t="s">
        <v>409</v>
      </c>
      <c r="D71" s="644">
        <f>F72*ERR!C37+'Time Savings'!G72*ERR!D37+'Time Savings'!H72*ERR!E37</f>
        <v>1.0427498138366833</v>
      </c>
      <c r="E71" s="201" t="s">
        <v>898</v>
      </c>
      <c r="F71" s="201" t="s">
        <v>899</v>
      </c>
      <c r="G71" s="201" t="s">
        <v>1350</v>
      </c>
      <c r="H71" s="201" t="s">
        <v>900</v>
      </c>
      <c r="J71" s="68" t="s">
        <v>418</v>
      </c>
      <c r="K71" s="207">
        <f>(K70-K69)/K69</f>
        <v>-8.8559844888946443E-2</v>
      </c>
    </row>
    <row r="72" spans="2:15">
      <c r="C72" s="202"/>
      <c r="D72" s="630"/>
      <c r="F72" s="68">
        <f>0.4*1.01</f>
        <v>0.40400000000000003</v>
      </c>
      <c r="G72" s="645">
        <f>(C67/C68)*(1-D70)/(24*8)</f>
        <v>1.0427498138366833</v>
      </c>
      <c r="H72" s="645">
        <f>D69*(1-(0.42-0.35))</f>
        <v>1.0904350952550603</v>
      </c>
    </row>
    <row r="73" spans="2:15">
      <c r="B73" s="208" t="s">
        <v>855</v>
      </c>
      <c r="C73" s="200" t="s">
        <v>854</v>
      </c>
      <c r="D73" s="202">
        <v>4.93</v>
      </c>
      <c r="E73" s="68" t="s">
        <v>849</v>
      </c>
    </row>
    <row r="74" spans="2:15">
      <c r="B74" s="208" t="s">
        <v>853</v>
      </c>
      <c r="C74" s="200" t="s">
        <v>852</v>
      </c>
      <c r="D74" s="202">
        <v>2</v>
      </c>
      <c r="E74" s="68" t="s">
        <v>540</v>
      </c>
    </row>
    <row r="75" spans="2:15">
      <c r="B75" s="208" t="s">
        <v>851</v>
      </c>
      <c r="C75" s="200" t="s">
        <v>847</v>
      </c>
      <c r="D75" s="643">
        <f>25.7*2*H75</f>
        <v>51.4</v>
      </c>
      <c r="E75" s="68" t="s">
        <v>846</v>
      </c>
      <c r="H75" s="642">
        <v>1</v>
      </c>
      <c r="I75" s="68" t="s">
        <v>421</v>
      </c>
      <c r="K75" s="68">
        <v>51.4</v>
      </c>
    </row>
    <row r="76" spans="2:15">
      <c r="B76" s="208" t="s">
        <v>850</v>
      </c>
      <c r="C76" s="200" t="s">
        <v>847</v>
      </c>
      <c r="D76" s="202">
        <f>15*2</f>
        <v>30</v>
      </c>
      <c r="E76" s="68" t="s">
        <v>849</v>
      </c>
      <c r="K76" s="641">
        <v>37.572585290629199</v>
      </c>
    </row>
    <row r="77" spans="2:15">
      <c r="B77" s="208" t="s">
        <v>848</v>
      </c>
      <c r="C77" s="200" t="s">
        <v>847</v>
      </c>
      <c r="D77" s="200">
        <v>35.799999999999997</v>
      </c>
      <c r="E77" s="68" t="s">
        <v>846</v>
      </c>
      <c r="J77" s="68" t="s">
        <v>418</v>
      </c>
      <c r="K77" s="640">
        <f>(K76-K75)/K75</f>
        <v>-0.26901585037686382</v>
      </c>
    </row>
    <row r="78" spans="2:15">
      <c r="B78" s="208" t="s">
        <v>842</v>
      </c>
      <c r="C78" s="200" t="s">
        <v>840</v>
      </c>
      <c r="D78" s="287">
        <f>($D$73/$D$74)*(D75+$D$77)*365/60</f>
        <v>1307.6003333333329</v>
      </c>
      <c r="E78" s="68" t="s">
        <v>845</v>
      </c>
    </row>
    <row r="79" spans="2:15">
      <c r="B79" s="208" t="s">
        <v>841</v>
      </c>
      <c r="C79" s="200" t="s">
        <v>840</v>
      </c>
      <c r="D79" s="287">
        <f>($D$73/$D$74)*(D76+$D$77)*365/60</f>
        <v>986.6984166666665</v>
      </c>
      <c r="E79" s="639" t="s">
        <v>844</v>
      </c>
    </row>
    <row r="80" spans="2:15">
      <c r="B80" s="638" t="s">
        <v>843</v>
      </c>
      <c r="C80" s="200"/>
      <c r="D80" s="630"/>
    </row>
    <row r="81" spans="2:11">
      <c r="B81" s="285" t="s">
        <v>842</v>
      </c>
      <c r="C81" s="200" t="s">
        <v>840</v>
      </c>
      <c r="D81" s="287">
        <f>110%*D79</f>
        <v>1085.3682583333332</v>
      </c>
      <c r="E81" s="639" t="s">
        <v>1712</v>
      </c>
    </row>
    <row r="82" spans="2:11">
      <c r="B82" s="285" t="s">
        <v>842</v>
      </c>
      <c r="C82" s="200" t="s">
        <v>840</v>
      </c>
      <c r="D82" s="287">
        <f>10%*D79</f>
        <v>98.669841666666656</v>
      </c>
      <c r="E82" s="68" t="s">
        <v>1713</v>
      </c>
    </row>
    <row r="83" spans="2:11">
      <c r="B83" s="285" t="s">
        <v>841</v>
      </c>
      <c r="C83" s="200" t="s">
        <v>840</v>
      </c>
      <c r="D83" s="287">
        <v>0</v>
      </c>
      <c r="E83" s="68" t="s">
        <v>839</v>
      </c>
    </row>
    <row r="84" spans="2:11">
      <c r="B84" s="638"/>
      <c r="C84" s="202"/>
      <c r="D84" s="630"/>
    </row>
    <row r="85" spans="2:11">
      <c r="B85" s="202"/>
      <c r="C85" s="308" t="s">
        <v>835</v>
      </c>
    </row>
    <row r="86" spans="2:11">
      <c r="B86" s="202"/>
      <c r="C86" s="636" t="s">
        <v>838</v>
      </c>
      <c r="D86" s="637"/>
      <c r="E86" s="637"/>
    </row>
    <row r="87" spans="2:11" ht="15" customHeight="1">
      <c r="B87" s="594" t="s">
        <v>833</v>
      </c>
      <c r="C87" s="635" t="s">
        <v>820</v>
      </c>
      <c r="D87" s="65"/>
      <c r="E87" s="634" t="s">
        <v>326</v>
      </c>
      <c r="I87" s="1376" t="s">
        <v>832</v>
      </c>
      <c r="J87" s="1376" t="s">
        <v>831</v>
      </c>
      <c r="K87" s="1376" t="s">
        <v>830</v>
      </c>
    </row>
    <row r="88" spans="2:11" ht="15" customHeight="1">
      <c r="C88" s="630"/>
      <c r="I88" s="1376"/>
      <c r="J88" s="1376"/>
      <c r="K88" s="1376"/>
    </row>
    <row r="89" spans="2:11">
      <c r="B89" s="594" t="s">
        <v>829</v>
      </c>
      <c r="C89" s="632" t="s">
        <v>819</v>
      </c>
      <c r="E89" s="630"/>
      <c r="I89" s="202" t="s">
        <v>224</v>
      </c>
      <c r="J89" s="202" t="s">
        <v>224</v>
      </c>
      <c r="K89" s="202" t="s">
        <v>224</v>
      </c>
    </row>
    <row r="90" spans="2:11">
      <c r="B90" s="594"/>
      <c r="C90" s="293">
        <v>0</v>
      </c>
      <c r="E90" s="630"/>
      <c r="F90" s="594" t="s">
        <v>425</v>
      </c>
      <c r="G90" s="293">
        <f>E93</f>
        <v>0</v>
      </c>
      <c r="H90" s="68" t="s">
        <v>61</v>
      </c>
      <c r="I90" s="305">
        <f>IFERROR(G90/$G$95,0)</f>
        <v>0</v>
      </c>
      <c r="J90" s="631"/>
      <c r="K90" s="305">
        <f>IFERROR(G90/$K$96,0)</f>
        <v>0</v>
      </c>
    </row>
    <row r="91" spans="2:11">
      <c r="B91" s="594"/>
      <c r="C91" s="630"/>
      <c r="E91" s="630"/>
      <c r="F91" s="594" t="s">
        <v>424</v>
      </c>
      <c r="G91" s="293">
        <f>E93-G90</f>
        <v>0</v>
      </c>
      <c r="H91" s="68" t="s">
        <v>62</v>
      </c>
      <c r="I91" s="305">
        <f>IFERROR(G91/$G$95,0)</f>
        <v>0</v>
      </c>
      <c r="J91" s="305">
        <f>G91</f>
        <v>0</v>
      </c>
      <c r="K91" s="633"/>
    </row>
    <row r="92" spans="2:11">
      <c r="B92" s="594" t="s">
        <v>828</v>
      </c>
      <c r="C92" s="632" t="s">
        <v>818</v>
      </c>
      <c r="E92" s="632" t="s">
        <v>818</v>
      </c>
      <c r="F92" s="594" t="s">
        <v>827</v>
      </c>
      <c r="G92" s="293">
        <f>C90-G90</f>
        <v>0</v>
      </c>
      <c r="H92" s="68" t="s">
        <v>61</v>
      </c>
      <c r="I92" s="305">
        <f>IFERROR(G92/$G$95,0)</f>
        <v>0</v>
      </c>
      <c r="J92" s="631"/>
      <c r="K92" s="305">
        <f>IFERROR(G92/$K$96,0)</f>
        <v>0</v>
      </c>
    </row>
    <row r="93" spans="2:11">
      <c r="B93" s="594"/>
      <c r="C93" s="293">
        <v>0</v>
      </c>
      <c r="E93" s="293">
        <f>C90*(E113/(E113+E116))</f>
        <v>0</v>
      </c>
      <c r="F93" s="425" t="s">
        <v>826</v>
      </c>
      <c r="G93" s="293">
        <f>E96-C96-G92</f>
        <v>0</v>
      </c>
      <c r="H93" s="201" t="s">
        <v>61</v>
      </c>
      <c r="I93" s="305">
        <f>IFERROR(G93/$G$95,0)</f>
        <v>0</v>
      </c>
      <c r="J93" s="631"/>
      <c r="K93" s="305">
        <f>IFERROR(G93/$K$96,0)</f>
        <v>0</v>
      </c>
    </row>
    <row r="94" spans="2:11">
      <c r="B94" s="594"/>
      <c r="C94" s="630"/>
      <c r="E94" s="293"/>
      <c r="F94" s="425" t="s">
        <v>825</v>
      </c>
      <c r="G94" s="629">
        <f>E96-G92</f>
        <v>0</v>
      </c>
      <c r="H94" s="65" t="s">
        <v>62</v>
      </c>
      <c r="I94" s="628">
        <f>IFERROR(G94/$G$95,0)</f>
        <v>0</v>
      </c>
      <c r="J94" s="628">
        <f>G94</f>
        <v>0</v>
      </c>
      <c r="K94" s="627"/>
    </row>
    <row r="95" spans="2:11">
      <c r="B95" s="594" t="s">
        <v>824</v>
      </c>
      <c r="C95" s="210" t="s">
        <v>788</v>
      </c>
      <c r="E95" s="210" t="s">
        <v>788</v>
      </c>
      <c r="F95" s="425" t="s">
        <v>823</v>
      </c>
      <c r="G95" s="293">
        <f>SUM(G90:G94)</f>
        <v>0</v>
      </c>
      <c r="I95" s="305">
        <f>SUM(I90:I94)</f>
        <v>0</v>
      </c>
      <c r="J95" s="305" t="s">
        <v>598</v>
      </c>
      <c r="K95" s="305">
        <f>SUM(K90:K94)</f>
        <v>0</v>
      </c>
    </row>
    <row r="96" spans="2:11">
      <c r="B96" s="202"/>
      <c r="C96" s="293">
        <v>0</v>
      </c>
      <c r="E96" s="293">
        <f>C90*(E116/(E113+E116))</f>
        <v>0</v>
      </c>
      <c r="I96" s="293">
        <f>G95</f>
        <v>0</v>
      </c>
      <c r="J96" s="293">
        <f>G91+G94</f>
        <v>0</v>
      </c>
      <c r="K96" s="293">
        <f>G90+G92+G93</f>
        <v>0</v>
      </c>
    </row>
    <row r="97" spans="2:11">
      <c r="B97" s="202"/>
      <c r="C97" s="308"/>
      <c r="G97" s="594" t="s">
        <v>822</v>
      </c>
      <c r="H97" s="130" t="s">
        <v>326</v>
      </c>
      <c r="I97" s="130"/>
      <c r="J97" s="130"/>
    </row>
    <row r="98" spans="2:11" ht="15" thickBot="1">
      <c r="B98" s="202"/>
      <c r="C98" s="308"/>
      <c r="H98" s="351" t="s">
        <v>819</v>
      </c>
      <c r="I98" s="202" t="s">
        <v>818</v>
      </c>
      <c r="J98" s="626" t="s">
        <v>788</v>
      </c>
      <c r="K98" s="201" t="s">
        <v>821</v>
      </c>
    </row>
    <row r="99" spans="2:11">
      <c r="B99" s="202"/>
      <c r="C99" s="308"/>
      <c r="F99" s="619" t="s">
        <v>820</v>
      </c>
      <c r="G99" s="625" t="s">
        <v>819</v>
      </c>
      <c r="H99" s="624">
        <f>IFERROR(0/(G90+G92),0)</f>
        <v>0</v>
      </c>
      <c r="I99" s="623">
        <f>IFERROR(G90/(G90+G92),0)</f>
        <v>0</v>
      </c>
      <c r="J99" s="622">
        <f>IFERROR(G92/(G90+G92),0)</f>
        <v>0</v>
      </c>
      <c r="K99" s="85">
        <f>SUM(H99:J99)</f>
        <v>0</v>
      </c>
    </row>
    <row r="100" spans="2:11">
      <c r="B100" s="202"/>
      <c r="C100" s="308"/>
      <c r="F100" s="619"/>
      <c r="G100" s="202" t="s">
        <v>818</v>
      </c>
      <c r="H100" s="621" t="s">
        <v>598</v>
      </c>
      <c r="I100" s="305" t="s">
        <v>598</v>
      </c>
      <c r="J100" s="620" t="s">
        <v>598</v>
      </c>
      <c r="K100" s="85">
        <f>SUM(H100:J100)</f>
        <v>0</v>
      </c>
    </row>
    <row r="101" spans="2:11" ht="15" thickBot="1">
      <c r="B101" s="202"/>
      <c r="C101" s="308"/>
      <c r="F101" s="619"/>
      <c r="G101" s="130" t="s">
        <v>788</v>
      </c>
      <c r="H101" s="618" t="s">
        <v>598</v>
      </c>
      <c r="I101" s="617" t="s">
        <v>598</v>
      </c>
      <c r="J101" s="616" t="s">
        <v>598</v>
      </c>
      <c r="K101" s="85">
        <f>SUM(H101:J101)</f>
        <v>0</v>
      </c>
    </row>
    <row r="102" spans="2:11">
      <c r="B102" s="202"/>
      <c r="C102" s="308"/>
      <c r="H102" s="202"/>
      <c r="I102" s="202" t="s">
        <v>790</v>
      </c>
      <c r="J102" s="202" t="s">
        <v>789</v>
      </c>
    </row>
    <row r="103" spans="2:11">
      <c r="B103" s="202"/>
      <c r="C103" s="308"/>
      <c r="H103" s="202"/>
      <c r="I103" s="202" t="s">
        <v>793</v>
      </c>
      <c r="J103" s="202" t="s">
        <v>566</v>
      </c>
    </row>
    <row r="104" spans="2:11">
      <c r="B104" s="202"/>
      <c r="C104" s="308"/>
      <c r="H104" s="202"/>
      <c r="I104" s="202"/>
      <c r="J104" s="202" t="s">
        <v>792</v>
      </c>
    </row>
    <row r="105" spans="2:11">
      <c r="B105" s="202"/>
      <c r="C105" s="308"/>
    </row>
    <row r="106" spans="2:11">
      <c r="B106" s="202"/>
      <c r="C106" s="636" t="s">
        <v>837</v>
      </c>
    </row>
    <row r="107" spans="2:11">
      <c r="B107" s="594" t="s">
        <v>833</v>
      </c>
      <c r="C107" s="635" t="s">
        <v>820</v>
      </c>
      <c r="D107" s="65"/>
      <c r="E107" s="634" t="s">
        <v>326</v>
      </c>
      <c r="I107" s="1376" t="s">
        <v>832</v>
      </c>
      <c r="J107" s="1376" t="s">
        <v>831</v>
      </c>
      <c r="K107" s="1376" t="s">
        <v>830</v>
      </c>
    </row>
    <row r="108" spans="2:11">
      <c r="C108" s="630"/>
      <c r="I108" s="1376"/>
      <c r="J108" s="1376"/>
      <c r="K108" s="1376"/>
    </row>
    <row r="109" spans="2:11">
      <c r="B109" s="594" t="s">
        <v>829</v>
      </c>
      <c r="C109" s="632" t="s">
        <v>819</v>
      </c>
      <c r="E109" s="630"/>
      <c r="I109" s="202" t="s">
        <v>224</v>
      </c>
      <c r="J109" s="202" t="s">
        <v>224</v>
      </c>
      <c r="K109" s="202" t="s">
        <v>224</v>
      </c>
    </row>
    <row r="110" spans="2:11">
      <c r="B110" s="594"/>
      <c r="C110" s="293">
        <v>116352.01560552235</v>
      </c>
      <c r="D110" s="201"/>
      <c r="E110" s="630"/>
      <c r="F110" s="594" t="s">
        <v>425</v>
      </c>
      <c r="G110" s="293">
        <v>29622.665015437844</v>
      </c>
      <c r="H110" s="68" t="s">
        <v>61</v>
      </c>
      <c r="I110" s="305">
        <f>G110/$G$115</f>
        <v>0.11844220175621401</v>
      </c>
      <c r="J110" s="631"/>
      <c r="K110" s="305">
        <f>G110/$K$116</f>
        <v>0.2545952028529524</v>
      </c>
    </row>
    <row r="111" spans="2:11">
      <c r="B111" s="594"/>
      <c r="C111" s="630"/>
      <c r="E111" s="630"/>
      <c r="F111" s="594" t="s">
        <v>424</v>
      </c>
      <c r="G111" s="293">
        <f>E113-G110</f>
        <v>25406.535044767486</v>
      </c>
      <c r="H111" s="68" t="s">
        <v>62</v>
      </c>
      <c r="I111" s="305">
        <f>G111/$G$115</f>
        <v>0.10158457883956172</v>
      </c>
      <c r="J111" s="305">
        <f>G111/$J$116</f>
        <v>0.1899550230113107</v>
      </c>
      <c r="K111" s="633"/>
    </row>
    <row r="112" spans="2:11">
      <c r="B112" s="594" t="s">
        <v>828</v>
      </c>
      <c r="C112" s="632" t="s">
        <v>818</v>
      </c>
      <c r="E112" s="632" t="s">
        <v>818</v>
      </c>
      <c r="F112" s="594" t="s">
        <v>827</v>
      </c>
      <c r="G112" s="293">
        <f>C110-G110</f>
        <v>86729.350590084505</v>
      </c>
      <c r="H112" s="68" t="s">
        <v>61</v>
      </c>
      <c r="I112" s="305">
        <f>G112/$G$115</f>
        <v>0.34677552595023914</v>
      </c>
      <c r="J112" s="631"/>
      <c r="K112" s="305">
        <f>G112/$K$116</f>
        <v>0.74540479714704766</v>
      </c>
    </row>
    <row r="113" spans="2:11">
      <c r="B113" s="594"/>
      <c r="C113" s="293">
        <v>25406.535044767486</v>
      </c>
      <c r="D113" s="201"/>
      <c r="E113" s="293">
        <v>55029.20006020533</v>
      </c>
      <c r="F113" s="425" t="s">
        <v>826</v>
      </c>
      <c r="G113" s="293">
        <f>E116-C116-G112</f>
        <v>0</v>
      </c>
      <c r="H113" s="201" t="s">
        <v>61</v>
      </c>
      <c r="I113" s="305">
        <f>G113/$G$115</f>
        <v>0</v>
      </c>
      <c r="J113" s="631"/>
      <c r="K113" s="305">
        <f>G113/$K$116</f>
        <v>0</v>
      </c>
    </row>
    <row r="114" spans="2:11">
      <c r="B114" s="594"/>
      <c r="C114" s="630"/>
      <c r="E114" s="293"/>
      <c r="F114" s="425" t="s">
        <v>825</v>
      </c>
      <c r="G114" s="629">
        <f>E116-G112</f>
        <v>108343.73195003936</v>
      </c>
      <c r="H114" s="65" t="s">
        <v>62</v>
      </c>
      <c r="I114" s="628">
        <f>G114/$G$115</f>
        <v>0.43319769345398512</v>
      </c>
      <c r="J114" s="628">
        <f>G114/$J$116</f>
        <v>0.81004497698868927</v>
      </c>
      <c r="K114" s="627"/>
    </row>
    <row r="115" spans="2:11">
      <c r="B115" s="594" t="s">
        <v>824</v>
      </c>
      <c r="C115" s="210" t="s">
        <v>788</v>
      </c>
      <c r="D115" s="201"/>
      <c r="E115" s="210" t="s">
        <v>788</v>
      </c>
      <c r="F115" s="425" t="s">
        <v>823</v>
      </c>
      <c r="G115" s="293">
        <f>SUM(G110:G114)</f>
        <v>250102.2826003292</v>
      </c>
      <c r="I115" s="305">
        <f>SUM(I110:I114)</f>
        <v>1</v>
      </c>
      <c r="J115" s="305">
        <f>SUM(J110:J114)</f>
        <v>1</v>
      </c>
      <c r="K115" s="305">
        <f>SUM(K110:K114)</f>
        <v>1</v>
      </c>
    </row>
    <row r="116" spans="2:11">
      <c r="B116" s="202"/>
      <c r="C116" s="293">
        <v>108343.73195003936</v>
      </c>
      <c r="D116" s="201"/>
      <c r="E116" s="293">
        <v>195073.08254012387</v>
      </c>
      <c r="F116" s="208"/>
      <c r="I116" s="293">
        <f>G115</f>
        <v>250102.2826003292</v>
      </c>
      <c r="J116" s="293">
        <f>G111+G114</f>
        <v>133750.26699480685</v>
      </c>
      <c r="K116" s="293">
        <f>G110+G112+G113</f>
        <v>116352.01560552235</v>
      </c>
    </row>
    <row r="117" spans="2:11">
      <c r="B117" s="202"/>
      <c r="C117" s="202"/>
      <c r="G117" s="594" t="s">
        <v>822</v>
      </c>
      <c r="H117" s="130" t="s">
        <v>326</v>
      </c>
      <c r="I117" s="130"/>
      <c r="J117" s="130"/>
    </row>
    <row r="118" spans="2:11" ht="15" thickBot="1">
      <c r="B118" s="202"/>
      <c r="C118" s="202"/>
      <c r="H118" s="351" t="s">
        <v>819</v>
      </c>
      <c r="I118" s="202" t="s">
        <v>818</v>
      </c>
      <c r="J118" s="626" t="s">
        <v>788</v>
      </c>
      <c r="K118" s="201" t="s">
        <v>821</v>
      </c>
    </row>
    <row r="119" spans="2:11">
      <c r="B119" s="202"/>
      <c r="C119" s="202"/>
      <c r="F119" s="619" t="s">
        <v>820</v>
      </c>
      <c r="G119" s="625" t="s">
        <v>819</v>
      </c>
      <c r="H119" s="624">
        <f>0/(G110+G112)</f>
        <v>0</v>
      </c>
      <c r="I119" s="623">
        <f>G110/(G110+G112)</f>
        <v>0.2545952028529524</v>
      </c>
      <c r="J119" s="622">
        <f>G112/(G110+G112)</f>
        <v>0.74540479714704766</v>
      </c>
      <c r="K119" s="85">
        <f>SUM(H119:J119)</f>
        <v>1</v>
      </c>
    </row>
    <row r="120" spans="2:11">
      <c r="B120" s="202"/>
      <c r="C120" s="202"/>
      <c r="F120" s="619"/>
      <c r="G120" s="202" t="s">
        <v>818</v>
      </c>
      <c r="H120" s="621">
        <f>0/(G111+G113)</f>
        <v>0</v>
      </c>
      <c r="I120" s="305">
        <f>G111/(G111+G113)</f>
        <v>1</v>
      </c>
      <c r="J120" s="620">
        <f>G113/(G111+G113)</f>
        <v>0</v>
      </c>
      <c r="K120" s="85">
        <f>SUM(H120:J120)</f>
        <v>1</v>
      </c>
    </row>
    <row r="121" spans="2:11" ht="15" thickBot="1">
      <c r="B121" s="202"/>
      <c r="C121" s="202"/>
      <c r="F121" s="619"/>
      <c r="G121" s="130" t="s">
        <v>788</v>
      </c>
      <c r="H121" s="618">
        <f>0/G114</f>
        <v>0</v>
      </c>
      <c r="I121" s="617">
        <f>0/G114</f>
        <v>0</v>
      </c>
      <c r="J121" s="616">
        <f>G114/G114</f>
        <v>1</v>
      </c>
      <c r="K121" s="85">
        <f>SUM(H121:J121)</f>
        <v>1</v>
      </c>
    </row>
    <row r="122" spans="2:11">
      <c r="H122" s="202"/>
      <c r="I122" s="202" t="s">
        <v>790</v>
      </c>
      <c r="J122" s="202" t="s">
        <v>789</v>
      </c>
    </row>
    <row r="123" spans="2:11">
      <c r="B123" s="595"/>
      <c r="C123" s="200"/>
      <c r="D123" s="286"/>
      <c r="H123" s="202"/>
      <c r="I123" s="202" t="s">
        <v>793</v>
      </c>
      <c r="J123" s="202" t="s">
        <v>566</v>
      </c>
    </row>
    <row r="124" spans="2:11">
      <c r="B124" s="595"/>
      <c r="C124" s="200"/>
      <c r="D124" s="286"/>
      <c r="H124" s="202"/>
      <c r="I124" s="202"/>
      <c r="J124" s="202" t="s">
        <v>792</v>
      </c>
    </row>
    <row r="125" spans="2:11">
      <c r="B125" s="595"/>
      <c r="C125" s="200"/>
      <c r="D125" s="286"/>
      <c r="H125" s="202"/>
      <c r="I125" s="202"/>
      <c r="J125" s="202"/>
    </row>
    <row r="126" spans="2:11">
      <c r="B126" s="202"/>
      <c r="C126" s="636" t="s">
        <v>836</v>
      </c>
    </row>
    <row r="127" spans="2:11">
      <c r="B127" s="594" t="s">
        <v>833</v>
      </c>
      <c r="C127" s="635" t="s">
        <v>820</v>
      </c>
      <c r="D127" s="65"/>
      <c r="E127" s="634" t="s">
        <v>326</v>
      </c>
      <c r="I127" s="1376" t="s">
        <v>832</v>
      </c>
      <c r="J127" s="1376" t="s">
        <v>831</v>
      </c>
      <c r="K127" s="1376" t="s">
        <v>830</v>
      </c>
    </row>
    <row r="128" spans="2:11">
      <c r="C128" s="630"/>
      <c r="I128" s="1376"/>
      <c r="J128" s="1376"/>
      <c r="K128" s="1376"/>
    </row>
    <row r="129" spans="2:11">
      <c r="B129" s="594" t="s">
        <v>829</v>
      </c>
      <c r="C129" s="632" t="s">
        <v>819</v>
      </c>
      <c r="E129" s="630"/>
      <c r="I129" s="202" t="s">
        <v>224</v>
      </c>
      <c r="J129" s="202" t="s">
        <v>224</v>
      </c>
      <c r="K129" s="202" t="s">
        <v>224</v>
      </c>
    </row>
    <row r="130" spans="2:11">
      <c r="B130" s="594"/>
      <c r="C130" s="293">
        <v>114360.26939318818</v>
      </c>
      <c r="D130" s="201"/>
      <c r="E130" s="630"/>
      <c r="F130" s="594" t="s">
        <v>425</v>
      </c>
      <c r="G130" s="293">
        <v>55465.691454962449</v>
      </c>
      <c r="H130" s="68" t="s">
        <v>61</v>
      </c>
      <c r="I130" s="305">
        <f>G130/$G$135</f>
        <v>0.10723998112154381</v>
      </c>
      <c r="J130" s="631"/>
      <c r="K130" s="305">
        <f>G130/$K$136</f>
        <v>0.48500840151279179</v>
      </c>
    </row>
    <row r="131" spans="2:11">
      <c r="B131" s="594"/>
      <c r="C131" s="630"/>
      <c r="E131" s="630"/>
      <c r="F131" s="594" t="s">
        <v>424</v>
      </c>
      <c r="G131" s="293">
        <f>E133-G130</f>
        <v>185173.88178245365</v>
      </c>
      <c r="H131" s="68" t="s">
        <v>62</v>
      </c>
      <c r="I131" s="305">
        <f>G131/$G$135</f>
        <v>0.35802390749383944</v>
      </c>
      <c r="J131" s="305">
        <f>G131/$J$136</f>
        <v>0.45965886427751179</v>
      </c>
      <c r="K131" s="633"/>
    </row>
    <row r="132" spans="2:11">
      <c r="B132" s="594" t="s">
        <v>828</v>
      </c>
      <c r="C132" s="632" t="s">
        <v>818</v>
      </c>
      <c r="E132" s="632" t="s">
        <v>818</v>
      </c>
      <c r="F132" s="594" t="s">
        <v>827</v>
      </c>
      <c r="G132" s="293">
        <f>C130-G130</f>
        <v>58894.577938225731</v>
      </c>
      <c r="H132" s="68" t="s">
        <v>61</v>
      </c>
      <c r="I132" s="305">
        <f>G132/$G$135</f>
        <v>0.11386955180005327</v>
      </c>
      <c r="J132" s="631"/>
      <c r="K132" s="305">
        <f>G132/$K$136</f>
        <v>0.51499159848720821</v>
      </c>
    </row>
    <row r="133" spans="2:11">
      <c r="B133" s="594"/>
      <c r="C133" s="293">
        <v>185173.88178245365</v>
      </c>
      <c r="D133" s="201"/>
      <c r="E133" s="293">
        <v>240639.5732374161</v>
      </c>
      <c r="F133" s="425" t="s">
        <v>826</v>
      </c>
      <c r="G133" s="293">
        <f>E136-C136-G132</f>
        <v>0</v>
      </c>
      <c r="H133" s="201" t="s">
        <v>61</v>
      </c>
      <c r="I133" s="305">
        <f>G133/$G$135</f>
        <v>0</v>
      </c>
      <c r="J133" s="631"/>
      <c r="K133" s="305">
        <f>G133/$K$116</f>
        <v>0</v>
      </c>
    </row>
    <row r="134" spans="2:11">
      <c r="B134" s="594"/>
      <c r="C134" s="630"/>
      <c r="E134" s="293"/>
      <c r="F134" s="425" t="s">
        <v>825</v>
      </c>
      <c r="G134" s="629">
        <f>E136-G132</f>
        <v>217676.78895030488</v>
      </c>
      <c r="H134" s="65" t="s">
        <v>62</v>
      </c>
      <c r="I134" s="628">
        <f>G134/$G$135</f>
        <v>0.42086655958456359</v>
      </c>
      <c r="J134" s="628">
        <f>G134/$J$136</f>
        <v>0.54034113572248821</v>
      </c>
      <c r="K134" s="627"/>
    </row>
    <row r="135" spans="2:11">
      <c r="B135" s="594" t="s">
        <v>824</v>
      </c>
      <c r="C135" s="210" t="s">
        <v>788</v>
      </c>
      <c r="E135" s="210" t="s">
        <v>788</v>
      </c>
      <c r="F135" s="425" t="s">
        <v>823</v>
      </c>
      <c r="G135" s="293">
        <f>SUM(G130:G134)</f>
        <v>517210.94012594665</v>
      </c>
      <c r="I135" s="305">
        <f>SUM(I130:I134)</f>
        <v>1.0000000000000002</v>
      </c>
      <c r="J135" s="305">
        <f>SUM(J130:J134)</f>
        <v>1</v>
      </c>
      <c r="K135" s="305">
        <f>SUM(K130:K134)</f>
        <v>1</v>
      </c>
    </row>
    <row r="136" spans="2:11">
      <c r="B136" s="202"/>
      <c r="C136" s="293">
        <v>217676.78895030488</v>
      </c>
      <c r="D136" s="201"/>
      <c r="E136" s="293">
        <v>276571.36688853061</v>
      </c>
      <c r="F136" s="208"/>
      <c r="I136" s="293">
        <f>G135</f>
        <v>517210.94012594665</v>
      </c>
      <c r="J136" s="293">
        <f>G131+G134</f>
        <v>402850.67073275853</v>
      </c>
      <c r="K136" s="293">
        <f>G130+G132+G133</f>
        <v>114360.26939318818</v>
      </c>
    </row>
    <row r="137" spans="2:11">
      <c r="B137" s="202"/>
      <c r="C137" s="202"/>
      <c r="G137" s="594" t="s">
        <v>822</v>
      </c>
      <c r="H137" s="130" t="s">
        <v>326</v>
      </c>
      <c r="I137" s="130"/>
      <c r="J137" s="130"/>
    </row>
    <row r="138" spans="2:11" ht="15" thickBot="1">
      <c r="B138" s="202"/>
      <c r="C138" s="202"/>
      <c r="H138" s="351" t="s">
        <v>819</v>
      </c>
      <c r="I138" s="202" t="s">
        <v>818</v>
      </c>
      <c r="J138" s="626" t="s">
        <v>788</v>
      </c>
      <c r="K138" s="201" t="s">
        <v>821</v>
      </c>
    </row>
    <row r="139" spans="2:11">
      <c r="B139" s="202"/>
      <c r="C139" s="202"/>
      <c r="F139" s="619" t="s">
        <v>820</v>
      </c>
      <c r="G139" s="625" t="s">
        <v>819</v>
      </c>
      <c r="H139" s="624">
        <f>0/(G130+G132)</f>
        <v>0</v>
      </c>
      <c r="I139" s="623">
        <f>G130/(G130+G132)</f>
        <v>0.48500840151279179</v>
      </c>
      <c r="J139" s="622">
        <f>G132/(G130+G132)</f>
        <v>0.51499159848720821</v>
      </c>
      <c r="K139" s="85">
        <f>SUM(H139:J139)</f>
        <v>1</v>
      </c>
    </row>
    <row r="140" spans="2:11">
      <c r="B140" s="202"/>
      <c r="C140" s="202"/>
      <c r="F140" s="619"/>
      <c r="G140" s="202" t="s">
        <v>818</v>
      </c>
      <c r="H140" s="621">
        <f>0/(G131+G133)</f>
        <v>0</v>
      </c>
      <c r="I140" s="305">
        <f>G131/(G131+G133)</f>
        <v>1</v>
      </c>
      <c r="J140" s="620">
        <f>G133/(G131+G133)</f>
        <v>0</v>
      </c>
      <c r="K140" s="85">
        <f>SUM(H140:J140)</f>
        <v>1</v>
      </c>
    </row>
    <row r="141" spans="2:11" ht="15" thickBot="1">
      <c r="B141" s="202"/>
      <c r="C141" s="202"/>
      <c r="F141" s="619"/>
      <c r="G141" s="130" t="s">
        <v>788</v>
      </c>
      <c r="H141" s="618">
        <f>0/G134</f>
        <v>0</v>
      </c>
      <c r="I141" s="617">
        <f>0/G134</f>
        <v>0</v>
      </c>
      <c r="J141" s="616">
        <f>G134/G134</f>
        <v>1</v>
      </c>
      <c r="K141" s="85">
        <f>SUM(H141:J141)</f>
        <v>1</v>
      </c>
    </row>
    <row r="142" spans="2:11">
      <c r="H142" s="202"/>
      <c r="I142" s="202" t="s">
        <v>790</v>
      </c>
      <c r="J142" s="202" t="s">
        <v>789</v>
      </c>
    </row>
    <row r="143" spans="2:11">
      <c r="B143" s="595"/>
      <c r="C143" s="200"/>
      <c r="D143" s="286"/>
      <c r="H143" s="202"/>
      <c r="I143" s="202" t="s">
        <v>793</v>
      </c>
      <c r="J143" s="202" t="s">
        <v>566</v>
      </c>
    </row>
    <row r="144" spans="2:11">
      <c r="B144" s="595"/>
      <c r="C144" s="200"/>
      <c r="D144" s="286"/>
      <c r="H144" s="202"/>
      <c r="I144" s="202"/>
      <c r="J144" s="202" t="s">
        <v>792</v>
      </c>
    </row>
    <row r="145" spans="2:11">
      <c r="C145" s="200"/>
      <c r="D145" s="286"/>
      <c r="H145" s="202"/>
      <c r="I145" s="202"/>
    </row>
    <row r="146" spans="2:11">
      <c r="B146" s="202"/>
      <c r="C146" s="308" t="s">
        <v>835</v>
      </c>
    </row>
    <row r="147" spans="2:11">
      <c r="B147" s="202"/>
      <c r="C147" s="636" t="s">
        <v>834</v>
      </c>
    </row>
    <row r="148" spans="2:11">
      <c r="B148" s="594" t="s">
        <v>833</v>
      </c>
      <c r="C148" s="635" t="s">
        <v>820</v>
      </c>
      <c r="D148" s="65"/>
      <c r="E148" s="634" t="s">
        <v>326</v>
      </c>
      <c r="I148" s="1376" t="s">
        <v>832</v>
      </c>
      <c r="J148" s="1376" t="s">
        <v>831</v>
      </c>
      <c r="K148" s="1376" t="s">
        <v>830</v>
      </c>
    </row>
    <row r="149" spans="2:11">
      <c r="C149" s="630"/>
      <c r="I149" s="1376"/>
      <c r="J149" s="1376"/>
      <c r="K149" s="1376"/>
    </row>
    <row r="150" spans="2:11">
      <c r="B150" s="594" t="s">
        <v>829</v>
      </c>
      <c r="C150" s="632" t="s">
        <v>819</v>
      </c>
      <c r="E150" s="630"/>
      <c r="I150" s="202" t="s">
        <v>224</v>
      </c>
      <c r="J150" s="202" t="s">
        <v>224</v>
      </c>
      <c r="K150" s="202" t="s">
        <v>224</v>
      </c>
    </row>
    <row r="151" spans="2:11">
      <c r="B151" s="594"/>
      <c r="C151" s="293">
        <v>35903.720722872298</v>
      </c>
      <c r="D151" s="201"/>
      <c r="E151" s="630"/>
      <c r="F151" s="594" t="s">
        <v>425</v>
      </c>
      <c r="G151" s="293">
        <v>21891.342751807853</v>
      </c>
      <c r="H151" s="68" t="s">
        <v>61</v>
      </c>
      <c r="I151" s="305">
        <f>G151/$G$156</f>
        <v>6.8718547076626585E-2</v>
      </c>
      <c r="J151" s="631"/>
      <c r="K151" s="305">
        <f>G151/K157</f>
        <v>0.60972351363746191</v>
      </c>
    </row>
    <row r="152" spans="2:11">
      <c r="B152" s="594"/>
      <c r="C152" s="630"/>
      <c r="E152" s="630"/>
      <c r="F152" s="594" t="s">
        <v>424</v>
      </c>
      <c r="G152" s="293">
        <f>E154-G151</f>
        <v>144494.25254896414</v>
      </c>
      <c r="H152" s="68" t="s">
        <v>62</v>
      </c>
      <c r="I152" s="305">
        <f>G152/$G$156</f>
        <v>0.45357816597467332</v>
      </c>
      <c r="J152" s="305">
        <f>G152/J157</f>
        <v>0.51119174529096523</v>
      </c>
      <c r="K152" s="633"/>
    </row>
    <row r="153" spans="2:11">
      <c r="B153" s="594" t="s">
        <v>828</v>
      </c>
      <c r="C153" s="632" t="s">
        <v>818</v>
      </c>
      <c r="E153" s="632" t="s">
        <v>818</v>
      </c>
      <c r="F153" s="594" t="s">
        <v>827</v>
      </c>
      <c r="G153" s="293">
        <f>C151-G151</f>
        <v>14012.377971064445</v>
      </c>
      <c r="H153" s="68" t="s">
        <v>61</v>
      </c>
      <c r="I153" s="305">
        <f>G153/$G$156</f>
        <v>4.3985892787712047E-2</v>
      </c>
      <c r="J153" s="631"/>
      <c r="K153" s="305">
        <f>G153/K157</f>
        <v>0.39027648636253803</v>
      </c>
    </row>
    <row r="154" spans="2:11">
      <c r="B154" s="594"/>
      <c r="C154" s="293">
        <v>144494.25254896414</v>
      </c>
      <c r="D154" s="201"/>
      <c r="E154" s="293">
        <v>166385.59530077199</v>
      </c>
      <c r="F154" s="425" t="s">
        <v>826</v>
      </c>
      <c r="G154" s="293">
        <f>E157-C157-G153</f>
        <v>0</v>
      </c>
      <c r="H154" s="201" t="s">
        <v>61</v>
      </c>
      <c r="I154" s="305">
        <f>G154/$G$156</f>
        <v>0</v>
      </c>
      <c r="J154" s="631"/>
      <c r="K154" s="305">
        <f>G154/K157</f>
        <v>0</v>
      </c>
    </row>
    <row r="155" spans="2:11">
      <c r="B155" s="594"/>
      <c r="C155" s="630"/>
      <c r="E155" s="293"/>
      <c r="F155" s="425" t="s">
        <v>825</v>
      </c>
      <c r="G155" s="629">
        <f>E157-G153</f>
        <v>138167.3003419564</v>
      </c>
      <c r="H155" s="65" t="s">
        <v>62</v>
      </c>
      <c r="I155" s="628">
        <f>G155/$G$156</f>
        <v>0.43371739416098809</v>
      </c>
      <c r="J155" s="628">
        <f>G155/J157</f>
        <v>0.48880825470903483</v>
      </c>
      <c r="K155" s="627"/>
    </row>
    <row r="156" spans="2:11">
      <c r="B156" s="594" t="s">
        <v>824</v>
      </c>
      <c r="C156" s="210" t="s">
        <v>788</v>
      </c>
      <c r="E156" s="210" t="s">
        <v>788</v>
      </c>
      <c r="F156" s="425" t="s">
        <v>823</v>
      </c>
      <c r="G156" s="293">
        <f>SUM(G151:G155)</f>
        <v>318565.27361379284</v>
      </c>
      <c r="I156" s="305">
        <f>SUM(I151:I155)</f>
        <v>1</v>
      </c>
      <c r="J156" s="305">
        <f>SUM(J151:J155)</f>
        <v>1</v>
      </c>
      <c r="K156" s="305">
        <f>SUM(K151:K155)</f>
        <v>1</v>
      </c>
    </row>
    <row r="157" spans="2:11">
      <c r="B157" s="202"/>
      <c r="C157" s="293">
        <v>138167.3003419564</v>
      </c>
      <c r="D157" s="201"/>
      <c r="E157" s="293">
        <v>152179.67831302085</v>
      </c>
      <c r="F157" s="208"/>
      <c r="I157" s="293">
        <f>G156</f>
        <v>318565.27361379284</v>
      </c>
      <c r="J157" s="293">
        <f>G152+G155</f>
        <v>282661.55289092055</v>
      </c>
      <c r="K157" s="293">
        <f>G151+G153+G154</f>
        <v>35903.720722872298</v>
      </c>
    </row>
    <row r="158" spans="2:11">
      <c r="B158" s="202"/>
      <c r="C158" s="202"/>
      <c r="G158" s="594" t="s">
        <v>822</v>
      </c>
      <c r="H158" s="130" t="s">
        <v>326</v>
      </c>
      <c r="I158" s="130"/>
      <c r="J158" s="130"/>
    </row>
    <row r="159" spans="2:11" ht="15" thickBot="1">
      <c r="B159" s="202"/>
      <c r="C159" s="202"/>
      <c r="H159" s="351" t="s">
        <v>819</v>
      </c>
      <c r="I159" s="202" t="s">
        <v>818</v>
      </c>
      <c r="J159" s="626" t="s">
        <v>788</v>
      </c>
      <c r="K159" s="201" t="s">
        <v>821</v>
      </c>
    </row>
    <row r="160" spans="2:11">
      <c r="B160" s="202"/>
      <c r="C160" s="202"/>
      <c r="F160" s="619" t="s">
        <v>820</v>
      </c>
      <c r="G160" s="625" t="s">
        <v>819</v>
      </c>
      <c r="H160" s="624">
        <f>0/(G151+G153)</f>
        <v>0</v>
      </c>
      <c r="I160" s="623">
        <f>G151/(G151+G153)</f>
        <v>0.60972351363746191</v>
      </c>
      <c r="J160" s="622">
        <f>G153/(G151+G153)</f>
        <v>0.39027648636253803</v>
      </c>
      <c r="K160" s="85">
        <f>SUM(H160:J160)</f>
        <v>1</v>
      </c>
    </row>
    <row r="161" spans="2:14">
      <c r="B161" s="202"/>
      <c r="C161" s="202"/>
      <c r="F161" s="619"/>
      <c r="G161" s="202" t="s">
        <v>818</v>
      </c>
      <c r="H161" s="621">
        <f>0/(G152+G154)</f>
        <v>0</v>
      </c>
      <c r="I161" s="305">
        <f>G152/(G152+G154)</f>
        <v>1</v>
      </c>
      <c r="J161" s="620">
        <f>G154/(G152+G154)</f>
        <v>0</v>
      </c>
      <c r="K161" s="85">
        <f>SUM(H161:J161)</f>
        <v>1</v>
      </c>
    </row>
    <row r="162" spans="2:14" ht="15" thickBot="1">
      <c r="B162" s="202"/>
      <c r="C162" s="202"/>
      <c r="F162" s="619"/>
      <c r="G162" s="130" t="s">
        <v>788</v>
      </c>
      <c r="H162" s="618">
        <f>0/G155</f>
        <v>0</v>
      </c>
      <c r="I162" s="617">
        <f>0/G155</f>
        <v>0</v>
      </c>
      <c r="J162" s="616">
        <f>G155/G155</f>
        <v>1</v>
      </c>
      <c r="K162" s="85">
        <f>SUM(H162:J162)</f>
        <v>1</v>
      </c>
    </row>
    <row r="163" spans="2:14">
      <c r="H163" s="202"/>
      <c r="I163" s="202" t="s">
        <v>790</v>
      </c>
      <c r="J163" s="202" t="s">
        <v>789</v>
      </c>
    </row>
    <row r="164" spans="2:14">
      <c r="B164" s="595"/>
      <c r="C164" s="200"/>
      <c r="D164" s="286"/>
      <c r="H164" s="202"/>
      <c r="I164" s="202" t="s">
        <v>793</v>
      </c>
      <c r="J164" s="202" t="s">
        <v>566</v>
      </c>
    </row>
    <row r="165" spans="2:14">
      <c r="B165" s="595"/>
      <c r="C165" s="200"/>
      <c r="D165" s="286"/>
      <c r="H165" s="202"/>
      <c r="I165" s="202"/>
      <c r="J165" s="202" t="s">
        <v>792</v>
      </c>
    </row>
    <row r="166" spans="2:14">
      <c r="B166" s="595"/>
      <c r="C166" s="200"/>
      <c r="D166" s="286"/>
      <c r="H166" s="202"/>
      <c r="I166" s="202"/>
      <c r="J166" s="202"/>
    </row>
    <row r="167" spans="2:14">
      <c r="B167" s="614" t="s">
        <v>817</v>
      </c>
      <c r="C167" s="200"/>
      <c r="D167" s="286"/>
      <c r="H167" s="202"/>
      <c r="I167" s="202"/>
      <c r="J167" s="202"/>
    </row>
    <row r="168" spans="2:14">
      <c r="B168" s="615" t="s">
        <v>816</v>
      </c>
      <c r="C168" s="200"/>
      <c r="D168" s="286"/>
      <c r="H168" s="202"/>
      <c r="I168" s="202"/>
      <c r="J168" s="202"/>
    </row>
    <row r="169" spans="2:14">
      <c r="B169" s="615" t="s">
        <v>815</v>
      </c>
      <c r="C169" s="200"/>
      <c r="D169" s="286"/>
      <c r="H169" s="202"/>
      <c r="I169" s="202"/>
      <c r="J169" s="202"/>
    </row>
    <row r="170" spans="2:14" s="201" customFormat="1">
      <c r="B170" s="614"/>
      <c r="C170" s="200"/>
      <c r="D170" s="286"/>
      <c r="H170" s="200"/>
      <c r="I170" s="200"/>
      <c r="J170" s="200"/>
    </row>
    <row r="171" spans="2:14">
      <c r="B171" s="68" t="s">
        <v>814</v>
      </c>
      <c r="C171" s="200"/>
      <c r="D171" s="286"/>
      <c r="H171" s="202"/>
      <c r="I171" s="202"/>
      <c r="J171" s="202"/>
    </row>
    <row r="172" spans="2:14">
      <c r="C172" s="200"/>
      <c r="D172" s="286"/>
      <c r="H172" s="202"/>
      <c r="I172" s="202"/>
      <c r="L172" s="202" t="s">
        <v>70</v>
      </c>
      <c r="M172" s="202" t="s">
        <v>813</v>
      </c>
      <c r="N172" s="202" t="s">
        <v>813</v>
      </c>
    </row>
    <row r="173" spans="2:14">
      <c r="B173" s="613" t="s">
        <v>812</v>
      </c>
      <c r="C173" s="200"/>
      <c r="D173" s="612" t="s">
        <v>811</v>
      </c>
      <c r="E173" s="200"/>
      <c r="F173" s="611" t="s">
        <v>25</v>
      </c>
      <c r="H173" s="611" t="s">
        <v>26</v>
      </c>
      <c r="J173" s="611" t="s">
        <v>27</v>
      </c>
      <c r="K173" s="202"/>
      <c r="L173" s="68" t="s">
        <v>810</v>
      </c>
      <c r="M173" s="202" t="s">
        <v>809</v>
      </c>
      <c r="N173" s="202" t="s">
        <v>809</v>
      </c>
    </row>
    <row r="174" spans="2:14" ht="16.5">
      <c r="B174" s="65"/>
      <c r="C174" s="65"/>
      <c r="D174" s="610" t="s">
        <v>808</v>
      </c>
      <c r="E174" s="65"/>
      <c r="F174" s="608" t="s">
        <v>807</v>
      </c>
      <c r="G174" s="609"/>
      <c r="H174" s="608" t="s">
        <v>806</v>
      </c>
      <c r="I174" s="65"/>
      <c r="J174" s="608" t="s">
        <v>805</v>
      </c>
      <c r="K174" s="202"/>
      <c r="L174" s="130" t="s">
        <v>804</v>
      </c>
      <c r="M174" s="130" t="s">
        <v>803</v>
      </c>
      <c r="N174" s="130" t="s">
        <v>802</v>
      </c>
    </row>
    <row r="175" spans="2:14">
      <c r="B175" s="605" t="s">
        <v>794</v>
      </c>
      <c r="C175" s="200" t="s">
        <v>222</v>
      </c>
      <c r="D175" s="607">
        <v>0</v>
      </c>
      <c r="E175" s="200"/>
      <c r="F175" s="184">
        <f>Health!E41</f>
        <v>133750</v>
      </c>
      <c r="H175" s="184">
        <v>0</v>
      </c>
      <c r="J175" s="184">
        <f>Health!I41</f>
        <v>282662</v>
      </c>
      <c r="K175" s="202"/>
      <c r="L175" s="293">
        <f t="shared" ref="L175:L181" si="46">SUM(D175:J175)</f>
        <v>416412</v>
      </c>
    </row>
    <row r="176" spans="2:14">
      <c r="B176" s="594" t="s">
        <v>793</v>
      </c>
      <c r="C176" s="200" t="s">
        <v>222</v>
      </c>
      <c r="D176" s="606">
        <f>J91*$D$175</f>
        <v>0</v>
      </c>
      <c r="E176" s="200"/>
      <c r="F176" s="593">
        <f>J111*$F$175</f>
        <v>25406.484327762806</v>
      </c>
      <c r="H176" s="593">
        <f>J131*$H$175</f>
        <v>0</v>
      </c>
      <c r="J176" s="593">
        <f>J152*$J$175</f>
        <v>144494.48110743481</v>
      </c>
      <c r="K176" s="202"/>
      <c r="L176" s="602">
        <f t="shared" si="46"/>
        <v>169900.96543519761</v>
      </c>
      <c r="M176" s="601">
        <f>0.25*M179</f>
        <v>4.1083333333333334</v>
      </c>
      <c r="N176" s="352">
        <f>L176*M176*365/1000</f>
        <v>254773.57687697193</v>
      </c>
    </row>
    <row r="177" spans="2:25">
      <c r="B177" s="425" t="s">
        <v>792</v>
      </c>
      <c r="C177" s="200" t="s">
        <v>222</v>
      </c>
      <c r="D177" s="606">
        <f>J94*$D$175</f>
        <v>0</v>
      </c>
      <c r="E177" s="200"/>
      <c r="F177" s="593">
        <f>J114*$F$175</f>
        <v>108343.51567223719</v>
      </c>
      <c r="H177" s="593">
        <f>J134*$H$175</f>
        <v>0</v>
      </c>
      <c r="J177" s="593">
        <f>J155*$J$175</f>
        <v>138167.51889256519</v>
      </c>
      <c r="K177" s="202"/>
      <c r="L177" s="602">
        <f t="shared" si="46"/>
        <v>246511.03456480236</v>
      </c>
      <c r="M177" s="601">
        <f>M176</f>
        <v>4.1083333333333334</v>
      </c>
      <c r="N177" s="352">
        <f>L177*M177*365/1000</f>
        <v>369653.56762302807</v>
      </c>
    </row>
    <row r="178" spans="2:25">
      <c r="B178" s="605" t="s">
        <v>791</v>
      </c>
      <c r="C178" s="200" t="s">
        <v>222</v>
      </c>
      <c r="D178" s="604">
        <v>0</v>
      </c>
      <c r="E178" s="200"/>
      <c r="F178" s="184">
        <f>Health!E42</f>
        <v>116352</v>
      </c>
      <c r="H178" s="184">
        <v>0</v>
      </c>
      <c r="J178" s="184">
        <f>Health!I42</f>
        <v>35904</v>
      </c>
      <c r="K178" s="202"/>
      <c r="L178" s="293">
        <f t="shared" si="46"/>
        <v>152256</v>
      </c>
      <c r="M178" s="601"/>
    </row>
    <row r="179" spans="2:25">
      <c r="B179" s="594" t="s">
        <v>790</v>
      </c>
      <c r="C179" s="200" t="s">
        <v>222</v>
      </c>
      <c r="D179" s="603">
        <f>K90*$D$178</f>
        <v>0</v>
      </c>
      <c r="E179" s="200"/>
      <c r="F179" s="593">
        <f>K110*$F$178</f>
        <v>29622.661042346717</v>
      </c>
      <c r="H179" s="593">
        <f>K130*$H$178</f>
        <v>0</v>
      </c>
      <c r="J179" s="593">
        <f>K151*$J$178</f>
        <v>21891.513033639432</v>
      </c>
      <c r="K179" s="202"/>
      <c r="L179" s="602">
        <f t="shared" si="46"/>
        <v>51514.17407598615</v>
      </c>
      <c r="M179" s="601">
        <f>D73*20/'Time Savings'!D184</f>
        <v>16.433333333333334</v>
      </c>
      <c r="N179" s="352">
        <f>L179*M179*365/1000</f>
        <v>308990.60180344427</v>
      </c>
    </row>
    <row r="180" spans="2:25">
      <c r="B180" s="594" t="s">
        <v>789</v>
      </c>
      <c r="C180" s="200" t="s">
        <v>222</v>
      </c>
      <c r="D180" s="603">
        <f>K92*$D$178</f>
        <v>0</v>
      </c>
      <c r="E180" s="200"/>
      <c r="F180" s="593">
        <f>K112*$F$178</f>
        <v>86729.338957653294</v>
      </c>
      <c r="H180" s="593">
        <f>K132*$H$178</f>
        <v>0</v>
      </c>
      <c r="J180" s="593">
        <f>K153*$J$178</f>
        <v>14012.486966360566</v>
      </c>
      <c r="K180" s="202"/>
      <c r="L180" s="602">
        <f t="shared" si="46"/>
        <v>100741.82592401386</v>
      </c>
      <c r="M180" s="601">
        <f>M179</f>
        <v>16.433333333333334</v>
      </c>
      <c r="N180" s="352">
        <f>L180*M180*365/1000</f>
        <v>604266.26219655573</v>
      </c>
    </row>
    <row r="181" spans="2:25">
      <c r="B181" s="425" t="s">
        <v>566</v>
      </c>
      <c r="C181" s="200" t="s">
        <v>222</v>
      </c>
      <c r="D181" s="603">
        <f>K93*$D$178</f>
        <v>0</v>
      </c>
      <c r="E181" s="200"/>
      <c r="F181" s="593">
        <f>K113*$F$178</f>
        <v>0</v>
      </c>
      <c r="G181" s="201"/>
      <c r="H181" s="593">
        <f>K133*$H$178</f>
        <v>0</v>
      </c>
      <c r="J181" s="593">
        <f>K154*$J$178</f>
        <v>0</v>
      </c>
      <c r="K181" s="202"/>
      <c r="L181" s="602">
        <f t="shared" si="46"/>
        <v>0</v>
      </c>
      <c r="M181" s="601">
        <f>M180</f>
        <v>16.433333333333334</v>
      </c>
      <c r="N181" s="600">
        <f>L181*M181*365/1000</f>
        <v>0</v>
      </c>
    </row>
    <row r="182" spans="2:25">
      <c r="B182" s="290" t="s">
        <v>70</v>
      </c>
      <c r="C182" s="200"/>
      <c r="D182" s="200"/>
      <c r="E182" s="200"/>
      <c r="F182" s="184">
        <f>F175+F178</f>
        <v>250102</v>
      </c>
      <c r="J182" s="989">
        <f>J175+J178</f>
        <v>318566</v>
      </c>
      <c r="K182" s="202"/>
      <c r="L182" s="202"/>
      <c r="N182" s="532">
        <f>N176+N177+N179+N180+N181</f>
        <v>1537684.0085</v>
      </c>
    </row>
    <row r="183" spans="2:25">
      <c r="B183" s="290"/>
      <c r="C183" s="200"/>
      <c r="D183" s="592"/>
      <c r="L183" s="973"/>
      <c r="M183" s="352">
        <f>L183-38</f>
        <v>-38</v>
      </c>
    </row>
    <row r="184" spans="2:25">
      <c r="B184" s="201" t="s">
        <v>801</v>
      </c>
      <c r="C184" s="200" t="s">
        <v>800</v>
      </c>
      <c r="D184" s="202">
        <f>Assumptions!L10</f>
        <v>6</v>
      </c>
      <c r="E184" s="201" t="s">
        <v>799</v>
      </c>
    </row>
    <row r="185" spans="2:25">
      <c r="B185" s="201"/>
      <c r="C185" s="200"/>
      <c r="D185" s="200"/>
      <c r="F185" s="201"/>
    </row>
    <row r="186" spans="2:25">
      <c r="B186" s="201"/>
      <c r="C186" s="200" t="s">
        <v>798</v>
      </c>
      <c r="D186" s="202">
        <f t="shared" ref="D186:Y186" si="47">D6</f>
        <v>2012</v>
      </c>
      <c r="E186" s="202">
        <f t="shared" si="47"/>
        <v>2013</v>
      </c>
      <c r="F186" s="202">
        <f t="shared" si="47"/>
        <v>2014</v>
      </c>
      <c r="G186" s="202">
        <f t="shared" si="47"/>
        <v>2015</v>
      </c>
      <c r="H186" s="202">
        <f t="shared" si="47"/>
        <v>2016</v>
      </c>
      <c r="I186" s="202">
        <f t="shared" si="47"/>
        <v>2017</v>
      </c>
      <c r="J186" s="202">
        <f t="shared" si="47"/>
        <v>2018</v>
      </c>
      <c r="K186" s="202">
        <f t="shared" si="47"/>
        <v>2019</v>
      </c>
      <c r="L186" s="202">
        <f t="shared" si="47"/>
        <v>2020</v>
      </c>
      <c r="M186" s="202">
        <f t="shared" si="47"/>
        <v>2021</v>
      </c>
      <c r="N186" s="202">
        <f t="shared" si="47"/>
        <v>2022</v>
      </c>
      <c r="O186" s="202">
        <f t="shared" si="47"/>
        <v>2023</v>
      </c>
      <c r="P186" s="202">
        <f t="shared" si="47"/>
        <v>2024</v>
      </c>
      <c r="Q186" s="202">
        <f t="shared" si="47"/>
        <v>2025</v>
      </c>
      <c r="R186" s="202">
        <f t="shared" si="47"/>
        <v>2026</v>
      </c>
      <c r="S186" s="202">
        <f t="shared" si="47"/>
        <v>2027</v>
      </c>
      <c r="T186" s="202">
        <f t="shared" si="47"/>
        <v>2028</v>
      </c>
      <c r="U186" s="202">
        <f t="shared" si="47"/>
        <v>2029</v>
      </c>
      <c r="V186" s="202">
        <f t="shared" si="47"/>
        <v>2030</v>
      </c>
      <c r="W186" s="202">
        <f t="shared" si="47"/>
        <v>2031</v>
      </c>
      <c r="X186" s="202">
        <f t="shared" si="47"/>
        <v>2032</v>
      </c>
      <c r="Y186" s="202">
        <f t="shared" si="47"/>
        <v>2033</v>
      </c>
    </row>
    <row r="187" spans="2:25">
      <c r="B187" s="208" t="s">
        <v>797</v>
      </c>
      <c r="C187" s="200" t="s">
        <v>224</v>
      </c>
      <c r="D187" s="301">
        <f>Assumptions!E37</f>
        <v>0</v>
      </c>
      <c r="E187" s="301">
        <f>D187</f>
        <v>0</v>
      </c>
      <c r="F187" s="301">
        <f>E187</f>
        <v>0</v>
      </c>
      <c r="G187" s="301">
        <f>F187</f>
        <v>0</v>
      </c>
      <c r="H187" s="301">
        <f>G187</f>
        <v>0</v>
      </c>
      <c r="I187" s="301">
        <f>G187</f>
        <v>0</v>
      </c>
      <c r="J187" s="301">
        <f>H187</f>
        <v>0</v>
      </c>
      <c r="K187" s="301">
        <f>J187</f>
        <v>0</v>
      </c>
      <c r="L187" s="301">
        <f>K187</f>
        <v>0</v>
      </c>
      <c r="M187" s="301">
        <f>L187</f>
        <v>0</v>
      </c>
      <c r="N187" s="301">
        <f>Assumptions!E38</f>
        <v>0</v>
      </c>
      <c r="O187" s="301">
        <f t="shared" ref="O187:Y187" si="48">N187</f>
        <v>0</v>
      </c>
      <c r="P187" s="301">
        <f t="shared" si="48"/>
        <v>0</v>
      </c>
      <c r="Q187" s="301">
        <f t="shared" si="48"/>
        <v>0</v>
      </c>
      <c r="R187" s="301">
        <f t="shared" si="48"/>
        <v>0</v>
      </c>
      <c r="S187" s="301">
        <f t="shared" si="48"/>
        <v>0</v>
      </c>
      <c r="T187" s="301">
        <f t="shared" si="48"/>
        <v>0</v>
      </c>
      <c r="U187" s="301">
        <f t="shared" si="48"/>
        <v>0</v>
      </c>
      <c r="V187" s="301">
        <f t="shared" si="48"/>
        <v>0</v>
      </c>
      <c r="W187" s="301">
        <f t="shared" si="48"/>
        <v>0</v>
      </c>
      <c r="X187" s="301">
        <f t="shared" si="48"/>
        <v>0</v>
      </c>
      <c r="Y187" s="301">
        <f t="shared" si="48"/>
        <v>0</v>
      </c>
    </row>
    <row r="188" spans="2:25">
      <c r="B188" s="201" t="s">
        <v>749</v>
      </c>
      <c r="C188" s="200"/>
      <c r="D188" s="200"/>
      <c r="F188" s="201"/>
    </row>
    <row r="189" spans="2:25" ht="29">
      <c r="B189" s="599" t="s">
        <v>796</v>
      </c>
      <c r="C189" s="186" t="s">
        <v>409</v>
      </c>
      <c r="D189" s="598">
        <f>D71</f>
        <v>1.0427498138366833</v>
      </c>
      <c r="E189" s="598">
        <f>D189*(1+ Assumptions!$Q$49)</f>
        <v>1.0712193832589127</v>
      </c>
      <c r="F189" s="598">
        <f>E189*(1+ Assumptions!$Q$49)</f>
        <v>1.100466240168833</v>
      </c>
      <c r="G189" s="598">
        <f>F189*(1+ Assumptions!$Q$49)</f>
        <v>1.1305116063780409</v>
      </c>
      <c r="H189" s="598">
        <f>G189*(1+ Assumptions!$Q$49)</f>
        <v>1.1613772831044591</v>
      </c>
      <c r="I189" s="598">
        <f>H189*(1+ Assumptions!$Q$49)</f>
        <v>1.193085666791518</v>
      </c>
      <c r="J189" s="598">
        <f>I189*(1+ Assumptions!$Q$49)</f>
        <v>1.2256597653592383</v>
      </c>
      <c r="K189" s="598">
        <f>J189*(1+ Assumptions!$Q$49)</f>
        <v>1.2591232148990081</v>
      </c>
      <c r="L189" s="598">
        <f>K189*(1+ Assumptions!$Q$49)</f>
        <v>1.2935002968241673</v>
      </c>
      <c r="M189" s="598">
        <f>L189*(1+ Assumptions!$Q$49)</f>
        <v>1.3288159554888428</v>
      </c>
      <c r="N189" s="598">
        <f>M189*(1+ Assumptions!$Q$49)</f>
        <v>1.3650958162878215</v>
      </c>
      <c r="O189" s="598">
        <f>N189*(1+ Assumptions!$Q$49)</f>
        <v>1.4023662042505931</v>
      </c>
      <c r="P189" s="598">
        <f>O189*(1+ Assumptions!$Q$49)</f>
        <v>1.4406541631430545</v>
      </c>
      <c r="Q189" s="598">
        <f>P189*(1+ Assumptions!$Q$49)</f>
        <v>1.479987475090736</v>
      </c>
      <c r="R189" s="598">
        <f>Q189*(1+ Assumptions!$Q$49)</f>
        <v>1.5203946807377897</v>
      </c>
      <c r="S189" s="598">
        <f>R189*(1+ Assumptions!$Q$49)</f>
        <v>1.5619050999563659</v>
      </c>
      <c r="T189" s="598">
        <f>S189*(1+ Assumptions!$Q$49)</f>
        <v>1.6045488531214052</v>
      </c>
      <c r="U189" s="598">
        <f>T189*(1+ Assumptions!$Q$49)</f>
        <v>1.6483568829662834</v>
      </c>
      <c r="V189" s="598">
        <f>U189*(1+ Assumptions!$Q$49)</f>
        <v>1.6933609770351683</v>
      </c>
      <c r="W189" s="598">
        <f>V189*(1+ Assumptions!$Q$49)</f>
        <v>1.7395937907483796</v>
      </c>
      <c r="X189" s="598">
        <f>W189*(1+ Assumptions!$Q$49)</f>
        <v>1.7870888710974873</v>
      </c>
      <c r="Y189" s="598">
        <f>X189*(1+ Assumptions!$Q$49)</f>
        <v>1.8358806809873447</v>
      </c>
    </row>
    <row r="190" spans="2:25">
      <c r="B190" s="201"/>
      <c r="C190" s="200"/>
      <c r="D190" s="200"/>
      <c r="F190" s="201"/>
    </row>
    <row r="191" spans="2:25">
      <c r="B191" s="201" t="s">
        <v>795</v>
      </c>
      <c r="C191" s="200" t="s">
        <v>788</v>
      </c>
      <c r="D191" s="597">
        <f t="shared" ref="D191:Y191" si="49">D192+D195</f>
        <v>37683.258827238336</v>
      </c>
      <c r="E191" s="597">
        <f t="shared" si="49"/>
        <v>37683.258827238336</v>
      </c>
      <c r="F191" s="597">
        <f t="shared" si="49"/>
        <v>37683.258827238336</v>
      </c>
      <c r="G191" s="597">
        <f t="shared" si="49"/>
        <v>37683.258827238336</v>
      </c>
      <c r="H191" s="597">
        <f t="shared" si="49"/>
        <v>37683.258827238336</v>
      </c>
      <c r="I191" s="597">
        <f t="shared" si="49"/>
        <v>37683.258827238336</v>
      </c>
      <c r="J191" s="597">
        <f t="shared" si="49"/>
        <v>37683.258827238336</v>
      </c>
      <c r="K191" s="597">
        <f t="shared" si="49"/>
        <v>37683.258827238336</v>
      </c>
      <c r="L191" s="597">
        <f t="shared" si="49"/>
        <v>37683.258827238336</v>
      </c>
      <c r="M191" s="597">
        <f t="shared" si="49"/>
        <v>37683.258827238336</v>
      </c>
      <c r="N191" s="597">
        <f t="shared" si="49"/>
        <v>37683.258827238336</v>
      </c>
      <c r="O191" s="597">
        <f t="shared" si="49"/>
        <v>37683.258827238336</v>
      </c>
      <c r="P191" s="597">
        <f t="shared" si="49"/>
        <v>37683.258827238336</v>
      </c>
      <c r="Q191" s="597">
        <f t="shared" si="49"/>
        <v>37683.258827238336</v>
      </c>
      <c r="R191" s="597">
        <f t="shared" si="49"/>
        <v>37683.258827238336</v>
      </c>
      <c r="S191" s="597">
        <f t="shared" si="49"/>
        <v>37683.258827238336</v>
      </c>
      <c r="T191" s="597">
        <f t="shared" si="49"/>
        <v>37683.258827238336</v>
      </c>
      <c r="U191" s="597">
        <f t="shared" si="49"/>
        <v>37683.258827238336</v>
      </c>
      <c r="V191" s="597">
        <f t="shared" si="49"/>
        <v>37683.258827238336</v>
      </c>
      <c r="W191" s="597">
        <f t="shared" si="49"/>
        <v>37683.258827238336</v>
      </c>
      <c r="X191" s="597">
        <f t="shared" si="49"/>
        <v>37683.258827238336</v>
      </c>
      <c r="Y191" s="597">
        <f t="shared" si="49"/>
        <v>37683.258827238336</v>
      </c>
    </row>
    <row r="192" spans="2:25">
      <c r="B192" s="290" t="s">
        <v>794</v>
      </c>
      <c r="C192" s="200" t="s">
        <v>788</v>
      </c>
      <c r="D192" s="597">
        <f>D193+D194</f>
        <v>12307.258827238335</v>
      </c>
      <c r="E192" s="597">
        <f t="shared" ref="E192:Y192" si="50">E193+E194</f>
        <v>12307.258827238335</v>
      </c>
      <c r="F192" s="597">
        <f>F193+F194</f>
        <v>12307.258827238335</v>
      </c>
      <c r="G192" s="597">
        <f t="shared" si="50"/>
        <v>12307.258827238335</v>
      </c>
      <c r="H192" s="597">
        <f t="shared" si="50"/>
        <v>12307.258827238335</v>
      </c>
      <c r="I192" s="597">
        <f t="shared" si="50"/>
        <v>12307.258827238335</v>
      </c>
      <c r="J192" s="597">
        <f t="shared" si="50"/>
        <v>12307.258827238335</v>
      </c>
      <c r="K192" s="597">
        <f t="shared" si="50"/>
        <v>12307.258827238335</v>
      </c>
      <c r="L192" s="597">
        <f t="shared" si="50"/>
        <v>12307.258827238335</v>
      </c>
      <c r="M192" s="597">
        <f t="shared" si="50"/>
        <v>12307.258827238335</v>
      </c>
      <c r="N192" s="597">
        <f t="shared" si="50"/>
        <v>12307.258827238335</v>
      </c>
      <c r="O192" s="597">
        <f t="shared" si="50"/>
        <v>12307.258827238335</v>
      </c>
      <c r="P192" s="597">
        <f t="shared" si="50"/>
        <v>12307.258827238335</v>
      </c>
      <c r="Q192" s="597">
        <f t="shared" si="50"/>
        <v>12307.258827238335</v>
      </c>
      <c r="R192" s="597">
        <f t="shared" si="50"/>
        <v>12307.258827238335</v>
      </c>
      <c r="S192" s="597">
        <f t="shared" si="50"/>
        <v>12307.258827238335</v>
      </c>
      <c r="T192" s="597">
        <f t="shared" si="50"/>
        <v>12307.258827238335</v>
      </c>
      <c r="U192" s="597">
        <f t="shared" si="50"/>
        <v>12307.258827238335</v>
      </c>
      <c r="V192" s="597">
        <f t="shared" si="50"/>
        <v>12307.258827238335</v>
      </c>
      <c r="W192" s="597">
        <f t="shared" si="50"/>
        <v>12307.258827238335</v>
      </c>
      <c r="X192" s="597">
        <f t="shared" si="50"/>
        <v>12307.258827238335</v>
      </c>
      <c r="Y192" s="597">
        <f t="shared" si="50"/>
        <v>12307.258827238335</v>
      </c>
    </row>
    <row r="193" spans="2:25">
      <c r="B193" s="594" t="s">
        <v>793</v>
      </c>
      <c r="C193" s="200" t="s">
        <v>788</v>
      </c>
      <c r="D193" s="26">
        <f>ERR!$C$167*(D176+F176+H176+J176)/$D$184</f>
        <v>5021.5055200346078</v>
      </c>
      <c r="E193" s="26">
        <f t="shared" ref="E193:Y193" si="51">D193*(1+$D$187)</f>
        <v>5021.5055200346078</v>
      </c>
      <c r="F193" s="26">
        <f>E193*(1+$D$187)</f>
        <v>5021.5055200346078</v>
      </c>
      <c r="G193" s="26">
        <f t="shared" si="51"/>
        <v>5021.5055200346078</v>
      </c>
      <c r="H193" s="26">
        <f t="shared" si="51"/>
        <v>5021.5055200346078</v>
      </c>
      <c r="I193" s="26">
        <f t="shared" si="51"/>
        <v>5021.5055200346078</v>
      </c>
      <c r="J193" s="26">
        <f>I193*(1+$D$187)</f>
        <v>5021.5055200346078</v>
      </c>
      <c r="K193" s="26">
        <f t="shared" si="51"/>
        <v>5021.5055200346078</v>
      </c>
      <c r="L193" s="26">
        <f t="shared" si="51"/>
        <v>5021.5055200346078</v>
      </c>
      <c r="M193" s="26">
        <f t="shared" si="51"/>
        <v>5021.5055200346078</v>
      </c>
      <c r="N193" s="26">
        <f t="shared" si="51"/>
        <v>5021.5055200346078</v>
      </c>
      <c r="O193" s="26">
        <f t="shared" si="51"/>
        <v>5021.5055200346078</v>
      </c>
      <c r="P193" s="26">
        <f t="shared" si="51"/>
        <v>5021.5055200346078</v>
      </c>
      <c r="Q193" s="26">
        <f t="shared" si="51"/>
        <v>5021.5055200346078</v>
      </c>
      <c r="R193" s="26">
        <f t="shared" si="51"/>
        <v>5021.5055200346078</v>
      </c>
      <c r="S193" s="26">
        <f t="shared" si="51"/>
        <v>5021.5055200346078</v>
      </c>
      <c r="T193" s="26">
        <f t="shared" si="51"/>
        <v>5021.5055200346078</v>
      </c>
      <c r="U193" s="26">
        <f t="shared" si="51"/>
        <v>5021.5055200346078</v>
      </c>
      <c r="V193" s="26">
        <f t="shared" si="51"/>
        <v>5021.5055200346078</v>
      </c>
      <c r="W193" s="26">
        <f t="shared" si="51"/>
        <v>5021.5055200346078</v>
      </c>
      <c r="X193" s="26">
        <f t="shared" si="51"/>
        <v>5021.5055200346078</v>
      </c>
      <c r="Y193" s="26">
        <f t="shared" si="51"/>
        <v>5021.5055200346078</v>
      </c>
    </row>
    <row r="194" spans="2:25">
      <c r="B194" s="425" t="s">
        <v>792</v>
      </c>
      <c r="C194" s="200" t="s">
        <v>788</v>
      </c>
      <c r="D194" s="26">
        <f>ERR!$C$167*(D177+F177+H177+J177)/$D$184</f>
        <v>7285.7533072037268</v>
      </c>
      <c r="E194" s="26">
        <f t="shared" ref="E194:Y194" si="52">D194*(1+$D$187)</f>
        <v>7285.7533072037268</v>
      </c>
      <c r="F194" s="26">
        <f t="shared" si="52"/>
        <v>7285.7533072037268</v>
      </c>
      <c r="G194" s="26">
        <f t="shared" si="52"/>
        <v>7285.7533072037268</v>
      </c>
      <c r="H194" s="26">
        <f t="shared" si="52"/>
        <v>7285.7533072037268</v>
      </c>
      <c r="I194" s="26">
        <f t="shared" si="52"/>
        <v>7285.7533072037268</v>
      </c>
      <c r="J194" s="26">
        <f t="shared" si="52"/>
        <v>7285.7533072037268</v>
      </c>
      <c r="K194" s="26">
        <f t="shared" si="52"/>
        <v>7285.7533072037268</v>
      </c>
      <c r="L194" s="26">
        <f t="shared" si="52"/>
        <v>7285.7533072037268</v>
      </c>
      <c r="M194" s="26">
        <f t="shared" si="52"/>
        <v>7285.7533072037268</v>
      </c>
      <c r="N194" s="26">
        <f t="shared" si="52"/>
        <v>7285.7533072037268</v>
      </c>
      <c r="O194" s="26">
        <f t="shared" si="52"/>
        <v>7285.7533072037268</v>
      </c>
      <c r="P194" s="26">
        <f t="shared" si="52"/>
        <v>7285.7533072037268</v>
      </c>
      <c r="Q194" s="26">
        <f t="shared" si="52"/>
        <v>7285.7533072037268</v>
      </c>
      <c r="R194" s="26">
        <f t="shared" si="52"/>
        <v>7285.7533072037268</v>
      </c>
      <c r="S194" s="26">
        <f t="shared" si="52"/>
        <v>7285.7533072037268</v>
      </c>
      <c r="T194" s="26">
        <f t="shared" si="52"/>
        <v>7285.7533072037268</v>
      </c>
      <c r="U194" s="26">
        <f t="shared" si="52"/>
        <v>7285.7533072037268</v>
      </c>
      <c r="V194" s="26">
        <f t="shared" si="52"/>
        <v>7285.7533072037268</v>
      </c>
      <c r="W194" s="26">
        <f t="shared" si="52"/>
        <v>7285.7533072037268</v>
      </c>
      <c r="X194" s="26">
        <f t="shared" si="52"/>
        <v>7285.7533072037268</v>
      </c>
      <c r="Y194" s="26">
        <f t="shared" si="52"/>
        <v>7285.7533072037268</v>
      </c>
    </row>
    <row r="195" spans="2:25">
      <c r="B195" s="290" t="s">
        <v>791</v>
      </c>
      <c r="C195" s="200" t="s">
        <v>788</v>
      </c>
      <c r="D195" s="26">
        <f>D196+D197+D198</f>
        <v>25376</v>
      </c>
      <c r="E195" s="26">
        <f t="shared" ref="E195:Y195" si="53">E196+E197+E198</f>
        <v>25376</v>
      </c>
      <c r="F195" s="26">
        <f t="shared" si="53"/>
        <v>25376</v>
      </c>
      <c r="G195" s="26">
        <f t="shared" si="53"/>
        <v>25376</v>
      </c>
      <c r="H195" s="26">
        <f t="shared" si="53"/>
        <v>25376</v>
      </c>
      <c r="I195" s="26">
        <f t="shared" si="53"/>
        <v>25376</v>
      </c>
      <c r="J195" s="26">
        <f t="shared" si="53"/>
        <v>25376</v>
      </c>
      <c r="K195" s="26">
        <f t="shared" si="53"/>
        <v>25376</v>
      </c>
      <c r="L195" s="26">
        <f t="shared" si="53"/>
        <v>25376</v>
      </c>
      <c r="M195" s="26">
        <f t="shared" si="53"/>
        <v>25376</v>
      </c>
      <c r="N195" s="26">
        <f t="shared" si="53"/>
        <v>25376</v>
      </c>
      <c r="O195" s="26">
        <f t="shared" si="53"/>
        <v>25376</v>
      </c>
      <c r="P195" s="26">
        <f t="shared" si="53"/>
        <v>25376</v>
      </c>
      <c r="Q195" s="26">
        <f t="shared" si="53"/>
        <v>25376</v>
      </c>
      <c r="R195" s="26">
        <f t="shared" si="53"/>
        <v>25376</v>
      </c>
      <c r="S195" s="26">
        <f t="shared" si="53"/>
        <v>25376</v>
      </c>
      <c r="T195" s="26">
        <f t="shared" si="53"/>
        <v>25376</v>
      </c>
      <c r="U195" s="26">
        <f t="shared" si="53"/>
        <v>25376</v>
      </c>
      <c r="V195" s="26">
        <f t="shared" si="53"/>
        <v>25376</v>
      </c>
      <c r="W195" s="26">
        <f t="shared" si="53"/>
        <v>25376</v>
      </c>
      <c r="X195" s="26">
        <f t="shared" si="53"/>
        <v>25376</v>
      </c>
      <c r="Y195" s="26">
        <f t="shared" si="53"/>
        <v>25376</v>
      </c>
    </row>
    <row r="196" spans="2:25">
      <c r="B196" s="594" t="s">
        <v>790</v>
      </c>
      <c r="C196" s="200" t="s">
        <v>788</v>
      </c>
      <c r="D196" s="26">
        <f>(D179+F179+H179+J179)/$D$184</f>
        <v>8585.6956793310255</v>
      </c>
      <c r="E196" s="26">
        <f t="shared" ref="E196:Y196" si="54">D196*(1+$D$187)</f>
        <v>8585.6956793310255</v>
      </c>
      <c r="F196" s="26">
        <f t="shared" si="54"/>
        <v>8585.6956793310255</v>
      </c>
      <c r="G196" s="26">
        <f t="shared" si="54"/>
        <v>8585.6956793310255</v>
      </c>
      <c r="H196" s="26">
        <f t="shared" si="54"/>
        <v>8585.6956793310255</v>
      </c>
      <c r="I196" s="26">
        <f t="shared" si="54"/>
        <v>8585.6956793310255</v>
      </c>
      <c r="J196" s="26">
        <f t="shared" si="54"/>
        <v>8585.6956793310255</v>
      </c>
      <c r="K196" s="26">
        <f t="shared" si="54"/>
        <v>8585.6956793310255</v>
      </c>
      <c r="L196" s="26">
        <f t="shared" si="54"/>
        <v>8585.6956793310255</v>
      </c>
      <c r="M196" s="26">
        <f t="shared" si="54"/>
        <v>8585.6956793310255</v>
      </c>
      <c r="N196" s="26">
        <f t="shared" si="54"/>
        <v>8585.6956793310255</v>
      </c>
      <c r="O196" s="26">
        <f t="shared" si="54"/>
        <v>8585.6956793310255</v>
      </c>
      <c r="P196" s="26">
        <f t="shared" si="54"/>
        <v>8585.6956793310255</v>
      </c>
      <c r="Q196" s="26">
        <f t="shared" si="54"/>
        <v>8585.6956793310255</v>
      </c>
      <c r="R196" s="26">
        <f t="shared" si="54"/>
        <v>8585.6956793310255</v>
      </c>
      <c r="S196" s="26">
        <f t="shared" si="54"/>
        <v>8585.6956793310255</v>
      </c>
      <c r="T196" s="26">
        <f t="shared" si="54"/>
        <v>8585.6956793310255</v>
      </c>
      <c r="U196" s="26">
        <f t="shared" si="54"/>
        <v>8585.6956793310255</v>
      </c>
      <c r="V196" s="26">
        <f t="shared" si="54"/>
        <v>8585.6956793310255</v>
      </c>
      <c r="W196" s="26">
        <f t="shared" si="54"/>
        <v>8585.6956793310255</v>
      </c>
      <c r="X196" s="26">
        <f t="shared" si="54"/>
        <v>8585.6956793310255</v>
      </c>
      <c r="Y196" s="26">
        <f t="shared" si="54"/>
        <v>8585.6956793310255</v>
      </c>
    </row>
    <row r="197" spans="2:25">
      <c r="B197" s="594" t="s">
        <v>789</v>
      </c>
      <c r="C197" s="200" t="s">
        <v>788</v>
      </c>
      <c r="D197" s="26">
        <f>(D180+F180+H180+J180)/$D$184</f>
        <v>16790.304320668976</v>
      </c>
      <c r="E197" s="26">
        <f t="shared" ref="E197:Y197" si="55">D197*(1+$D$187)</f>
        <v>16790.304320668976</v>
      </c>
      <c r="F197" s="26">
        <f t="shared" si="55"/>
        <v>16790.304320668976</v>
      </c>
      <c r="G197" s="26">
        <f t="shared" si="55"/>
        <v>16790.304320668976</v>
      </c>
      <c r="H197" s="26">
        <f t="shared" si="55"/>
        <v>16790.304320668976</v>
      </c>
      <c r="I197" s="26">
        <f t="shared" si="55"/>
        <v>16790.304320668976</v>
      </c>
      <c r="J197" s="26">
        <f t="shared" si="55"/>
        <v>16790.304320668976</v>
      </c>
      <c r="K197" s="26">
        <f t="shared" si="55"/>
        <v>16790.304320668976</v>
      </c>
      <c r="L197" s="26">
        <f t="shared" si="55"/>
        <v>16790.304320668976</v>
      </c>
      <c r="M197" s="26">
        <f t="shared" si="55"/>
        <v>16790.304320668976</v>
      </c>
      <c r="N197" s="26">
        <f t="shared" si="55"/>
        <v>16790.304320668976</v>
      </c>
      <c r="O197" s="26">
        <f t="shared" si="55"/>
        <v>16790.304320668976</v>
      </c>
      <c r="P197" s="26">
        <f t="shared" si="55"/>
        <v>16790.304320668976</v>
      </c>
      <c r="Q197" s="26">
        <f t="shared" si="55"/>
        <v>16790.304320668976</v>
      </c>
      <c r="R197" s="26">
        <f t="shared" si="55"/>
        <v>16790.304320668976</v>
      </c>
      <c r="S197" s="26">
        <f t="shared" si="55"/>
        <v>16790.304320668976</v>
      </c>
      <c r="T197" s="26">
        <f t="shared" si="55"/>
        <v>16790.304320668976</v>
      </c>
      <c r="U197" s="26">
        <f t="shared" si="55"/>
        <v>16790.304320668976</v>
      </c>
      <c r="V197" s="26">
        <f t="shared" si="55"/>
        <v>16790.304320668976</v>
      </c>
      <c r="W197" s="26">
        <f t="shared" si="55"/>
        <v>16790.304320668976</v>
      </c>
      <c r="X197" s="26">
        <f t="shared" si="55"/>
        <v>16790.304320668976</v>
      </c>
      <c r="Y197" s="26">
        <f t="shared" si="55"/>
        <v>16790.304320668976</v>
      </c>
    </row>
    <row r="198" spans="2:25">
      <c r="B198" s="425" t="s">
        <v>566</v>
      </c>
      <c r="C198" s="200" t="s">
        <v>788</v>
      </c>
      <c r="D198" s="26">
        <f>(D181+F181+H181+J181)/$D$184</f>
        <v>0</v>
      </c>
      <c r="E198" s="26">
        <f t="shared" ref="E198:Y198" si="56">D198*(1+$D$187)</f>
        <v>0</v>
      </c>
      <c r="F198" s="26">
        <f t="shared" si="56"/>
        <v>0</v>
      </c>
      <c r="G198" s="26">
        <f t="shared" si="56"/>
        <v>0</v>
      </c>
      <c r="H198" s="26">
        <f t="shared" si="56"/>
        <v>0</v>
      </c>
      <c r="I198" s="26">
        <f t="shared" si="56"/>
        <v>0</v>
      </c>
      <c r="J198" s="26">
        <f t="shared" si="56"/>
        <v>0</v>
      </c>
      <c r="K198" s="26">
        <f t="shared" si="56"/>
        <v>0</v>
      </c>
      <c r="L198" s="26">
        <f t="shared" si="56"/>
        <v>0</v>
      </c>
      <c r="M198" s="26">
        <f t="shared" si="56"/>
        <v>0</v>
      </c>
      <c r="N198" s="26">
        <f t="shared" si="56"/>
        <v>0</v>
      </c>
      <c r="O198" s="26">
        <f t="shared" si="56"/>
        <v>0</v>
      </c>
      <c r="P198" s="26">
        <f t="shared" si="56"/>
        <v>0</v>
      </c>
      <c r="Q198" s="26">
        <f t="shared" si="56"/>
        <v>0</v>
      </c>
      <c r="R198" s="26">
        <f t="shared" si="56"/>
        <v>0</v>
      </c>
      <c r="S198" s="26">
        <f t="shared" si="56"/>
        <v>0</v>
      </c>
      <c r="T198" s="26">
        <f t="shared" si="56"/>
        <v>0</v>
      </c>
      <c r="U198" s="26">
        <f t="shared" si="56"/>
        <v>0</v>
      </c>
      <c r="V198" s="26">
        <f t="shared" si="56"/>
        <v>0</v>
      </c>
      <c r="W198" s="26">
        <f t="shared" si="56"/>
        <v>0</v>
      </c>
      <c r="X198" s="26">
        <f t="shared" si="56"/>
        <v>0</v>
      </c>
      <c r="Y198" s="26">
        <f t="shared" si="56"/>
        <v>0</v>
      </c>
    </row>
    <row r="199" spans="2:25">
      <c r="C199" s="200"/>
      <c r="D199" s="200"/>
      <c r="E199" s="596"/>
    </row>
    <row r="200" spans="2:25" ht="15.5">
      <c r="B200" s="425" t="s">
        <v>1718</v>
      </c>
      <c r="E200" s="1405"/>
      <c r="F200" s="1405"/>
      <c r="G200" s="1405"/>
      <c r="H200" s="1405"/>
      <c r="I200" s="1405"/>
      <c r="J200" s="1405"/>
    </row>
    <row r="201" spans="2:25">
      <c r="B201" s="614" t="s">
        <v>1388</v>
      </c>
      <c r="C201" s="68">
        <v>27</v>
      </c>
    </row>
    <row r="202" spans="2:25">
      <c r="B202" s="614" t="s">
        <v>1389</v>
      </c>
      <c r="C202" s="68">
        <v>37</v>
      </c>
    </row>
    <row r="203" spans="2:25">
      <c r="B203" s="614" t="s">
        <v>1390</v>
      </c>
      <c r="C203" s="68">
        <v>69</v>
      </c>
      <c r="D203" s="202"/>
      <c r="E203" s="201"/>
    </row>
    <row r="204" spans="2:25">
      <c r="B204" s="290"/>
      <c r="C204" s="200">
        <f>SUM(C201:C203)</f>
        <v>133</v>
      </c>
      <c r="D204" s="184">
        <f>$C$204*D19</f>
        <v>0</v>
      </c>
      <c r="E204" s="970">
        <f t="shared" ref="E204:J204" si="57">$C$204*E19</f>
        <v>0</v>
      </c>
      <c r="F204" s="970">
        <f t="shared" si="57"/>
        <v>0</v>
      </c>
      <c r="G204" s="970">
        <f t="shared" si="57"/>
        <v>6.65</v>
      </c>
      <c r="H204" s="970">
        <f t="shared" si="57"/>
        <v>33.25</v>
      </c>
      <c r="I204" s="970">
        <f t="shared" si="57"/>
        <v>79.8</v>
      </c>
      <c r="J204" s="970">
        <f t="shared" si="57"/>
        <v>126.35</v>
      </c>
      <c r="K204" s="970">
        <f>$C$204*K19</f>
        <v>133</v>
      </c>
    </row>
    <row r="205" spans="2:25">
      <c r="B205" s="594" t="s">
        <v>1391</v>
      </c>
      <c r="C205" s="200"/>
      <c r="D205" s="593"/>
    </row>
    <row r="206" spans="2:25">
      <c r="C206" s="200"/>
      <c r="D206" s="593" t="s">
        <v>1402</v>
      </c>
      <c r="E206" s="68" t="s">
        <v>1403</v>
      </c>
      <c r="F206" s="68" t="s">
        <v>1404</v>
      </c>
    </row>
    <row r="207" spans="2:25">
      <c r="B207" s="605" t="s">
        <v>794</v>
      </c>
      <c r="C207" s="200"/>
      <c r="D207" s="184"/>
      <c r="E207" s="974"/>
    </row>
    <row r="208" spans="2:25">
      <c r="B208" s="594" t="s">
        <v>793</v>
      </c>
      <c r="C208" s="200" t="s">
        <v>788</v>
      </c>
      <c r="D208" s="974">
        <f>D193</f>
        <v>5021.5055200346078</v>
      </c>
      <c r="E208" s="974">
        <f>D81</f>
        <v>1085.3682583333332</v>
      </c>
      <c r="F208" s="352">
        <f>D79</f>
        <v>986.6984166666665</v>
      </c>
    </row>
    <row r="209" spans="2:6">
      <c r="B209" s="425" t="s">
        <v>792</v>
      </c>
      <c r="C209" s="200" t="s">
        <v>788</v>
      </c>
      <c r="D209" s="974">
        <f>D194</f>
        <v>7285.7533072037268</v>
      </c>
      <c r="E209" s="974">
        <f>D82</f>
        <v>98.669841666666656</v>
      </c>
      <c r="F209" s="352">
        <f>D83</f>
        <v>0</v>
      </c>
    </row>
    <row r="210" spans="2:6">
      <c r="B210" s="605" t="s">
        <v>791</v>
      </c>
      <c r="C210" s="200"/>
      <c r="D210" s="974"/>
      <c r="E210" s="974"/>
    </row>
    <row r="211" spans="2:6">
      <c r="B211" s="594" t="s">
        <v>790</v>
      </c>
      <c r="C211" s="200" t="s">
        <v>788</v>
      </c>
      <c r="D211" s="974">
        <f>D196</f>
        <v>8585.6956793310255</v>
      </c>
      <c r="E211" s="974">
        <f>D78</f>
        <v>1307.6003333333329</v>
      </c>
      <c r="F211" s="352">
        <f>D79</f>
        <v>986.6984166666665</v>
      </c>
    </row>
    <row r="212" spans="2:6">
      <c r="B212" s="594" t="s">
        <v>789</v>
      </c>
      <c r="C212" s="200" t="s">
        <v>788</v>
      </c>
      <c r="D212" s="974">
        <f>D197</f>
        <v>16790.304320668976</v>
      </c>
      <c r="E212" s="974">
        <f>E211</f>
        <v>1307.6003333333329</v>
      </c>
      <c r="F212" s="352">
        <f>D83</f>
        <v>0</v>
      </c>
    </row>
    <row r="213" spans="2:6">
      <c r="B213" s="425" t="s">
        <v>566</v>
      </c>
      <c r="C213" s="200" t="s">
        <v>788</v>
      </c>
      <c r="D213" s="974">
        <f>D198</f>
        <v>0</v>
      </c>
      <c r="E213" s="974">
        <f>E208</f>
        <v>1085.3682583333332</v>
      </c>
      <c r="F213" s="352">
        <f>D83</f>
        <v>0</v>
      </c>
    </row>
    <row r="214" spans="2:6">
      <c r="C214" s="200"/>
      <c r="D214" s="352">
        <f>SUM(D211:D213,D208:D209)</f>
        <v>37683.258827238336</v>
      </c>
      <c r="E214" s="69">
        <f>SUMPRODUCT($D208:$D213,E208:E213)/$D214</f>
        <v>1044.2497307573196</v>
      </c>
      <c r="F214" s="69">
        <f>SUMPRODUCT($D208:$D213,F208:F213)/$D214</f>
        <v>356.2909444810029</v>
      </c>
    </row>
    <row r="216" spans="2:6">
      <c r="B216" s="425" t="s">
        <v>1401</v>
      </c>
      <c r="C216" s="69">
        <f>E214</f>
        <v>1044.2497307573196</v>
      </c>
      <c r="D216" s="200" t="s">
        <v>840</v>
      </c>
    </row>
    <row r="217" spans="2:6">
      <c r="B217" s="425" t="s">
        <v>1405</v>
      </c>
      <c r="C217" s="69">
        <f>F214</f>
        <v>356.2909444810029</v>
      </c>
      <c r="D217" s="200" t="s">
        <v>840</v>
      </c>
    </row>
    <row r="219" spans="2:6">
      <c r="B219" s="68" t="s">
        <v>1406</v>
      </c>
    </row>
    <row r="220" spans="2:6">
      <c r="B220" s="201" t="s">
        <v>1407</v>
      </c>
      <c r="C220" s="352">
        <f>D211+D212</f>
        <v>25376</v>
      </c>
    </row>
    <row r="221" spans="2:6">
      <c r="B221" s="201" t="s">
        <v>1408</v>
      </c>
      <c r="C221" s="85">
        <f>C220/D214</f>
        <v>0.67340248136017467</v>
      </c>
    </row>
    <row r="222" spans="2:6">
      <c r="B222" s="201" t="s">
        <v>1409</v>
      </c>
      <c r="C222" s="68">
        <v>0</v>
      </c>
    </row>
    <row r="224" spans="2:6">
      <c r="B224" s="201" t="s">
        <v>1412</v>
      </c>
    </row>
    <row r="225" spans="2:9">
      <c r="B225" s="201" t="s">
        <v>1410</v>
      </c>
      <c r="C225" s="352">
        <f>D209</f>
        <v>7285.7533072037268</v>
      </c>
    </row>
    <row r="226" spans="2:9">
      <c r="B226" s="201" t="s">
        <v>1411</v>
      </c>
      <c r="C226" s="352">
        <f>D212+D213+D209</f>
        <v>24076.057627872702</v>
      </c>
    </row>
    <row r="227" spans="2:9">
      <c r="C227" s="352">
        <f>C226-C225</f>
        <v>16790.304320668976</v>
      </c>
      <c r="D227" s="26">
        <f t="shared" ref="D227:I227" si="58">$C$225+$C$227*D228</f>
        <v>7285.7533072037268</v>
      </c>
      <c r="E227" s="26">
        <f t="shared" si="58"/>
        <v>8125.2685232371759</v>
      </c>
      <c r="F227" s="26">
        <f t="shared" si="58"/>
        <v>11483.32938737097</v>
      </c>
      <c r="G227" s="26">
        <f t="shared" si="58"/>
        <v>17359.935899605112</v>
      </c>
      <c r="H227" s="26">
        <f t="shared" si="58"/>
        <v>23236.542411839255</v>
      </c>
      <c r="I227" s="26">
        <f t="shared" si="58"/>
        <v>24076.057627872702</v>
      </c>
    </row>
    <row r="228" spans="2:9">
      <c r="D228" s="68">
        <v>0</v>
      </c>
      <c r="E228" s="68">
        <v>0.05</v>
      </c>
      <c r="F228" s="68">
        <v>0.25</v>
      </c>
      <c r="G228" s="201">
        <v>0.6</v>
      </c>
      <c r="H228" s="201">
        <v>0.95</v>
      </c>
      <c r="I228" s="201">
        <v>1</v>
      </c>
    </row>
    <row r="229" spans="2:9">
      <c r="B229" s="201" t="s">
        <v>1415</v>
      </c>
      <c r="D229" s="26">
        <f t="shared" ref="D229:I229" si="59">D227*6</f>
        <v>43714.519843222362</v>
      </c>
      <c r="E229" s="26">
        <f t="shared" si="59"/>
        <v>48751.611139423054</v>
      </c>
      <c r="F229" s="26">
        <f t="shared" si="59"/>
        <v>68899.97632422582</v>
      </c>
      <c r="G229" s="26">
        <f t="shared" si="59"/>
        <v>104159.61539763067</v>
      </c>
      <c r="H229" s="26">
        <f t="shared" si="59"/>
        <v>139419.25447103553</v>
      </c>
      <c r="I229" s="26">
        <f t="shared" si="59"/>
        <v>144456.3457672362</v>
      </c>
    </row>
    <row r="231" spans="2:9">
      <c r="B231" s="68" t="s">
        <v>1413</v>
      </c>
      <c r="D231" s="69">
        <f>NRW!D40/(Health!$B40/6)</f>
        <v>353.39166426175814</v>
      </c>
      <c r="E231" s="69">
        <f>NRW!E40/(Health!$B40/6)</f>
        <v>353.39166426175814</v>
      </c>
      <c r="F231" s="69">
        <f>NRW!F40/(Health!$B40/6)</f>
        <v>392.46862713685641</v>
      </c>
      <c r="G231" s="69">
        <f>NRW!G40/(Health!$B40/6)</f>
        <v>437.51244873288488</v>
      </c>
      <c r="H231" s="69">
        <f>NRW!H40/(Health!$B40/6)</f>
        <v>499.90479460216915</v>
      </c>
      <c r="I231" s="69">
        <f>NRW!I40/(Health!$B40/6)</f>
        <v>544.93687041331407</v>
      </c>
    </row>
    <row r="232" spans="2:9">
      <c r="B232" s="68" t="s">
        <v>1414</v>
      </c>
      <c r="D232" s="69">
        <f t="shared" ref="D232:I232" si="60">D231*1000/365</f>
        <v>968.19634044317297</v>
      </c>
      <c r="E232" s="69">
        <f t="shared" si="60"/>
        <v>968.19634044317297</v>
      </c>
      <c r="F232" s="69">
        <f t="shared" si="60"/>
        <v>1075.2565127037162</v>
      </c>
      <c r="G232" s="69">
        <f t="shared" si="60"/>
        <v>1198.6642431037942</v>
      </c>
      <c r="H232" s="69">
        <f t="shared" si="60"/>
        <v>1369.6021769922443</v>
      </c>
      <c r="I232" s="69">
        <f t="shared" si="60"/>
        <v>1492.9777271597645</v>
      </c>
    </row>
    <row r="234" spans="2:9">
      <c r="C234" s="68" t="s">
        <v>1436</v>
      </c>
    </row>
    <row r="235" spans="2:9">
      <c r="C235" s="68">
        <v>860000</v>
      </c>
    </row>
    <row r="236" spans="2:9">
      <c r="C236" s="68" t="s">
        <v>1437</v>
      </c>
    </row>
    <row r="237" spans="2:9">
      <c r="C237" s="26">
        <f>C235/6</f>
        <v>143333.33333333334</v>
      </c>
    </row>
    <row r="238" spans="2:9">
      <c r="C238" s="68" t="s">
        <v>1438</v>
      </c>
    </row>
    <row r="239" spans="2:9">
      <c r="C239" s="68">
        <v>200</v>
      </c>
    </row>
    <row r="240" spans="2:9">
      <c r="C240" s="68" t="s">
        <v>1439</v>
      </c>
    </row>
    <row r="241" spans="3:3">
      <c r="C241" s="68">
        <f>C239*365</f>
        <v>73000</v>
      </c>
    </row>
    <row r="242" spans="3:3">
      <c r="C242" s="68" t="s">
        <v>1440</v>
      </c>
    </row>
    <row r="243" spans="3:3">
      <c r="C243" s="205">
        <f>C241*C237</f>
        <v>10463333333.333334</v>
      </c>
    </row>
    <row r="244" spans="3:3">
      <c r="C244" s="68" t="s">
        <v>1441</v>
      </c>
    </row>
    <row r="245" spans="3:3">
      <c r="C245" s="205">
        <f>C243/1000</f>
        <v>10463333.333333334</v>
      </c>
    </row>
  </sheetData>
  <mergeCells count="14">
    <mergeCell ref="E200:J200"/>
    <mergeCell ref="E5:I5"/>
    <mergeCell ref="I148:I149"/>
    <mergeCell ref="J148:J149"/>
    <mergeCell ref="K148:K149"/>
    <mergeCell ref="K107:K108"/>
    <mergeCell ref="I107:I108"/>
    <mergeCell ref="J107:J108"/>
    <mergeCell ref="I127:I128"/>
    <mergeCell ref="J127:J128"/>
    <mergeCell ref="K127:K128"/>
    <mergeCell ref="I87:I88"/>
    <mergeCell ref="J87:J88"/>
    <mergeCell ref="K87:K88"/>
  </mergeCell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AH65"/>
  <sheetViews>
    <sheetView topLeftCell="E1" zoomScale="90" zoomScaleNormal="90" zoomScaleSheetLayoutView="90" workbookViewId="0">
      <pane ySplit="7" topLeftCell="A8" activePane="bottomLeft" state="frozen"/>
      <selection pane="bottomLeft" activeCell="X2" sqref="X2"/>
    </sheetView>
  </sheetViews>
  <sheetFormatPr defaultColWidth="9.1796875" defaultRowHeight="14.5"/>
  <cols>
    <col min="1" max="1" width="2.7265625" style="1" bestFit="1" customWidth="1"/>
    <col min="2" max="2" width="67.54296875" style="1" bestFit="1" customWidth="1"/>
    <col min="3" max="3" width="16.54296875" style="1" customWidth="1"/>
    <col min="4" max="24" width="13.7265625" style="1" customWidth="1"/>
    <col min="25" max="25" width="11.7265625" style="201" customWidth="1"/>
    <col min="26" max="16384" width="9.1796875" style="1"/>
  </cols>
  <sheetData>
    <row r="1" spans="2:34" s="1137" customFormat="1">
      <c r="Y1" s="201"/>
    </row>
    <row r="2" spans="2:34" ht="18.5">
      <c r="B2" s="124" t="s">
        <v>889</v>
      </c>
      <c r="C2" s="440"/>
      <c r="X2" s="1319" t="s">
        <v>1764</v>
      </c>
    </row>
    <row r="3" spans="2:34" ht="15.5">
      <c r="B3" s="192"/>
    </row>
    <row r="4" spans="2:34" ht="16" thickBot="1">
      <c r="B4" s="192" t="s">
        <v>465</v>
      </c>
      <c r="E4" s="250"/>
      <c r="F4" s="250"/>
      <c r="G4" s="250"/>
      <c r="H4" s="250"/>
    </row>
    <row r="5" spans="2:34">
      <c r="B5" s="432" t="s">
        <v>688</v>
      </c>
      <c r="C5" s="431"/>
      <c r="D5" s="667"/>
      <c r="E5" s="1335" t="s">
        <v>415</v>
      </c>
      <c r="F5" s="1335"/>
      <c r="G5" s="1335"/>
      <c r="H5" s="1335"/>
      <c r="I5" s="1335"/>
      <c r="J5" s="429"/>
      <c r="K5" s="429"/>
      <c r="L5" s="429"/>
      <c r="M5" s="429"/>
      <c r="N5" s="429"/>
      <c r="O5" s="429"/>
      <c r="P5" s="429"/>
      <c r="Q5" s="429"/>
      <c r="R5" s="429"/>
      <c r="S5" s="429"/>
      <c r="T5" s="429"/>
      <c r="U5" s="429"/>
      <c r="V5" s="429"/>
      <c r="W5" s="429"/>
      <c r="X5" s="428"/>
    </row>
    <row r="6" spans="2:34" s="424" customFormat="1">
      <c r="B6" s="427"/>
      <c r="D6" s="421">
        <v>2012</v>
      </c>
      <c r="E6" s="423">
        <f t="shared" ref="E6:X6" si="0">D6+1</f>
        <v>2013</v>
      </c>
      <c r="F6" s="423">
        <f t="shared" si="0"/>
        <v>2014</v>
      </c>
      <c r="G6" s="423">
        <f t="shared" si="0"/>
        <v>2015</v>
      </c>
      <c r="H6" s="423">
        <f t="shared" si="0"/>
        <v>2016</v>
      </c>
      <c r="I6" s="423">
        <f t="shared" si="0"/>
        <v>2017</v>
      </c>
      <c r="J6" s="423">
        <f t="shared" si="0"/>
        <v>2018</v>
      </c>
      <c r="K6" s="423">
        <f t="shared" si="0"/>
        <v>2019</v>
      </c>
      <c r="L6" s="423">
        <f t="shared" si="0"/>
        <v>2020</v>
      </c>
      <c r="M6" s="423">
        <f t="shared" si="0"/>
        <v>2021</v>
      </c>
      <c r="N6" s="423">
        <f t="shared" si="0"/>
        <v>2022</v>
      </c>
      <c r="O6" s="423">
        <f t="shared" si="0"/>
        <v>2023</v>
      </c>
      <c r="P6" s="423">
        <f t="shared" si="0"/>
        <v>2024</v>
      </c>
      <c r="Q6" s="423">
        <f t="shared" si="0"/>
        <v>2025</v>
      </c>
      <c r="R6" s="423">
        <f t="shared" si="0"/>
        <v>2026</v>
      </c>
      <c r="S6" s="423">
        <f t="shared" si="0"/>
        <v>2027</v>
      </c>
      <c r="T6" s="423">
        <f t="shared" si="0"/>
        <v>2028</v>
      </c>
      <c r="U6" s="423">
        <f t="shared" si="0"/>
        <v>2029</v>
      </c>
      <c r="V6" s="423">
        <f t="shared" si="0"/>
        <v>2030</v>
      </c>
      <c r="W6" s="423">
        <f t="shared" si="0"/>
        <v>2031</v>
      </c>
      <c r="X6" s="1129">
        <f t="shared" si="0"/>
        <v>2032</v>
      </c>
      <c r="Y6" s="423"/>
      <c r="Z6" s="425"/>
      <c r="AA6" s="425"/>
      <c r="AB6" s="425"/>
      <c r="AC6" s="425"/>
    </row>
    <row r="7" spans="2:34" s="3" customFormat="1">
      <c r="B7" s="420"/>
      <c r="D7" s="421">
        <v>0</v>
      </c>
      <c r="E7" s="421">
        <v>1</v>
      </c>
      <c r="F7" s="423">
        <f t="shared" ref="F7:X7" si="1">E7+1</f>
        <v>2</v>
      </c>
      <c r="G7" s="197">
        <f t="shared" si="1"/>
        <v>3</v>
      </c>
      <c r="H7" s="197">
        <f t="shared" si="1"/>
        <v>4</v>
      </c>
      <c r="I7" s="197">
        <f t="shared" si="1"/>
        <v>5</v>
      </c>
      <c r="J7" s="197">
        <f t="shared" si="1"/>
        <v>6</v>
      </c>
      <c r="K7" s="197">
        <f t="shared" si="1"/>
        <v>7</v>
      </c>
      <c r="L7" s="197">
        <f t="shared" si="1"/>
        <v>8</v>
      </c>
      <c r="M7" s="197">
        <f t="shared" si="1"/>
        <v>9</v>
      </c>
      <c r="N7" s="197">
        <f t="shared" si="1"/>
        <v>10</v>
      </c>
      <c r="O7" s="197">
        <f t="shared" si="1"/>
        <v>11</v>
      </c>
      <c r="P7" s="197">
        <f t="shared" si="1"/>
        <v>12</v>
      </c>
      <c r="Q7" s="197">
        <f t="shared" si="1"/>
        <v>13</v>
      </c>
      <c r="R7" s="197">
        <f t="shared" si="1"/>
        <v>14</v>
      </c>
      <c r="S7" s="197">
        <f t="shared" si="1"/>
        <v>15</v>
      </c>
      <c r="T7" s="197">
        <f t="shared" si="1"/>
        <v>16</v>
      </c>
      <c r="U7" s="197">
        <f t="shared" si="1"/>
        <v>17</v>
      </c>
      <c r="V7" s="197">
        <f t="shared" si="1"/>
        <v>18</v>
      </c>
      <c r="W7" s="197">
        <f t="shared" si="1"/>
        <v>19</v>
      </c>
      <c r="X7" s="1130">
        <f t="shared" si="1"/>
        <v>20</v>
      </c>
      <c r="Y7" s="584"/>
      <c r="Z7" s="3" t="s">
        <v>866</v>
      </c>
    </row>
    <row r="8" spans="2:34" s="3" customFormat="1">
      <c r="B8" s="420"/>
      <c r="C8" s="421"/>
      <c r="D8" s="421"/>
      <c r="E8" s="197"/>
      <c r="F8" s="197"/>
      <c r="G8" s="197"/>
      <c r="H8" s="197"/>
      <c r="I8" s="197"/>
      <c r="J8" s="197"/>
      <c r="K8" s="197"/>
      <c r="L8" s="197"/>
      <c r="M8" s="197"/>
      <c r="N8" s="197"/>
      <c r="O8" s="197"/>
      <c r="P8" s="197"/>
      <c r="Q8" s="197"/>
      <c r="R8" s="197"/>
      <c r="S8" s="197"/>
      <c r="T8" s="197"/>
      <c r="U8" s="197"/>
      <c r="V8" s="197"/>
      <c r="W8" s="197"/>
      <c r="X8" s="1130"/>
      <c r="Y8" s="584"/>
    </row>
    <row r="9" spans="2:34" s="68" customFormat="1">
      <c r="B9" s="116" t="s">
        <v>888</v>
      </c>
      <c r="C9" s="68" t="s">
        <v>684</v>
      </c>
      <c r="D9" s="412">
        <f>$D$56*(D39-D25-D42)/1000000</f>
        <v>0</v>
      </c>
      <c r="E9" s="412">
        <f t="shared" ref="E9:X9" si="2">$D$56*(E39-E25-E42)/1000000</f>
        <v>0</v>
      </c>
      <c r="F9" s="412">
        <f t="shared" si="2"/>
        <v>2.1444862902911797</v>
      </c>
      <c r="G9" s="412">
        <f t="shared" si="2"/>
        <v>4.6409950226088439</v>
      </c>
      <c r="H9" s="412">
        <f t="shared" si="2"/>
        <v>8.3217931435828003</v>
      </c>
      <c r="I9" s="412">
        <f t="shared" si="2"/>
        <v>10.639745941391466</v>
      </c>
      <c r="J9" s="412">
        <f t="shared" si="2"/>
        <v>10.602307402047547</v>
      </c>
      <c r="K9" s="412">
        <f t="shared" si="2"/>
        <v>10.602307402047547</v>
      </c>
      <c r="L9" s="412">
        <f t="shared" si="2"/>
        <v>10.602307402047547</v>
      </c>
      <c r="M9" s="412">
        <f t="shared" si="2"/>
        <v>10.602307402047547</v>
      </c>
      <c r="N9" s="412">
        <f t="shared" si="2"/>
        <v>10.602307402047547</v>
      </c>
      <c r="O9" s="412">
        <f t="shared" si="2"/>
        <v>10.602307402047547</v>
      </c>
      <c r="P9" s="412">
        <f t="shared" si="2"/>
        <v>10.602307402047547</v>
      </c>
      <c r="Q9" s="412">
        <f t="shared" si="2"/>
        <v>10.602307402047547</v>
      </c>
      <c r="R9" s="412">
        <f t="shared" si="2"/>
        <v>10.602307402047547</v>
      </c>
      <c r="S9" s="412">
        <f t="shared" si="2"/>
        <v>10.602307402047547</v>
      </c>
      <c r="T9" s="412">
        <f t="shared" si="2"/>
        <v>10.602307402047547</v>
      </c>
      <c r="U9" s="412">
        <f t="shared" si="2"/>
        <v>10.602307402047547</v>
      </c>
      <c r="V9" s="412">
        <f t="shared" si="2"/>
        <v>10.602307402047547</v>
      </c>
      <c r="W9" s="412">
        <f t="shared" si="2"/>
        <v>10.602307402047547</v>
      </c>
      <c r="X9" s="1131">
        <f t="shared" si="2"/>
        <v>10.602307402047547</v>
      </c>
      <c r="Y9" s="412"/>
      <c r="Z9" s="416">
        <f>NPV(0.1,E9:X9)</f>
        <v>67.621825806335892</v>
      </c>
    </row>
    <row r="10" spans="2:34" s="68" customFormat="1" ht="15" thickBot="1">
      <c r="B10" s="411"/>
      <c r="C10" s="410"/>
      <c r="D10" s="410"/>
      <c r="E10" s="409"/>
      <c r="F10" s="409"/>
      <c r="G10" s="409"/>
      <c r="H10" s="409"/>
      <c r="I10" s="409"/>
      <c r="J10" s="409"/>
      <c r="K10" s="409"/>
      <c r="L10" s="409"/>
      <c r="M10" s="409"/>
      <c r="N10" s="409"/>
      <c r="O10" s="409"/>
      <c r="P10" s="409"/>
      <c r="Q10" s="409"/>
      <c r="R10" s="409"/>
      <c r="S10" s="409"/>
      <c r="T10" s="409"/>
      <c r="U10" s="409"/>
      <c r="V10" s="409"/>
      <c r="W10" s="409"/>
      <c r="X10" s="113"/>
      <c r="Y10" s="201"/>
      <c r="AB10" s="68" t="s">
        <v>78</v>
      </c>
    </row>
    <row r="11" spans="2:34" s="68" customFormat="1">
      <c r="B11" s="252"/>
      <c r="Y11" s="201"/>
    </row>
    <row r="12" spans="2:34" s="68" customFormat="1">
      <c r="B12" s="252"/>
      <c r="Y12" s="201"/>
    </row>
    <row r="13" spans="2:34" s="68" customFormat="1" ht="16" thickBot="1">
      <c r="B13" s="1136" t="s">
        <v>887</v>
      </c>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201"/>
    </row>
    <row r="14" spans="2:34">
      <c r="B14" s="699" t="s">
        <v>886</v>
      </c>
      <c r="C14" s="68"/>
      <c r="D14" s="68"/>
      <c r="E14" s="68"/>
      <c r="F14" s="205"/>
      <c r="G14" s="68"/>
      <c r="H14" s="68"/>
      <c r="I14" s="352"/>
      <c r="J14" s="352"/>
      <c r="K14" s="352"/>
      <c r="L14" s="352"/>
      <c r="M14" s="352"/>
      <c r="N14" s="352"/>
      <c r="O14" s="352"/>
      <c r="P14" s="352"/>
      <c r="Q14" s="352"/>
      <c r="R14" s="352"/>
      <c r="S14" s="352"/>
      <c r="T14" s="352"/>
      <c r="U14" s="352"/>
      <c r="V14" s="352"/>
      <c r="W14" s="352"/>
      <c r="X14" s="694"/>
      <c r="Y14" s="685"/>
      <c r="Z14" s="2"/>
      <c r="AA14" s="2"/>
      <c r="AB14" s="2"/>
      <c r="AC14" s="2"/>
      <c r="AD14" s="2"/>
      <c r="AE14" s="2"/>
      <c r="AF14" s="2"/>
      <c r="AG14" s="2"/>
      <c r="AH14" s="2"/>
    </row>
    <row r="15" spans="2:34">
      <c r="B15" s="420" t="s">
        <v>385</v>
      </c>
      <c r="C15" s="68"/>
      <c r="D15" s="68"/>
      <c r="E15" s="68"/>
      <c r="F15" s="68"/>
      <c r="G15" s="68"/>
      <c r="H15" s="68"/>
      <c r="I15" s="68"/>
      <c r="J15" s="68"/>
      <c r="K15" s="68"/>
      <c r="L15" s="68"/>
      <c r="M15" s="68"/>
      <c r="N15" s="68"/>
      <c r="O15" s="68"/>
      <c r="P15" s="68"/>
      <c r="Q15" s="68"/>
      <c r="R15" s="68"/>
      <c r="S15" s="68"/>
      <c r="T15" s="68"/>
      <c r="U15" s="68"/>
      <c r="V15" s="68"/>
      <c r="W15" s="68"/>
      <c r="X15" s="115"/>
      <c r="Y15" s="421" t="s">
        <v>99</v>
      </c>
    </row>
    <row r="16" spans="2:34">
      <c r="B16" s="574" t="s">
        <v>885</v>
      </c>
      <c r="C16" s="337" t="s">
        <v>879</v>
      </c>
      <c r="D16" s="687">
        <v>97409240.790100008</v>
      </c>
      <c r="E16" s="687">
        <v>97409240.790100008</v>
      </c>
      <c r="F16" s="687">
        <v>97409240.790100008</v>
      </c>
      <c r="G16" s="112">
        <f t="shared" ref="G16:X16" si="3">F16</f>
        <v>97409240.790100008</v>
      </c>
      <c r="H16" s="112">
        <f t="shared" si="3"/>
        <v>97409240.790100008</v>
      </c>
      <c r="I16" s="112">
        <f t="shared" si="3"/>
        <v>97409240.790100008</v>
      </c>
      <c r="J16" s="112">
        <f t="shared" si="3"/>
        <v>97409240.790100008</v>
      </c>
      <c r="K16" s="112">
        <f t="shared" si="3"/>
        <v>97409240.790100008</v>
      </c>
      <c r="L16" s="112">
        <f t="shared" si="3"/>
        <v>97409240.790100008</v>
      </c>
      <c r="M16" s="112">
        <f t="shared" si="3"/>
        <v>97409240.790100008</v>
      </c>
      <c r="N16" s="112">
        <f t="shared" si="3"/>
        <v>97409240.790100008</v>
      </c>
      <c r="O16" s="112">
        <f t="shared" si="3"/>
        <v>97409240.790100008</v>
      </c>
      <c r="P16" s="112">
        <f t="shared" si="3"/>
        <v>97409240.790100008</v>
      </c>
      <c r="Q16" s="112">
        <f t="shared" si="3"/>
        <v>97409240.790100008</v>
      </c>
      <c r="R16" s="112">
        <f t="shared" si="3"/>
        <v>97409240.790100008</v>
      </c>
      <c r="S16" s="112">
        <f t="shared" si="3"/>
        <v>97409240.790100008</v>
      </c>
      <c r="T16" s="112">
        <f t="shared" si="3"/>
        <v>97409240.790100008</v>
      </c>
      <c r="U16" s="112">
        <f t="shared" si="3"/>
        <v>97409240.790100008</v>
      </c>
      <c r="V16" s="112">
        <f t="shared" si="3"/>
        <v>97409240.790100008</v>
      </c>
      <c r="W16" s="112">
        <f t="shared" si="3"/>
        <v>97409240.790100008</v>
      </c>
      <c r="X16" s="37">
        <f t="shared" si="3"/>
        <v>97409240.790100008</v>
      </c>
      <c r="Y16" s="201" t="s">
        <v>1702</v>
      </c>
    </row>
    <row r="17" spans="2:34">
      <c r="B17" s="116" t="s">
        <v>1705</v>
      </c>
      <c r="X17" s="115"/>
    </row>
    <row r="18" spans="2:34">
      <c r="B18" s="574" t="s">
        <v>884</v>
      </c>
      <c r="C18" s="337" t="s">
        <v>224</v>
      </c>
      <c r="D18" s="207">
        <v>0.48</v>
      </c>
      <c r="E18" s="207">
        <v>0.48</v>
      </c>
      <c r="F18" s="207">
        <v>0.48</v>
      </c>
      <c r="G18" s="207">
        <f t="shared" ref="G18:X18" si="4">F18</f>
        <v>0.48</v>
      </c>
      <c r="H18" s="207">
        <f t="shared" si="4"/>
        <v>0.48</v>
      </c>
      <c r="I18" s="207">
        <f t="shared" si="4"/>
        <v>0.48</v>
      </c>
      <c r="J18" s="207">
        <f t="shared" si="4"/>
        <v>0.48</v>
      </c>
      <c r="K18" s="207">
        <f t="shared" si="4"/>
        <v>0.48</v>
      </c>
      <c r="L18" s="207">
        <f t="shared" si="4"/>
        <v>0.48</v>
      </c>
      <c r="M18" s="207">
        <f t="shared" si="4"/>
        <v>0.48</v>
      </c>
      <c r="N18" s="207">
        <f t="shared" si="4"/>
        <v>0.48</v>
      </c>
      <c r="O18" s="207">
        <f t="shared" si="4"/>
        <v>0.48</v>
      </c>
      <c r="P18" s="207">
        <f t="shared" si="4"/>
        <v>0.48</v>
      </c>
      <c r="Q18" s="207">
        <f t="shared" si="4"/>
        <v>0.48</v>
      </c>
      <c r="R18" s="207">
        <f t="shared" si="4"/>
        <v>0.48</v>
      </c>
      <c r="S18" s="207">
        <f t="shared" si="4"/>
        <v>0.48</v>
      </c>
      <c r="T18" s="207">
        <f t="shared" si="4"/>
        <v>0.48</v>
      </c>
      <c r="U18" s="207">
        <f t="shared" si="4"/>
        <v>0.48</v>
      </c>
      <c r="V18" s="207">
        <f t="shared" si="4"/>
        <v>0.48</v>
      </c>
      <c r="W18" s="207">
        <f t="shared" si="4"/>
        <v>0.48</v>
      </c>
      <c r="X18" s="698">
        <f t="shared" si="4"/>
        <v>0.48</v>
      </c>
      <c r="Y18" s="245" t="s">
        <v>1703</v>
      </c>
      <c r="Z18" s="352"/>
      <c r="AA18" s="2"/>
      <c r="AB18" s="2"/>
      <c r="AC18" s="2"/>
      <c r="AD18" s="2"/>
      <c r="AE18" s="2"/>
      <c r="AF18" s="2"/>
      <c r="AG18" s="2"/>
      <c r="AH18" s="2"/>
    </row>
    <row r="19" spans="2:34">
      <c r="B19" s="689" t="s">
        <v>883</v>
      </c>
      <c r="C19" s="337" t="s">
        <v>224</v>
      </c>
      <c r="D19" s="669">
        <f t="shared" ref="D19:X19" si="5">D18*(1-$D$47)</f>
        <v>0.38400000000000001</v>
      </c>
      <c r="E19" s="669">
        <f t="shared" si="5"/>
        <v>0.38400000000000001</v>
      </c>
      <c r="F19" s="669">
        <f t="shared" si="5"/>
        <v>0.38400000000000001</v>
      </c>
      <c r="G19" s="669">
        <f t="shared" si="5"/>
        <v>0.38400000000000001</v>
      </c>
      <c r="H19" s="669">
        <f t="shared" si="5"/>
        <v>0.38400000000000001</v>
      </c>
      <c r="I19" s="669">
        <f t="shared" si="5"/>
        <v>0.38400000000000001</v>
      </c>
      <c r="J19" s="669">
        <f t="shared" si="5"/>
        <v>0.38400000000000001</v>
      </c>
      <c r="K19" s="669">
        <f t="shared" si="5"/>
        <v>0.38400000000000001</v>
      </c>
      <c r="L19" s="669">
        <f t="shared" si="5"/>
        <v>0.38400000000000001</v>
      </c>
      <c r="M19" s="669">
        <f t="shared" si="5"/>
        <v>0.38400000000000001</v>
      </c>
      <c r="N19" s="669">
        <f t="shared" si="5"/>
        <v>0.38400000000000001</v>
      </c>
      <c r="O19" s="669">
        <f t="shared" si="5"/>
        <v>0.38400000000000001</v>
      </c>
      <c r="P19" s="669">
        <f t="shared" si="5"/>
        <v>0.38400000000000001</v>
      </c>
      <c r="Q19" s="669">
        <f t="shared" si="5"/>
        <v>0.38400000000000001</v>
      </c>
      <c r="R19" s="669">
        <f t="shared" si="5"/>
        <v>0.38400000000000001</v>
      </c>
      <c r="S19" s="669">
        <f t="shared" si="5"/>
        <v>0.38400000000000001</v>
      </c>
      <c r="T19" s="669">
        <f t="shared" si="5"/>
        <v>0.38400000000000001</v>
      </c>
      <c r="U19" s="669">
        <f t="shared" si="5"/>
        <v>0.38400000000000001</v>
      </c>
      <c r="V19" s="669">
        <f t="shared" si="5"/>
        <v>0.38400000000000001</v>
      </c>
      <c r="W19" s="669">
        <f t="shared" si="5"/>
        <v>0.38400000000000001</v>
      </c>
      <c r="X19" s="690">
        <f t="shared" si="5"/>
        <v>0.38400000000000001</v>
      </c>
      <c r="Y19" s="245"/>
      <c r="Z19" s="352"/>
      <c r="AA19" s="2"/>
      <c r="AB19" s="2"/>
      <c r="AC19" s="2"/>
      <c r="AD19" s="2"/>
      <c r="AE19" s="2"/>
      <c r="AF19" s="2"/>
      <c r="AG19" s="2"/>
      <c r="AH19" s="2"/>
    </row>
    <row r="20" spans="2:34">
      <c r="B20" s="689" t="s">
        <v>882</v>
      </c>
      <c r="C20" s="337" t="s">
        <v>224</v>
      </c>
      <c r="D20" s="669">
        <f t="shared" ref="D20:X20" si="6">D18*$D$47</f>
        <v>9.6000000000000002E-2</v>
      </c>
      <c r="E20" s="669">
        <f t="shared" si="6"/>
        <v>9.6000000000000002E-2</v>
      </c>
      <c r="F20" s="669">
        <f t="shared" si="6"/>
        <v>9.6000000000000002E-2</v>
      </c>
      <c r="G20" s="669">
        <f t="shared" si="6"/>
        <v>9.6000000000000002E-2</v>
      </c>
      <c r="H20" s="669">
        <f t="shared" si="6"/>
        <v>9.6000000000000002E-2</v>
      </c>
      <c r="I20" s="669">
        <f t="shared" si="6"/>
        <v>9.6000000000000002E-2</v>
      </c>
      <c r="J20" s="669">
        <f t="shared" si="6"/>
        <v>9.6000000000000002E-2</v>
      </c>
      <c r="K20" s="669">
        <f t="shared" si="6"/>
        <v>9.6000000000000002E-2</v>
      </c>
      <c r="L20" s="669">
        <f t="shared" si="6"/>
        <v>9.6000000000000002E-2</v>
      </c>
      <c r="M20" s="669">
        <f t="shared" si="6"/>
        <v>9.6000000000000002E-2</v>
      </c>
      <c r="N20" s="669">
        <f t="shared" si="6"/>
        <v>9.6000000000000002E-2</v>
      </c>
      <c r="O20" s="669">
        <f t="shared" si="6"/>
        <v>9.6000000000000002E-2</v>
      </c>
      <c r="P20" s="669">
        <f t="shared" si="6"/>
        <v>9.6000000000000002E-2</v>
      </c>
      <c r="Q20" s="669">
        <f t="shared" si="6"/>
        <v>9.6000000000000002E-2</v>
      </c>
      <c r="R20" s="669">
        <f t="shared" si="6"/>
        <v>9.6000000000000002E-2</v>
      </c>
      <c r="S20" s="669">
        <f t="shared" si="6"/>
        <v>9.6000000000000002E-2</v>
      </c>
      <c r="T20" s="669">
        <f t="shared" si="6"/>
        <v>9.6000000000000002E-2</v>
      </c>
      <c r="U20" s="669">
        <f t="shared" si="6"/>
        <v>9.6000000000000002E-2</v>
      </c>
      <c r="V20" s="669">
        <f t="shared" si="6"/>
        <v>9.6000000000000002E-2</v>
      </c>
      <c r="W20" s="669">
        <f t="shared" si="6"/>
        <v>9.6000000000000002E-2</v>
      </c>
      <c r="X20" s="690">
        <f t="shared" si="6"/>
        <v>9.6000000000000002E-2</v>
      </c>
      <c r="Y20" s="245"/>
      <c r="Z20" s="352"/>
      <c r="AA20" s="2"/>
      <c r="AB20" s="2"/>
      <c r="AC20" s="2"/>
      <c r="AD20" s="2"/>
      <c r="AE20" s="2"/>
      <c r="AF20" s="2"/>
      <c r="AG20" s="2"/>
      <c r="AH20" s="2"/>
    </row>
    <row r="21" spans="2:34">
      <c r="B21" s="574" t="s">
        <v>884</v>
      </c>
      <c r="C21" s="337" t="s">
        <v>879</v>
      </c>
      <c r="D21" s="672">
        <f t="shared" ref="D21:X21" si="7">D$16*D18</f>
        <v>46756435.579248004</v>
      </c>
      <c r="E21" s="672">
        <f t="shared" si="7"/>
        <v>46756435.579248004</v>
      </c>
      <c r="F21" s="672">
        <f t="shared" si="7"/>
        <v>46756435.579248004</v>
      </c>
      <c r="G21" s="672">
        <f t="shared" si="7"/>
        <v>46756435.579248004</v>
      </c>
      <c r="H21" s="672">
        <f t="shared" si="7"/>
        <v>46756435.579248004</v>
      </c>
      <c r="I21" s="672">
        <f t="shared" si="7"/>
        <v>46756435.579248004</v>
      </c>
      <c r="J21" s="672">
        <f t="shared" si="7"/>
        <v>46756435.579248004</v>
      </c>
      <c r="K21" s="672">
        <f t="shared" si="7"/>
        <v>46756435.579248004</v>
      </c>
      <c r="L21" s="672">
        <f t="shared" si="7"/>
        <v>46756435.579248004</v>
      </c>
      <c r="M21" s="672">
        <f t="shared" si="7"/>
        <v>46756435.579248004</v>
      </c>
      <c r="N21" s="672">
        <f t="shared" si="7"/>
        <v>46756435.579248004</v>
      </c>
      <c r="O21" s="672">
        <f t="shared" si="7"/>
        <v>46756435.579248004</v>
      </c>
      <c r="P21" s="672">
        <f t="shared" si="7"/>
        <v>46756435.579248004</v>
      </c>
      <c r="Q21" s="672">
        <f t="shared" si="7"/>
        <v>46756435.579248004</v>
      </c>
      <c r="R21" s="672">
        <f t="shared" si="7"/>
        <v>46756435.579248004</v>
      </c>
      <c r="S21" s="672">
        <f t="shared" si="7"/>
        <v>46756435.579248004</v>
      </c>
      <c r="T21" s="672">
        <f t="shared" si="7"/>
        <v>46756435.579248004</v>
      </c>
      <c r="U21" s="672">
        <f t="shared" si="7"/>
        <v>46756435.579248004</v>
      </c>
      <c r="V21" s="672">
        <f t="shared" si="7"/>
        <v>46756435.579248004</v>
      </c>
      <c r="W21" s="672">
        <f t="shared" si="7"/>
        <v>46756435.579248004</v>
      </c>
      <c r="X21" s="688">
        <f t="shared" si="7"/>
        <v>46756435.579248004</v>
      </c>
      <c r="Y21" s="245"/>
      <c r="Z21" s="352"/>
      <c r="AA21" s="2"/>
      <c r="AB21" s="2"/>
      <c r="AC21" s="2"/>
      <c r="AD21" s="2"/>
      <c r="AE21" s="2"/>
      <c r="AF21" s="2"/>
      <c r="AG21" s="2"/>
      <c r="AH21" s="2"/>
    </row>
    <row r="22" spans="2:34">
      <c r="B22" s="689" t="s">
        <v>883</v>
      </c>
      <c r="C22" s="337" t="s">
        <v>879</v>
      </c>
      <c r="D22" s="672">
        <f t="shared" ref="D22:X22" si="8">D$16*D19</f>
        <v>37405148.463398404</v>
      </c>
      <c r="E22" s="672">
        <f t="shared" si="8"/>
        <v>37405148.463398404</v>
      </c>
      <c r="F22" s="672">
        <f t="shared" si="8"/>
        <v>37405148.463398404</v>
      </c>
      <c r="G22" s="672">
        <f t="shared" si="8"/>
        <v>37405148.463398404</v>
      </c>
      <c r="H22" s="672">
        <f t="shared" si="8"/>
        <v>37405148.463398404</v>
      </c>
      <c r="I22" s="672">
        <f t="shared" si="8"/>
        <v>37405148.463398404</v>
      </c>
      <c r="J22" s="672">
        <f t="shared" si="8"/>
        <v>37405148.463398404</v>
      </c>
      <c r="K22" s="672">
        <f t="shared" si="8"/>
        <v>37405148.463398404</v>
      </c>
      <c r="L22" s="672">
        <f t="shared" si="8"/>
        <v>37405148.463398404</v>
      </c>
      <c r="M22" s="672">
        <f t="shared" si="8"/>
        <v>37405148.463398404</v>
      </c>
      <c r="N22" s="672">
        <f t="shared" si="8"/>
        <v>37405148.463398404</v>
      </c>
      <c r="O22" s="672">
        <f t="shared" si="8"/>
        <v>37405148.463398404</v>
      </c>
      <c r="P22" s="672">
        <f t="shared" si="8"/>
        <v>37405148.463398404</v>
      </c>
      <c r="Q22" s="672">
        <f t="shared" si="8"/>
        <v>37405148.463398404</v>
      </c>
      <c r="R22" s="672">
        <f t="shared" si="8"/>
        <v>37405148.463398404</v>
      </c>
      <c r="S22" s="672">
        <f t="shared" si="8"/>
        <v>37405148.463398404</v>
      </c>
      <c r="T22" s="672">
        <f t="shared" si="8"/>
        <v>37405148.463398404</v>
      </c>
      <c r="U22" s="672">
        <f t="shared" si="8"/>
        <v>37405148.463398404</v>
      </c>
      <c r="V22" s="672">
        <f t="shared" si="8"/>
        <v>37405148.463398404</v>
      </c>
      <c r="W22" s="672">
        <f t="shared" si="8"/>
        <v>37405148.463398404</v>
      </c>
      <c r="X22" s="688">
        <f t="shared" si="8"/>
        <v>37405148.463398404</v>
      </c>
      <c r="Y22" s="245"/>
      <c r="Z22" s="352"/>
      <c r="AA22" s="2"/>
      <c r="AB22" s="2"/>
      <c r="AC22" s="2"/>
      <c r="AD22" s="2"/>
      <c r="AE22" s="2"/>
      <c r="AF22" s="2"/>
      <c r="AG22" s="2"/>
      <c r="AH22" s="2"/>
    </row>
    <row r="23" spans="2:34">
      <c r="B23" s="689" t="s">
        <v>882</v>
      </c>
      <c r="C23" s="337" t="s">
        <v>879</v>
      </c>
      <c r="D23" s="672">
        <f t="shared" ref="D23:X23" si="9">D$16*D20</f>
        <v>9351287.1158496011</v>
      </c>
      <c r="E23" s="672">
        <f t="shared" si="9"/>
        <v>9351287.1158496011</v>
      </c>
      <c r="F23" s="672">
        <f t="shared" si="9"/>
        <v>9351287.1158496011</v>
      </c>
      <c r="G23" s="672">
        <f t="shared" si="9"/>
        <v>9351287.1158496011</v>
      </c>
      <c r="H23" s="672">
        <f t="shared" si="9"/>
        <v>9351287.1158496011</v>
      </c>
      <c r="I23" s="672">
        <f t="shared" si="9"/>
        <v>9351287.1158496011</v>
      </c>
      <c r="J23" s="672">
        <f t="shared" si="9"/>
        <v>9351287.1158496011</v>
      </c>
      <c r="K23" s="672">
        <f t="shared" si="9"/>
        <v>9351287.1158496011</v>
      </c>
      <c r="L23" s="672">
        <f t="shared" si="9"/>
        <v>9351287.1158496011</v>
      </c>
      <c r="M23" s="672">
        <f t="shared" si="9"/>
        <v>9351287.1158496011</v>
      </c>
      <c r="N23" s="672">
        <f t="shared" si="9"/>
        <v>9351287.1158496011</v>
      </c>
      <c r="O23" s="672">
        <f t="shared" si="9"/>
        <v>9351287.1158496011</v>
      </c>
      <c r="P23" s="672">
        <f t="shared" si="9"/>
        <v>9351287.1158496011</v>
      </c>
      <c r="Q23" s="672">
        <f t="shared" si="9"/>
        <v>9351287.1158496011</v>
      </c>
      <c r="R23" s="672">
        <f t="shared" si="9"/>
        <v>9351287.1158496011</v>
      </c>
      <c r="S23" s="672">
        <f t="shared" si="9"/>
        <v>9351287.1158496011</v>
      </c>
      <c r="T23" s="672">
        <f t="shared" si="9"/>
        <v>9351287.1158496011</v>
      </c>
      <c r="U23" s="672">
        <f t="shared" si="9"/>
        <v>9351287.1158496011</v>
      </c>
      <c r="V23" s="672">
        <f t="shared" si="9"/>
        <v>9351287.1158496011</v>
      </c>
      <c r="W23" s="672">
        <f t="shared" si="9"/>
        <v>9351287.1158496011</v>
      </c>
      <c r="X23" s="688">
        <f t="shared" si="9"/>
        <v>9351287.1158496011</v>
      </c>
      <c r="Y23" s="245"/>
      <c r="Z23" s="352"/>
      <c r="AA23" s="2"/>
      <c r="AB23" s="2"/>
      <c r="AC23" s="2"/>
      <c r="AD23" s="2"/>
      <c r="AE23" s="2"/>
      <c r="AF23" s="2"/>
      <c r="AG23" s="2"/>
      <c r="AH23" s="2"/>
    </row>
    <row r="24" spans="2:34">
      <c r="B24" s="689"/>
      <c r="C24" s="337"/>
      <c r="D24" s="672"/>
      <c r="E24" s="672"/>
      <c r="F24" s="672"/>
      <c r="G24" s="672"/>
      <c r="H24" s="672"/>
      <c r="I24" s="672"/>
      <c r="J24" s="672"/>
      <c r="K24" s="672"/>
      <c r="L24" s="672"/>
      <c r="M24" s="672"/>
      <c r="N24" s="672"/>
      <c r="O24" s="672"/>
      <c r="P24" s="672"/>
      <c r="Q24" s="672"/>
      <c r="R24" s="672"/>
      <c r="S24" s="672"/>
      <c r="T24" s="672"/>
      <c r="U24" s="672"/>
      <c r="V24" s="672"/>
      <c r="W24" s="672"/>
      <c r="X24" s="688"/>
      <c r="Y24" s="245"/>
      <c r="Z24" s="352"/>
      <c r="AA24" s="2"/>
      <c r="AB24" s="2"/>
      <c r="AC24" s="2"/>
      <c r="AD24" s="2"/>
      <c r="AE24" s="2"/>
      <c r="AF24" s="2"/>
      <c r="AG24" s="2"/>
      <c r="AH24" s="2"/>
    </row>
    <row r="25" spans="2:34">
      <c r="B25" s="574" t="s">
        <v>1710</v>
      </c>
      <c r="C25" s="337" t="s">
        <v>879</v>
      </c>
      <c r="D25" s="687">
        <f t="shared" ref="D25:X25" si="10">D16-D22</f>
        <v>60004092.326701604</v>
      </c>
      <c r="E25" s="687">
        <f t="shared" si="10"/>
        <v>60004092.326701604</v>
      </c>
      <c r="F25" s="687">
        <f t="shared" si="10"/>
        <v>60004092.326701604</v>
      </c>
      <c r="G25" s="687">
        <f t="shared" si="10"/>
        <v>60004092.326701604</v>
      </c>
      <c r="H25" s="687">
        <f t="shared" si="10"/>
        <v>60004092.326701604</v>
      </c>
      <c r="I25" s="687">
        <f t="shared" si="10"/>
        <v>60004092.326701604</v>
      </c>
      <c r="J25" s="687">
        <f t="shared" si="10"/>
        <v>60004092.326701604</v>
      </c>
      <c r="K25" s="687">
        <f t="shared" si="10"/>
        <v>60004092.326701604</v>
      </c>
      <c r="L25" s="687">
        <f t="shared" si="10"/>
        <v>60004092.326701604</v>
      </c>
      <c r="M25" s="687">
        <f t="shared" si="10"/>
        <v>60004092.326701604</v>
      </c>
      <c r="N25" s="687">
        <f t="shared" si="10"/>
        <v>60004092.326701604</v>
      </c>
      <c r="O25" s="687">
        <f t="shared" si="10"/>
        <v>60004092.326701604</v>
      </c>
      <c r="P25" s="687">
        <f t="shared" si="10"/>
        <v>60004092.326701604</v>
      </c>
      <c r="Q25" s="687">
        <f t="shared" si="10"/>
        <v>60004092.326701604</v>
      </c>
      <c r="R25" s="687">
        <f t="shared" si="10"/>
        <v>60004092.326701604</v>
      </c>
      <c r="S25" s="687">
        <f t="shared" si="10"/>
        <v>60004092.326701604</v>
      </c>
      <c r="T25" s="687">
        <f t="shared" si="10"/>
        <v>60004092.326701604</v>
      </c>
      <c r="U25" s="687">
        <f t="shared" si="10"/>
        <v>60004092.326701604</v>
      </c>
      <c r="V25" s="687">
        <f t="shared" si="10"/>
        <v>60004092.326701604</v>
      </c>
      <c r="W25" s="687">
        <f t="shared" si="10"/>
        <v>60004092.326701604</v>
      </c>
      <c r="X25" s="686">
        <f t="shared" si="10"/>
        <v>60004092.326701604</v>
      </c>
    </row>
    <row r="26" spans="2:34">
      <c r="B26" s="574" t="s">
        <v>881</v>
      </c>
      <c r="C26" s="337" t="s">
        <v>879</v>
      </c>
      <c r="D26" s="684">
        <f t="shared" ref="D26:X26" si="11">D16-D21</f>
        <v>50652805.210852005</v>
      </c>
      <c r="E26" s="684">
        <f t="shared" si="11"/>
        <v>50652805.210852005</v>
      </c>
      <c r="F26" s="684">
        <f t="shared" si="11"/>
        <v>50652805.210852005</v>
      </c>
      <c r="G26" s="684">
        <f t="shared" si="11"/>
        <v>50652805.210852005</v>
      </c>
      <c r="H26" s="684">
        <f t="shared" si="11"/>
        <v>50652805.210852005</v>
      </c>
      <c r="I26" s="684">
        <f t="shared" si="11"/>
        <v>50652805.210852005</v>
      </c>
      <c r="J26" s="684">
        <f t="shared" si="11"/>
        <v>50652805.210852005</v>
      </c>
      <c r="K26" s="684">
        <f t="shared" si="11"/>
        <v>50652805.210852005</v>
      </c>
      <c r="L26" s="684">
        <f t="shared" si="11"/>
        <v>50652805.210852005</v>
      </c>
      <c r="M26" s="684">
        <f t="shared" si="11"/>
        <v>50652805.210852005</v>
      </c>
      <c r="N26" s="684">
        <f t="shared" si="11"/>
        <v>50652805.210852005</v>
      </c>
      <c r="O26" s="684">
        <f t="shared" si="11"/>
        <v>50652805.210852005</v>
      </c>
      <c r="P26" s="684">
        <f t="shared" si="11"/>
        <v>50652805.210852005</v>
      </c>
      <c r="Q26" s="684">
        <f t="shared" si="11"/>
        <v>50652805.210852005</v>
      </c>
      <c r="R26" s="684">
        <f t="shared" si="11"/>
        <v>50652805.210852005</v>
      </c>
      <c r="S26" s="684">
        <f t="shared" si="11"/>
        <v>50652805.210852005</v>
      </c>
      <c r="T26" s="684">
        <f t="shared" si="11"/>
        <v>50652805.210852005</v>
      </c>
      <c r="U26" s="684">
        <f t="shared" si="11"/>
        <v>50652805.210852005</v>
      </c>
      <c r="V26" s="684">
        <f t="shared" si="11"/>
        <v>50652805.210852005</v>
      </c>
      <c r="W26" s="684">
        <f t="shared" si="11"/>
        <v>50652805.210852005</v>
      </c>
      <c r="X26" s="683">
        <f t="shared" si="11"/>
        <v>50652805.210852005</v>
      </c>
      <c r="Y26" s="697"/>
      <c r="Z26" s="352"/>
      <c r="AA26" s="2"/>
      <c r="AB26" s="2"/>
      <c r="AC26" s="2"/>
      <c r="AD26" s="2"/>
      <c r="AE26" s="2"/>
      <c r="AF26" s="2"/>
      <c r="AG26" s="2"/>
      <c r="AH26" s="2"/>
    </row>
    <row r="27" spans="2:34">
      <c r="B27" s="574"/>
      <c r="C27" s="337"/>
      <c r="D27" s="684"/>
      <c r="E27" s="684"/>
      <c r="F27" s="684"/>
      <c r="G27" s="684"/>
      <c r="H27" s="684"/>
      <c r="I27" s="684"/>
      <c r="J27" s="684"/>
      <c r="K27" s="684"/>
      <c r="L27" s="684"/>
      <c r="M27" s="684"/>
      <c r="N27" s="684"/>
      <c r="O27" s="684"/>
      <c r="P27" s="684"/>
      <c r="Q27" s="684"/>
      <c r="R27" s="684"/>
      <c r="S27" s="684"/>
      <c r="T27" s="684"/>
      <c r="U27" s="684"/>
      <c r="V27" s="684"/>
      <c r="W27" s="684"/>
      <c r="X27" s="683"/>
      <c r="Y27" s="697"/>
      <c r="Z27" s="352"/>
      <c r="AA27" s="2"/>
      <c r="AB27" s="2"/>
      <c r="AC27" s="2"/>
      <c r="AD27" s="2"/>
      <c r="AE27" s="2"/>
      <c r="AF27" s="2"/>
      <c r="AG27" s="2"/>
      <c r="AH27" s="2"/>
    </row>
    <row r="28" spans="2:34">
      <c r="B28" s="696"/>
      <c r="C28" s="695"/>
      <c r="D28" s="695"/>
      <c r="E28" s="68"/>
      <c r="F28" s="68"/>
      <c r="G28" s="68"/>
      <c r="H28" s="68"/>
      <c r="I28" s="352"/>
      <c r="J28" s="352"/>
      <c r="K28" s="352"/>
      <c r="L28" s="352"/>
      <c r="M28" s="352"/>
      <c r="N28" s="352"/>
      <c r="O28" s="352"/>
      <c r="P28" s="352"/>
      <c r="Q28" s="352"/>
      <c r="R28" s="352"/>
      <c r="S28" s="352"/>
      <c r="T28" s="352"/>
      <c r="U28" s="352"/>
      <c r="V28" s="352"/>
      <c r="W28" s="352"/>
      <c r="X28" s="694"/>
      <c r="Y28" s="685"/>
      <c r="Z28" s="352"/>
      <c r="AA28" s="2"/>
      <c r="AB28" s="2"/>
      <c r="AC28" s="2"/>
      <c r="AD28" s="2"/>
      <c r="AE28" s="2"/>
      <c r="AF28" s="2"/>
      <c r="AG28" s="2"/>
      <c r="AH28" s="2"/>
    </row>
    <row r="29" spans="2:34">
      <c r="B29" s="418" t="s">
        <v>388</v>
      </c>
      <c r="C29" s="695"/>
      <c r="D29" s="695"/>
      <c r="E29" s="68"/>
      <c r="F29" s="68"/>
      <c r="G29" s="68"/>
      <c r="H29" s="68"/>
      <c r="I29" s="352"/>
      <c r="J29" s="352"/>
      <c r="K29" s="352"/>
      <c r="L29" s="352"/>
      <c r="M29" s="352"/>
      <c r="N29" s="352"/>
      <c r="O29" s="352"/>
      <c r="P29" s="352"/>
      <c r="Q29" s="352"/>
      <c r="R29" s="352"/>
      <c r="S29" s="352"/>
      <c r="T29" s="352"/>
      <c r="U29" s="352"/>
      <c r="V29" s="352"/>
      <c r="W29" s="352"/>
      <c r="X29" s="694"/>
      <c r="Y29" s="685"/>
      <c r="Z29" s="352"/>
      <c r="AA29" s="2"/>
      <c r="AB29" s="2"/>
      <c r="AC29" s="2"/>
      <c r="AD29" s="2"/>
      <c r="AE29" s="2"/>
      <c r="AF29" s="2"/>
      <c r="AG29" s="2"/>
      <c r="AH29" s="2"/>
    </row>
    <row r="30" spans="2:34">
      <c r="B30" s="574" t="s">
        <v>885</v>
      </c>
      <c r="C30" s="337" t="s">
        <v>879</v>
      </c>
      <c r="D30" s="687">
        <v>97409240.790100008</v>
      </c>
      <c r="E30" s="687">
        <v>97409240.790100008</v>
      </c>
      <c r="F30" s="687">
        <v>97409240.790100008</v>
      </c>
      <c r="G30" s="687">
        <v>98756090.790100008</v>
      </c>
      <c r="H30" s="687">
        <v>103470065.79010001</v>
      </c>
      <c r="I30" s="687">
        <v>104143490.79010001</v>
      </c>
      <c r="J30" s="687">
        <v>104143490.79010001</v>
      </c>
      <c r="K30" s="687">
        <v>104143490.79010001</v>
      </c>
      <c r="L30" s="687">
        <v>104143490.79010001</v>
      </c>
      <c r="M30" s="352">
        <f t="shared" ref="M30:X30" si="12">L30</f>
        <v>104143490.79010001</v>
      </c>
      <c r="N30" s="352">
        <f t="shared" si="12"/>
        <v>104143490.79010001</v>
      </c>
      <c r="O30" s="352">
        <f t="shared" si="12"/>
        <v>104143490.79010001</v>
      </c>
      <c r="P30" s="352">
        <f t="shared" si="12"/>
        <v>104143490.79010001</v>
      </c>
      <c r="Q30" s="352">
        <f t="shared" si="12"/>
        <v>104143490.79010001</v>
      </c>
      <c r="R30" s="352">
        <f t="shared" si="12"/>
        <v>104143490.79010001</v>
      </c>
      <c r="S30" s="352">
        <f t="shared" si="12"/>
        <v>104143490.79010001</v>
      </c>
      <c r="T30" s="352">
        <f t="shared" si="12"/>
        <v>104143490.79010001</v>
      </c>
      <c r="U30" s="352">
        <f t="shared" si="12"/>
        <v>104143490.79010001</v>
      </c>
      <c r="V30" s="352">
        <f t="shared" si="12"/>
        <v>104143490.79010001</v>
      </c>
      <c r="W30" s="352">
        <f t="shared" si="12"/>
        <v>104143490.79010001</v>
      </c>
      <c r="X30" s="694">
        <f t="shared" si="12"/>
        <v>104143490.79010001</v>
      </c>
      <c r="Y30" s="201" t="s">
        <v>1704</v>
      </c>
      <c r="Z30" s="352"/>
      <c r="AA30" s="2"/>
      <c r="AB30" s="2"/>
      <c r="AC30" s="2"/>
      <c r="AD30" s="2"/>
      <c r="AE30" s="2"/>
      <c r="AF30" s="2"/>
      <c r="AG30" s="2"/>
      <c r="AH30" s="2"/>
    </row>
    <row r="31" spans="2:34">
      <c r="B31" s="116"/>
      <c r="X31" s="1132"/>
    </row>
    <row r="32" spans="2:34">
      <c r="B32" s="574" t="s">
        <v>884</v>
      </c>
      <c r="C32" s="337" t="s">
        <v>224</v>
      </c>
      <c r="D32" s="693">
        <v>0.48</v>
      </c>
      <c r="E32" s="671">
        <v>0.48</v>
      </c>
      <c r="F32" s="207">
        <f>E32-($E$32-$I$32)/($J$6-$F$6)</f>
        <v>0.42249999999999999</v>
      </c>
      <c r="G32" s="207">
        <f>F32-($E$32-$I$32)/($J$6-$F$6)</f>
        <v>0.36499999999999999</v>
      </c>
      <c r="H32" s="207">
        <f>G32-($E$32-$I$32)/($J$6-$F$6)</f>
        <v>0.3075</v>
      </c>
      <c r="I32" s="692">
        <f>25%*K45</f>
        <v>0.25</v>
      </c>
      <c r="J32" s="691">
        <f t="shared" ref="J32:X32" si="13">I32</f>
        <v>0.25</v>
      </c>
      <c r="K32" s="691">
        <f t="shared" si="13"/>
        <v>0.25</v>
      </c>
      <c r="L32" s="691">
        <f t="shared" si="13"/>
        <v>0.25</v>
      </c>
      <c r="M32" s="691">
        <f t="shared" si="13"/>
        <v>0.25</v>
      </c>
      <c r="N32" s="691">
        <f t="shared" si="13"/>
        <v>0.25</v>
      </c>
      <c r="O32" s="691">
        <f t="shared" si="13"/>
        <v>0.25</v>
      </c>
      <c r="P32" s="691">
        <f t="shared" si="13"/>
        <v>0.25</v>
      </c>
      <c r="Q32" s="691">
        <f t="shared" si="13"/>
        <v>0.25</v>
      </c>
      <c r="R32" s="691">
        <f t="shared" si="13"/>
        <v>0.25</v>
      </c>
      <c r="S32" s="691">
        <f t="shared" si="13"/>
        <v>0.25</v>
      </c>
      <c r="T32" s="691">
        <f t="shared" si="13"/>
        <v>0.25</v>
      </c>
      <c r="U32" s="691">
        <f t="shared" si="13"/>
        <v>0.25</v>
      </c>
      <c r="V32" s="691">
        <f t="shared" si="13"/>
        <v>0.25</v>
      </c>
      <c r="W32" s="691">
        <f t="shared" si="13"/>
        <v>0.25</v>
      </c>
      <c r="X32" s="1133">
        <f t="shared" si="13"/>
        <v>0.25</v>
      </c>
      <c r="Y32" s="245"/>
      <c r="Z32" s="671"/>
      <c r="AA32" s="671"/>
      <c r="AB32" s="671"/>
      <c r="AC32" s="671"/>
      <c r="AD32" s="2"/>
      <c r="AE32" s="2"/>
      <c r="AF32" s="2"/>
      <c r="AG32" s="2"/>
      <c r="AH32" s="2"/>
    </row>
    <row r="33" spans="2:34">
      <c r="B33" s="689" t="s">
        <v>883</v>
      </c>
      <c r="C33" s="337" t="s">
        <v>224</v>
      </c>
      <c r="D33" s="669">
        <f t="shared" ref="D33:X33" si="14">D32*(1-$D$47)</f>
        <v>0.38400000000000001</v>
      </c>
      <c r="E33" s="669">
        <f t="shared" si="14"/>
        <v>0.38400000000000001</v>
      </c>
      <c r="F33" s="669">
        <f t="shared" si="14"/>
        <v>0.33800000000000002</v>
      </c>
      <c r="G33" s="669">
        <f t="shared" si="14"/>
        <v>0.29199999999999998</v>
      </c>
      <c r="H33" s="669">
        <f t="shared" si="14"/>
        <v>0.246</v>
      </c>
      <c r="I33" s="669">
        <f>I32*(1-$D$47)</f>
        <v>0.2</v>
      </c>
      <c r="J33" s="669">
        <f t="shared" si="14"/>
        <v>0.2</v>
      </c>
      <c r="K33" s="669">
        <f t="shared" si="14"/>
        <v>0.2</v>
      </c>
      <c r="L33" s="669">
        <f t="shared" si="14"/>
        <v>0.2</v>
      </c>
      <c r="M33" s="669">
        <f t="shared" si="14"/>
        <v>0.2</v>
      </c>
      <c r="N33" s="669">
        <f t="shared" si="14"/>
        <v>0.2</v>
      </c>
      <c r="O33" s="669">
        <f t="shared" si="14"/>
        <v>0.2</v>
      </c>
      <c r="P33" s="669">
        <f t="shared" si="14"/>
        <v>0.2</v>
      </c>
      <c r="Q33" s="669">
        <f t="shared" si="14"/>
        <v>0.2</v>
      </c>
      <c r="R33" s="669">
        <f t="shared" si="14"/>
        <v>0.2</v>
      </c>
      <c r="S33" s="669">
        <f t="shared" si="14"/>
        <v>0.2</v>
      </c>
      <c r="T33" s="669">
        <f t="shared" si="14"/>
        <v>0.2</v>
      </c>
      <c r="U33" s="669">
        <f t="shared" si="14"/>
        <v>0.2</v>
      </c>
      <c r="V33" s="669">
        <f t="shared" si="14"/>
        <v>0.2</v>
      </c>
      <c r="W33" s="669">
        <f t="shared" si="14"/>
        <v>0.2</v>
      </c>
      <c r="X33" s="1134">
        <f t="shared" si="14"/>
        <v>0.2</v>
      </c>
      <c r="Y33" s="676"/>
      <c r="Z33" s="671"/>
      <c r="AA33" s="671"/>
      <c r="AB33" s="671"/>
      <c r="AC33" s="671"/>
      <c r="AD33" s="2"/>
      <c r="AE33" s="2"/>
      <c r="AF33" s="2"/>
      <c r="AG33" s="2"/>
      <c r="AH33" s="2"/>
    </row>
    <row r="34" spans="2:34">
      <c r="B34" s="689" t="s">
        <v>882</v>
      </c>
      <c r="C34" s="337" t="s">
        <v>224</v>
      </c>
      <c r="D34" s="669">
        <f t="shared" ref="D34:X34" si="15">D32*$D$47</f>
        <v>9.6000000000000002E-2</v>
      </c>
      <c r="E34" s="669">
        <f t="shared" si="15"/>
        <v>9.6000000000000002E-2</v>
      </c>
      <c r="F34" s="669">
        <f t="shared" si="15"/>
        <v>8.4500000000000006E-2</v>
      </c>
      <c r="G34" s="669">
        <f t="shared" si="15"/>
        <v>7.2999999999999995E-2</v>
      </c>
      <c r="H34" s="669">
        <f t="shared" si="15"/>
        <v>6.1499999999999999E-2</v>
      </c>
      <c r="I34" s="381">
        <f>I32*$D$47</f>
        <v>0.05</v>
      </c>
      <c r="J34" s="669">
        <f t="shared" si="15"/>
        <v>0.05</v>
      </c>
      <c r="K34" s="669">
        <f t="shared" si="15"/>
        <v>0.05</v>
      </c>
      <c r="L34" s="669">
        <f t="shared" si="15"/>
        <v>0.05</v>
      </c>
      <c r="M34" s="669">
        <f t="shared" si="15"/>
        <v>0.05</v>
      </c>
      <c r="N34" s="669">
        <f t="shared" si="15"/>
        <v>0.05</v>
      </c>
      <c r="O34" s="669">
        <f t="shared" si="15"/>
        <v>0.05</v>
      </c>
      <c r="P34" s="669">
        <f t="shared" si="15"/>
        <v>0.05</v>
      </c>
      <c r="Q34" s="669">
        <f t="shared" si="15"/>
        <v>0.05</v>
      </c>
      <c r="R34" s="669">
        <f t="shared" si="15"/>
        <v>0.05</v>
      </c>
      <c r="S34" s="669">
        <f t="shared" si="15"/>
        <v>0.05</v>
      </c>
      <c r="T34" s="669">
        <f t="shared" si="15"/>
        <v>0.05</v>
      </c>
      <c r="U34" s="669">
        <f t="shared" si="15"/>
        <v>0.05</v>
      </c>
      <c r="V34" s="669">
        <f t="shared" si="15"/>
        <v>0.05</v>
      </c>
      <c r="W34" s="669">
        <f t="shared" si="15"/>
        <v>0.05</v>
      </c>
      <c r="X34" s="690">
        <f t="shared" si="15"/>
        <v>0.05</v>
      </c>
      <c r="Y34" s="676"/>
      <c r="Z34" s="671"/>
      <c r="AA34" s="671"/>
      <c r="AB34" s="671"/>
      <c r="AC34" s="671"/>
      <c r="AD34" s="2"/>
      <c r="AE34" s="2"/>
      <c r="AF34" s="2"/>
      <c r="AG34" s="2"/>
      <c r="AH34" s="2"/>
    </row>
    <row r="35" spans="2:34">
      <c r="B35" s="574" t="s">
        <v>884</v>
      </c>
      <c r="C35" s="337" t="s">
        <v>879</v>
      </c>
      <c r="D35" s="687">
        <f t="shared" ref="D35:X35" si="16">D$30*D32</f>
        <v>46756435.579248004</v>
      </c>
      <c r="E35" s="687">
        <f t="shared" si="16"/>
        <v>46756435.579248004</v>
      </c>
      <c r="F35" s="687">
        <f t="shared" si="16"/>
        <v>41155404.23381725</v>
      </c>
      <c r="G35" s="687">
        <f t="shared" si="16"/>
        <v>36045973.138386503</v>
      </c>
      <c r="H35" s="687">
        <f t="shared" si="16"/>
        <v>31817045.230455752</v>
      </c>
      <c r="I35" s="687">
        <f t="shared" si="16"/>
        <v>26035872.697525002</v>
      </c>
      <c r="J35" s="687">
        <f t="shared" si="16"/>
        <v>26035872.697525002</v>
      </c>
      <c r="K35" s="687">
        <f t="shared" si="16"/>
        <v>26035872.697525002</v>
      </c>
      <c r="L35" s="687">
        <f t="shared" si="16"/>
        <v>26035872.697525002</v>
      </c>
      <c r="M35" s="687">
        <f t="shared" si="16"/>
        <v>26035872.697525002</v>
      </c>
      <c r="N35" s="687">
        <f t="shared" si="16"/>
        <v>26035872.697525002</v>
      </c>
      <c r="O35" s="687">
        <f t="shared" si="16"/>
        <v>26035872.697525002</v>
      </c>
      <c r="P35" s="687">
        <f t="shared" si="16"/>
        <v>26035872.697525002</v>
      </c>
      <c r="Q35" s="687">
        <f t="shared" si="16"/>
        <v>26035872.697525002</v>
      </c>
      <c r="R35" s="687">
        <f t="shared" si="16"/>
        <v>26035872.697525002</v>
      </c>
      <c r="S35" s="687">
        <f t="shared" si="16"/>
        <v>26035872.697525002</v>
      </c>
      <c r="T35" s="687">
        <f t="shared" si="16"/>
        <v>26035872.697525002</v>
      </c>
      <c r="U35" s="687">
        <f t="shared" si="16"/>
        <v>26035872.697525002</v>
      </c>
      <c r="V35" s="687">
        <f t="shared" si="16"/>
        <v>26035872.697525002</v>
      </c>
      <c r="W35" s="687">
        <f t="shared" si="16"/>
        <v>26035872.697525002</v>
      </c>
      <c r="X35" s="686">
        <f t="shared" si="16"/>
        <v>26035872.697525002</v>
      </c>
      <c r="Y35" s="676"/>
      <c r="Z35" s="671"/>
      <c r="AA35" s="671"/>
      <c r="AB35" s="671"/>
      <c r="AC35" s="671"/>
      <c r="AD35" s="2"/>
      <c r="AE35" s="2"/>
      <c r="AF35" s="2"/>
      <c r="AG35" s="2"/>
      <c r="AH35" s="2"/>
    </row>
    <row r="36" spans="2:34">
      <c r="B36" s="689" t="s">
        <v>883</v>
      </c>
      <c r="C36" s="337" t="s">
        <v>879</v>
      </c>
      <c r="D36" s="687">
        <f t="shared" ref="D36:X36" si="17">D$30*D33</f>
        <v>37405148.463398404</v>
      </c>
      <c r="E36" s="687">
        <f t="shared" si="17"/>
        <v>37405148.463398404</v>
      </c>
      <c r="F36" s="687">
        <f t="shared" si="17"/>
        <v>32924323.387053806</v>
      </c>
      <c r="G36" s="687">
        <f t="shared" si="17"/>
        <v>28836778.5107092</v>
      </c>
      <c r="H36" s="687">
        <f t="shared" si="17"/>
        <v>25453636.184364602</v>
      </c>
      <c r="I36" s="687">
        <f t="shared" si="17"/>
        <v>20828698.158020005</v>
      </c>
      <c r="J36" s="687">
        <f t="shared" si="17"/>
        <v>20828698.158020005</v>
      </c>
      <c r="K36" s="687">
        <f t="shared" si="17"/>
        <v>20828698.158020005</v>
      </c>
      <c r="L36" s="687">
        <f t="shared" si="17"/>
        <v>20828698.158020005</v>
      </c>
      <c r="M36" s="687">
        <f t="shared" si="17"/>
        <v>20828698.158020005</v>
      </c>
      <c r="N36" s="687">
        <f t="shared" si="17"/>
        <v>20828698.158020005</v>
      </c>
      <c r="O36" s="687">
        <f t="shared" si="17"/>
        <v>20828698.158020005</v>
      </c>
      <c r="P36" s="687">
        <f t="shared" si="17"/>
        <v>20828698.158020005</v>
      </c>
      <c r="Q36" s="687">
        <f t="shared" si="17"/>
        <v>20828698.158020005</v>
      </c>
      <c r="R36" s="687">
        <f t="shared" si="17"/>
        <v>20828698.158020005</v>
      </c>
      <c r="S36" s="687">
        <f t="shared" si="17"/>
        <v>20828698.158020005</v>
      </c>
      <c r="T36" s="687">
        <f t="shared" si="17"/>
        <v>20828698.158020005</v>
      </c>
      <c r="U36" s="687">
        <f t="shared" si="17"/>
        <v>20828698.158020005</v>
      </c>
      <c r="V36" s="687">
        <f t="shared" si="17"/>
        <v>20828698.158020005</v>
      </c>
      <c r="W36" s="687">
        <f t="shared" si="17"/>
        <v>20828698.158020005</v>
      </c>
      <c r="X36" s="686">
        <f t="shared" si="17"/>
        <v>20828698.158020005</v>
      </c>
      <c r="Y36" s="676"/>
      <c r="Z36" s="671"/>
      <c r="AA36" s="671"/>
      <c r="AB36" s="671"/>
      <c r="AC36" s="671"/>
      <c r="AD36" s="2"/>
      <c r="AE36" s="2"/>
      <c r="AF36" s="2"/>
      <c r="AG36" s="2"/>
      <c r="AH36" s="2"/>
    </row>
    <row r="37" spans="2:34">
      <c r="B37" s="689" t="s">
        <v>882</v>
      </c>
      <c r="C37" s="337" t="s">
        <v>879</v>
      </c>
      <c r="D37" s="687">
        <f t="shared" ref="D37:X37" si="18">D$30*D34</f>
        <v>9351287.1158496011</v>
      </c>
      <c r="E37" s="687">
        <f t="shared" si="18"/>
        <v>9351287.1158496011</v>
      </c>
      <c r="F37" s="687">
        <f t="shared" si="18"/>
        <v>8231080.8467634516</v>
      </c>
      <c r="G37" s="687">
        <f t="shared" si="18"/>
        <v>7209194.6276773</v>
      </c>
      <c r="H37" s="687">
        <f t="shared" si="18"/>
        <v>6363409.0460911505</v>
      </c>
      <c r="I37" s="687">
        <f t="shared" si="18"/>
        <v>5207174.5395050012</v>
      </c>
      <c r="J37" s="687">
        <f t="shared" si="18"/>
        <v>5207174.5395050012</v>
      </c>
      <c r="K37" s="687">
        <f t="shared" si="18"/>
        <v>5207174.5395050012</v>
      </c>
      <c r="L37" s="687">
        <f t="shared" si="18"/>
        <v>5207174.5395050012</v>
      </c>
      <c r="M37" s="687">
        <f t="shared" si="18"/>
        <v>5207174.5395050012</v>
      </c>
      <c r="N37" s="687">
        <f t="shared" si="18"/>
        <v>5207174.5395050012</v>
      </c>
      <c r="O37" s="687">
        <f t="shared" si="18"/>
        <v>5207174.5395050012</v>
      </c>
      <c r="P37" s="687">
        <f t="shared" si="18"/>
        <v>5207174.5395050012</v>
      </c>
      <c r="Q37" s="687">
        <f t="shared" si="18"/>
        <v>5207174.5395050012</v>
      </c>
      <c r="R37" s="687">
        <f t="shared" si="18"/>
        <v>5207174.5395050012</v>
      </c>
      <c r="S37" s="687">
        <f t="shared" si="18"/>
        <v>5207174.5395050012</v>
      </c>
      <c r="T37" s="687">
        <f t="shared" si="18"/>
        <v>5207174.5395050012</v>
      </c>
      <c r="U37" s="687">
        <f t="shared" si="18"/>
        <v>5207174.5395050012</v>
      </c>
      <c r="V37" s="687">
        <f t="shared" si="18"/>
        <v>5207174.5395050012</v>
      </c>
      <c r="W37" s="687">
        <f t="shared" si="18"/>
        <v>5207174.5395050012</v>
      </c>
      <c r="X37" s="686">
        <f t="shared" si="18"/>
        <v>5207174.5395050012</v>
      </c>
      <c r="Y37" s="676"/>
      <c r="Z37" s="671"/>
      <c r="AA37" s="671"/>
      <c r="AB37" s="671"/>
      <c r="AC37" s="671"/>
      <c r="AD37" s="2"/>
      <c r="AE37" s="2"/>
      <c r="AF37" s="2"/>
      <c r="AG37" s="2"/>
      <c r="AH37" s="2"/>
    </row>
    <row r="38" spans="2:34">
      <c r="B38" s="689"/>
      <c r="C38" s="337"/>
      <c r="D38" s="672"/>
      <c r="E38" s="672"/>
      <c r="F38" s="672"/>
      <c r="G38" s="672"/>
      <c r="H38" s="672"/>
      <c r="I38" s="672"/>
      <c r="J38" s="672"/>
      <c r="K38" s="672"/>
      <c r="L38" s="672"/>
      <c r="M38" s="672"/>
      <c r="N38" s="672"/>
      <c r="O38" s="672"/>
      <c r="P38" s="672"/>
      <c r="Q38" s="672"/>
      <c r="R38" s="672"/>
      <c r="S38" s="672"/>
      <c r="T38" s="672"/>
      <c r="U38" s="672"/>
      <c r="V38" s="672"/>
      <c r="W38" s="672"/>
      <c r="X38" s="688"/>
      <c r="Y38" s="676"/>
      <c r="Z38" s="671"/>
      <c r="AA38" s="671"/>
      <c r="AB38" s="671"/>
      <c r="AC38" s="671"/>
      <c r="AD38" s="2"/>
      <c r="AE38" s="2"/>
      <c r="AF38" s="2"/>
      <c r="AG38" s="2"/>
      <c r="AH38" s="2"/>
    </row>
    <row r="39" spans="2:34">
      <c r="B39" s="574" t="s">
        <v>1710</v>
      </c>
      <c r="C39" s="337" t="s">
        <v>879</v>
      </c>
      <c r="D39" s="687">
        <f t="shared" ref="D39:X39" si="19">D30-D36</f>
        <v>60004092.326701604</v>
      </c>
      <c r="E39" s="687">
        <f t="shared" si="19"/>
        <v>60004092.326701604</v>
      </c>
      <c r="F39" s="687">
        <f t="shared" si="19"/>
        <v>64484917.403046206</v>
      </c>
      <c r="G39" s="687">
        <f t="shared" si="19"/>
        <v>69919312.279390812</v>
      </c>
      <c r="H39" s="687">
        <f t="shared" si="19"/>
        <v>78016429.605735406</v>
      </c>
      <c r="I39" s="687">
        <f t="shared" si="19"/>
        <v>83314792.632080004</v>
      </c>
      <c r="J39" s="687">
        <f t="shared" si="19"/>
        <v>83314792.632080004</v>
      </c>
      <c r="K39" s="687">
        <f t="shared" si="19"/>
        <v>83314792.632080004</v>
      </c>
      <c r="L39" s="687">
        <f t="shared" si="19"/>
        <v>83314792.632080004</v>
      </c>
      <c r="M39" s="687">
        <f t="shared" si="19"/>
        <v>83314792.632080004</v>
      </c>
      <c r="N39" s="687">
        <f t="shared" si="19"/>
        <v>83314792.632080004</v>
      </c>
      <c r="O39" s="687">
        <f t="shared" si="19"/>
        <v>83314792.632080004</v>
      </c>
      <c r="P39" s="687">
        <f t="shared" si="19"/>
        <v>83314792.632080004</v>
      </c>
      <c r="Q39" s="687">
        <f t="shared" si="19"/>
        <v>83314792.632080004</v>
      </c>
      <c r="R39" s="687">
        <f t="shared" si="19"/>
        <v>83314792.632080004</v>
      </c>
      <c r="S39" s="687">
        <f t="shared" si="19"/>
        <v>83314792.632080004</v>
      </c>
      <c r="T39" s="687">
        <f t="shared" si="19"/>
        <v>83314792.632080004</v>
      </c>
      <c r="U39" s="687">
        <f t="shared" si="19"/>
        <v>83314792.632080004</v>
      </c>
      <c r="V39" s="687">
        <f t="shared" si="19"/>
        <v>83314792.632080004</v>
      </c>
      <c r="W39" s="687">
        <f t="shared" si="19"/>
        <v>83314792.632080004</v>
      </c>
      <c r="X39" s="686">
        <f t="shared" si="19"/>
        <v>83314792.632080004</v>
      </c>
      <c r="Y39" s="685"/>
      <c r="Z39" s="352"/>
      <c r="AA39" s="2"/>
      <c r="AB39" s="2"/>
      <c r="AC39" s="2"/>
      <c r="AD39" s="2"/>
      <c r="AE39" s="2"/>
      <c r="AF39" s="2"/>
      <c r="AG39" s="2"/>
      <c r="AH39" s="2"/>
    </row>
    <row r="40" spans="2:34" s="250" customFormat="1">
      <c r="B40" s="574" t="s">
        <v>881</v>
      </c>
      <c r="C40" s="337" t="s">
        <v>879</v>
      </c>
      <c r="D40" s="684">
        <f t="shared" ref="D40:X40" si="20">D30-D35</f>
        <v>50652805.210852005</v>
      </c>
      <c r="E40" s="684">
        <f t="shared" si="20"/>
        <v>50652805.210852005</v>
      </c>
      <c r="F40" s="684">
        <f t="shared" si="20"/>
        <v>56253836.556282759</v>
      </c>
      <c r="G40" s="684">
        <f t="shared" si="20"/>
        <v>62710117.651713505</v>
      </c>
      <c r="H40" s="684">
        <f t="shared" si="20"/>
        <v>71653020.559644252</v>
      </c>
      <c r="I40" s="684">
        <f t="shared" si="20"/>
        <v>78107618.092575014</v>
      </c>
      <c r="J40" s="684">
        <f t="shared" si="20"/>
        <v>78107618.092575014</v>
      </c>
      <c r="K40" s="684">
        <f t="shared" si="20"/>
        <v>78107618.092575014</v>
      </c>
      <c r="L40" s="684">
        <f t="shared" si="20"/>
        <v>78107618.092575014</v>
      </c>
      <c r="M40" s="684">
        <f t="shared" si="20"/>
        <v>78107618.092575014</v>
      </c>
      <c r="N40" s="684">
        <f t="shared" si="20"/>
        <v>78107618.092575014</v>
      </c>
      <c r="O40" s="684">
        <f t="shared" si="20"/>
        <v>78107618.092575014</v>
      </c>
      <c r="P40" s="684">
        <f t="shared" si="20"/>
        <v>78107618.092575014</v>
      </c>
      <c r="Q40" s="684">
        <f t="shared" si="20"/>
        <v>78107618.092575014</v>
      </c>
      <c r="R40" s="684">
        <f t="shared" si="20"/>
        <v>78107618.092575014</v>
      </c>
      <c r="S40" s="684">
        <f t="shared" si="20"/>
        <v>78107618.092575014</v>
      </c>
      <c r="T40" s="684">
        <f t="shared" si="20"/>
        <v>78107618.092575014</v>
      </c>
      <c r="U40" s="684">
        <f t="shared" si="20"/>
        <v>78107618.092575014</v>
      </c>
      <c r="V40" s="684">
        <f t="shared" si="20"/>
        <v>78107618.092575014</v>
      </c>
      <c r="W40" s="684">
        <f t="shared" si="20"/>
        <v>78107618.092575014</v>
      </c>
      <c r="X40" s="683">
        <f t="shared" si="20"/>
        <v>78107618.092575014</v>
      </c>
      <c r="Y40" s="682"/>
      <c r="Z40" s="354"/>
      <c r="AA40" s="681"/>
      <c r="AB40" s="681"/>
      <c r="AC40" s="681"/>
      <c r="AD40" s="681"/>
      <c r="AE40" s="681"/>
      <c r="AF40" s="681"/>
      <c r="AG40" s="681"/>
      <c r="AH40" s="681"/>
    </row>
    <row r="41" spans="2:34">
      <c r="B41" s="116"/>
      <c r="C41" s="469" t="s">
        <v>78</v>
      </c>
      <c r="X41" s="1132"/>
    </row>
    <row r="42" spans="2:34">
      <c r="B42" s="574" t="s">
        <v>880</v>
      </c>
      <c r="C42" s="337" t="s">
        <v>879</v>
      </c>
      <c r="D42" s="672">
        <f>'Time Savings'!E19*'Time Savings'!$N$182</f>
        <v>0</v>
      </c>
      <c r="E42" s="672">
        <f>'Time Savings'!F19*'Time Savings'!$N$182</f>
        <v>0</v>
      </c>
      <c r="F42" s="672">
        <f>'Time Savings'!G19*'Time Savings'!$N$182</f>
        <v>76884.200425000003</v>
      </c>
      <c r="G42" s="672">
        <f>'Time Savings'!H19*'Time Savings'!$N$182</f>
        <v>384421.002125</v>
      </c>
      <c r="H42" s="672">
        <f>'Time Savings'!I19*'Time Savings'!$N$182</f>
        <v>922610.40509999997</v>
      </c>
      <c r="I42" s="672">
        <f>'Time Savings'!J19*'Time Savings'!$N$182</f>
        <v>1460799.8080749998</v>
      </c>
      <c r="J42" s="672">
        <f>'Time Savings'!K19*'Time Savings'!$N$182</f>
        <v>1537684.0085</v>
      </c>
      <c r="K42" s="672">
        <f>'Time Savings'!L19*'Time Savings'!$N$182</f>
        <v>1537684.0085</v>
      </c>
      <c r="L42" s="672">
        <f>'Time Savings'!M19*'Time Savings'!$N$182</f>
        <v>1537684.0085</v>
      </c>
      <c r="M42" s="672">
        <f>'Time Savings'!N19*'Time Savings'!$N$182</f>
        <v>1537684.0085</v>
      </c>
      <c r="N42" s="672">
        <f>'Time Savings'!O19*'Time Savings'!$N$182</f>
        <v>1537684.0085</v>
      </c>
      <c r="O42" s="672">
        <f>'Time Savings'!P19*'Time Savings'!$N$182</f>
        <v>1537684.0085</v>
      </c>
      <c r="P42" s="672">
        <f>'Time Savings'!Q19*'Time Savings'!$N$182</f>
        <v>1537684.0085</v>
      </c>
      <c r="Q42" s="672">
        <f>'Time Savings'!R19*'Time Savings'!$N$182</f>
        <v>1537684.0085</v>
      </c>
      <c r="R42" s="672">
        <f>'Time Savings'!S19*'Time Savings'!$N$182</f>
        <v>1537684.0085</v>
      </c>
      <c r="S42" s="672">
        <f>'Time Savings'!T19*'Time Savings'!$N$182</f>
        <v>1537684.0085</v>
      </c>
      <c r="T42" s="672">
        <f>'Time Savings'!U19*'Time Savings'!$N$182</f>
        <v>1537684.0085</v>
      </c>
      <c r="U42" s="672">
        <f>'Time Savings'!V19*'Time Savings'!$N$182</f>
        <v>1537684.0085</v>
      </c>
      <c r="V42" s="672">
        <f>'Time Savings'!W19*'Time Savings'!$N$182</f>
        <v>1537684.0085</v>
      </c>
      <c r="W42" s="672">
        <f>'Time Savings'!X19*'Time Savings'!$N$182</f>
        <v>1537684.0085</v>
      </c>
      <c r="X42" s="1135">
        <f>'Time Savings'!Y19*'Time Savings'!$N$182</f>
        <v>1537684.0085</v>
      </c>
      <c r="Y42" s="676"/>
      <c r="Z42" s="671"/>
      <c r="AA42" s="671"/>
      <c r="AB42" s="671"/>
      <c r="AC42" s="671"/>
      <c r="AD42" s="2"/>
      <c r="AE42" s="2"/>
      <c r="AF42" s="2"/>
      <c r="AG42" s="2"/>
      <c r="AH42" s="2"/>
    </row>
    <row r="43" spans="2:34" ht="15" thickBot="1">
      <c r="B43" s="680"/>
      <c r="C43" s="679"/>
      <c r="D43" s="678"/>
      <c r="E43" s="678"/>
      <c r="F43" s="678"/>
      <c r="G43" s="678"/>
      <c r="H43" s="678"/>
      <c r="I43" s="678"/>
      <c r="J43" s="678"/>
      <c r="K43" s="678"/>
      <c r="L43" s="678"/>
      <c r="M43" s="678"/>
      <c r="N43" s="678"/>
      <c r="O43" s="678"/>
      <c r="P43" s="678"/>
      <c r="Q43" s="678"/>
      <c r="R43" s="678"/>
      <c r="S43" s="678"/>
      <c r="T43" s="678"/>
      <c r="U43" s="678"/>
      <c r="V43" s="678"/>
      <c r="W43" s="678"/>
      <c r="X43" s="677"/>
      <c r="Y43" s="676"/>
      <c r="Z43" s="671"/>
      <c r="AA43" s="671"/>
      <c r="AB43" s="671"/>
      <c r="AC43" s="671"/>
      <c r="AD43" s="2"/>
      <c r="AE43" s="2"/>
      <c r="AF43" s="2"/>
      <c r="AG43" s="2"/>
      <c r="AH43" s="2"/>
    </row>
    <row r="44" spans="2:34" s="1137" customFormat="1">
      <c r="B44" s="338" t="s">
        <v>1711</v>
      </c>
      <c r="C44" s="337"/>
      <c r="D44" s="672"/>
      <c r="E44" s="672"/>
      <c r="F44" s="672"/>
      <c r="G44" s="672"/>
      <c r="H44" s="672"/>
      <c r="I44" s="672"/>
      <c r="J44" s="672"/>
      <c r="K44" s="672"/>
      <c r="L44" s="672"/>
      <c r="M44" s="672"/>
      <c r="N44" s="672"/>
      <c r="O44" s="672"/>
      <c r="P44" s="672"/>
      <c r="Q44" s="672"/>
      <c r="R44" s="672"/>
      <c r="S44" s="672"/>
      <c r="T44" s="672"/>
      <c r="U44" s="672"/>
      <c r="V44" s="672"/>
      <c r="W44" s="672"/>
      <c r="X44" s="672"/>
      <c r="Y44" s="676"/>
      <c r="Z44" s="671"/>
      <c r="AA44" s="671"/>
      <c r="AB44" s="671"/>
      <c r="AC44" s="671"/>
      <c r="AD44" s="2"/>
      <c r="AE44" s="2"/>
      <c r="AF44" s="2"/>
      <c r="AG44" s="2"/>
      <c r="AH44" s="2"/>
    </row>
    <row r="45" spans="2:34">
      <c r="C45" s="337"/>
      <c r="D45" s="672"/>
      <c r="E45" s="672"/>
      <c r="F45" s="672"/>
      <c r="G45" s="672"/>
      <c r="H45" s="672"/>
      <c r="I45" s="672"/>
      <c r="J45" s="672"/>
      <c r="K45" s="673">
        <v>1</v>
      </c>
      <c r="L45" s="672" t="s">
        <v>421</v>
      </c>
      <c r="M45" s="672"/>
      <c r="N45" s="672"/>
      <c r="O45" s="672"/>
      <c r="P45" s="672"/>
      <c r="Q45" s="672"/>
      <c r="R45" s="672"/>
      <c r="S45" s="672"/>
      <c r="T45" s="672"/>
      <c r="U45" s="672"/>
      <c r="V45" s="672"/>
      <c r="W45" s="672"/>
      <c r="X45" s="672"/>
      <c r="Y45" s="676"/>
      <c r="Z45" s="671"/>
      <c r="AA45" s="671"/>
      <c r="AB45" s="671"/>
      <c r="AC45" s="671"/>
      <c r="AD45" s="2"/>
      <c r="AE45" s="2"/>
      <c r="AF45" s="2"/>
      <c r="AG45" s="2"/>
      <c r="AH45" s="2"/>
    </row>
    <row r="46" spans="2:34" s="3" customFormat="1">
      <c r="B46" s="3" t="s">
        <v>878</v>
      </c>
      <c r="C46" s="3" t="s">
        <v>596</v>
      </c>
      <c r="D46" s="221" t="s">
        <v>595</v>
      </c>
      <c r="E46" s="3" t="s">
        <v>347</v>
      </c>
      <c r="M46" s="671">
        <v>0.25</v>
      </c>
      <c r="Y46" s="421"/>
    </row>
    <row r="47" spans="2:34">
      <c r="B47" s="1" t="s">
        <v>877</v>
      </c>
      <c r="C47" s="9" t="s">
        <v>224</v>
      </c>
      <c r="D47" s="10">
        <v>0.2</v>
      </c>
      <c r="E47" s="1" t="s">
        <v>1265</v>
      </c>
      <c r="M47" s="223">
        <v>0.29832539938211194</v>
      </c>
    </row>
    <row r="48" spans="2:34">
      <c r="B48" s="288" t="s">
        <v>876</v>
      </c>
      <c r="C48" s="202" t="s">
        <v>532</v>
      </c>
      <c r="D48" s="675">
        <f>'Time Savings'!E116+'Time Savings'!E157+'Time Savings'!E116</f>
        <v>542325.84339326853</v>
      </c>
      <c r="E48" s="6" t="s">
        <v>1266</v>
      </c>
      <c r="H48" s="6"/>
      <c r="I48" s="6"/>
      <c r="J48" s="6"/>
      <c r="K48" s="6"/>
      <c r="L48" s="68" t="s">
        <v>418</v>
      </c>
      <c r="M48" s="669">
        <f>(M47-M46)/M46</f>
        <v>0.19330159752844778</v>
      </c>
      <c r="N48" s="6"/>
      <c r="O48" s="6"/>
      <c r="P48" s="6"/>
    </row>
    <row r="49" spans="2:27">
      <c r="B49" s="288" t="s">
        <v>875</v>
      </c>
      <c r="C49" s="202" t="s">
        <v>532</v>
      </c>
      <c r="D49" s="675">
        <f>'Time Savings'!E113+'Time Savings'!E154+'Time Savings'!E133</f>
        <v>462054.3685983934</v>
      </c>
      <c r="E49" s="6" t="s">
        <v>1266</v>
      </c>
      <c r="H49" s="6"/>
      <c r="I49" s="6"/>
      <c r="J49" s="6"/>
      <c r="K49" s="6"/>
      <c r="L49" s="6"/>
      <c r="M49" s="6"/>
      <c r="N49" s="6"/>
      <c r="O49" s="6"/>
      <c r="P49" s="6"/>
    </row>
    <row r="50" spans="2:27">
      <c r="B50" s="288"/>
      <c r="C50" s="202"/>
      <c r="D50" s="675"/>
      <c r="E50" s="6"/>
      <c r="H50" s="6"/>
      <c r="I50" s="6"/>
      <c r="J50" s="6"/>
      <c r="K50" s="6"/>
      <c r="L50" s="6"/>
      <c r="M50" s="6"/>
      <c r="N50" s="6"/>
      <c r="O50" s="6"/>
      <c r="P50" s="6"/>
    </row>
    <row r="51" spans="2:27" ht="16.5">
      <c r="B51" s="288" t="s">
        <v>874</v>
      </c>
      <c r="C51" s="202" t="s">
        <v>869</v>
      </c>
      <c r="D51" s="142">
        <v>0.25</v>
      </c>
      <c r="E51" s="6" t="s">
        <v>1701</v>
      </c>
      <c r="H51" s="6"/>
      <c r="I51" s="6"/>
      <c r="J51" s="6"/>
      <c r="K51" s="6"/>
      <c r="L51" s="6"/>
      <c r="M51" s="6"/>
      <c r="N51" s="6"/>
      <c r="O51" s="6"/>
      <c r="P51" s="6"/>
    </row>
    <row r="52" spans="2:27" ht="16.5">
      <c r="B52" s="1" t="s">
        <v>872</v>
      </c>
      <c r="C52" s="9" t="s">
        <v>873</v>
      </c>
      <c r="D52" s="674">
        <f>427749200/201108</f>
        <v>2126.9626270461645</v>
      </c>
      <c r="E52" s="6" t="s">
        <v>1267</v>
      </c>
      <c r="H52" s="6"/>
      <c r="I52" s="6"/>
      <c r="J52" s="6"/>
      <c r="K52" s="6"/>
      <c r="L52" s="6"/>
      <c r="M52" s="6"/>
      <c r="N52" s="6"/>
      <c r="O52" s="6"/>
      <c r="P52" s="6"/>
    </row>
    <row r="53" spans="2:27" ht="16.5">
      <c r="B53" s="1" t="s">
        <v>871</v>
      </c>
      <c r="C53" s="9" t="s">
        <v>873</v>
      </c>
      <c r="D53" s="674">
        <f>816105000/414133</f>
        <v>1970.6350375362504</v>
      </c>
      <c r="E53" s="6" t="s">
        <v>1267</v>
      </c>
      <c r="F53" s="673">
        <v>1</v>
      </c>
      <c r="G53" s="672" t="s">
        <v>421</v>
      </c>
      <c r="H53" s="672"/>
      <c r="I53" s="6"/>
      <c r="J53" s="6"/>
      <c r="K53" s="6"/>
      <c r="L53" s="6"/>
      <c r="M53" s="6"/>
      <c r="N53" s="6"/>
      <c r="O53" s="6"/>
      <c r="P53" s="6"/>
    </row>
    <row r="54" spans="2:27" ht="16.5">
      <c r="B54" s="1" t="s">
        <v>872</v>
      </c>
      <c r="C54" s="9" t="s">
        <v>869</v>
      </c>
      <c r="D54" s="670">
        <f>D52*(Assumptions!$O$50/Assumptions!$O$48)/Assumptions!$E$44</f>
        <v>0.50398794620744025</v>
      </c>
      <c r="F54" s="3"/>
      <c r="G54" s="3"/>
      <c r="H54" s="671">
        <v>0.48822607516825617</v>
      </c>
      <c r="I54" s="6"/>
      <c r="J54" s="6"/>
      <c r="K54" s="6"/>
      <c r="L54" s="6"/>
      <c r="M54" s="6"/>
      <c r="N54" s="6"/>
      <c r="O54" s="6"/>
      <c r="P54" s="6"/>
    </row>
    <row r="55" spans="2:27" ht="16.5">
      <c r="B55" s="1" t="s">
        <v>871</v>
      </c>
      <c r="C55" s="9" t="s">
        <v>869</v>
      </c>
      <c r="D55" s="670">
        <f>D53*(Assumptions!$O$50/Assumptions!$O$48)/Assumptions!$E$44</f>
        <v>0.46694581872912255</v>
      </c>
      <c r="H55" s="223">
        <v>0.39931229218588715</v>
      </c>
      <c r="I55" s="6"/>
      <c r="J55" s="6"/>
      <c r="K55" s="6"/>
      <c r="L55" s="6"/>
      <c r="M55" s="6"/>
      <c r="N55" s="6"/>
      <c r="O55" s="6"/>
      <c r="P55" s="6"/>
      <c r="Z55" s="68"/>
    </row>
    <row r="56" spans="2:27" ht="16.5">
      <c r="B56" s="288" t="s">
        <v>870</v>
      </c>
      <c r="C56" s="202" t="s">
        <v>869</v>
      </c>
      <c r="D56" s="142">
        <f>(D48*D54+D49*D55)/SUM(D48:D49)*F53</f>
        <v>0.48694711185090145</v>
      </c>
      <c r="E56" s="6"/>
      <c r="F56" s="6"/>
      <c r="G56" s="68" t="s">
        <v>418</v>
      </c>
      <c r="H56" s="669">
        <f>(H55-H54)/H54</f>
        <v>-0.18211600630246322</v>
      </c>
      <c r="I56" s="6"/>
      <c r="J56" s="6"/>
      <c r="K56" s="6"/>
      <c r="L56" s="6"/>
      <c r="M56" s="6"/>
      <c r="N56" s="6"/>
      <c r="O56" s="6"/>
      <c r="P56" s="6"/>
    </row>
    <row r="57" spans="2:27">
      <c r="B57" s="288"/>
      <c r="D57" s="202"/>
      <c r="E57" s="142"/>
      <c r="F57" s="6"/>
      <c r="H57" s="6"/>
      <c r="I57" s="6"/>
      <c r="J57" s="6"/>
      <c r="K57" s="6"/>
      <c r="L57" s="6"/>
      <c r="M57" s="6"/>
      <c r="N57" s="6"/>
      <c r="O57" s="6"/>
      <c r="P57" s="6"/>
      <c r="Z57" s="68"/>
    </row>
    <row r="58" spans="2:27">
      <c r="E58" s="142"/>
      <c r="AA58" s="68"/>
    </row>
    <row r="59" spans="2:27">
      <c r="D59" s="9"/>
      <c r="E59" s="150"/>
      <c r="AA59" s="68"/>
    </row>
    <row r="60" spans="2:27">
      <c r="D60" s="9"/>
      <c r="E60" s="150"/>
    </row>
    <row r="61" spans="2:27">
      <c r="E61" s="9"/>
      <c r="F61" s="9"/>
    </row>
    <row r="62" spans="2:27">
      <c r="D62" s="9"/>
      <c r="E62" s="150"/>
      <c r="F62" s="150"/>
    </row>
    <row r="63" spans="2:27">
      <c r="B63" s="132"/>
      <c r="D63" s="9"/>
      <c r="E63" s="219"/>
      <c r="F63" s="219"/>
    </row>
    <row r="64" spans="2:27">
      <c r="B64" s="132"/>
      <c r="D64" s="9"/>
      <c r="E64" s="219"/>
      <c r="F64" s="219"/>
    </row>
    <row r="65" spans="2:6">
      <c r="B65" s="132"/>
      <c r="D65" s="9"/>
      <c r="E65" s="219"/>
      <c r="F65" s="219"/>
    </row>
  </sheetData>
  <autoFilter ref="A2:A40" xr:uid="{00000000-0009-0000-0000-00000C000000}"/>
  <mergeCells count="1">
    <mergeCell ref="E5:I5"/>
  </mergeCells>
  <pageMargins left="0.25" right="0.25" top="0.75" bottom="0.75" header="0.3" footer="0.3"/>
  <pageSetup paperSize="3" scale="5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AD171"/>
  <sheetViews>
    <sheetView topLeftCell="B1" zoomScale="80" zoomScaleNormal="80" workbookViewId="0">
      <selection activeCell="X2" sqref="X2"/>
    </sheetView>
  </sheetViews>
  <sheetFormatPr defaultColWidth="9.1796875" defaultRowHeight="14.5"/>
  <cols>
    <col min="1" max="1" width="27.7265625" style="1" customWidth="1"/>
    <col min="2" max="2" width="17.26953125" style="1" customWidth="1"/>
    <col min="3" max="3" width="15.54296875" style="1" customWidth="1"/>
    <col min="4" max="4" width="15.81640625" style="1" customWidth="1"/>
    <col min="5" max="5" width="12.7265625" style="1" customWidth="1"/>
    <col min="6" max="6" width="12.7265625" style="1" bestFit="1" customWidth="1"/>
    <col min="7" max="7" width="12.7265625" style="1" customWidth="1"/>
    <col min="8" max="10" width="12.7265625" style="1" bestFit="1" customWidth="1"/>
    <col min="11" max="11" width="12.7265625" style="1" customWidth="1"/>
    <col min="12" max="12" width="12.81640625" style="1" bestFit="1" customWidth="1"/>
    <col min="13" max="16" width="13.26953125" style="1" bestFit="1" customWidth="1"/>
    <col min="17" max="20" width="12.7265625" style="1" bestFit="1" customWidth="1"/>
    <col min="21" max="21" width="12.7265625" style="1" customWidth="1"/>
    <col min="22" max="24" width="12.7265625" style="1" bestFit="1" customWidth="1"/>
    <col min="25" max="25" width="12.7265625" style="1" customWidth="1"/>
    <col min="26" max="26" width="11.1796875" style="1" bestFit="1" customWidth="1"/>
    <col min="27" max="30" width="10.1796875" style="1" bestFit="1" customWidth="1"/>
    <col min="31" max="16384" width="9.1796875" style="1"/>
  </cols>
  <sheetData>
    <row r="1" spans="1:25" s="1137" customFormat="1"/>
    <row r="2" spans="1:25" ht="18.5">
      <c r="A2" s="124" t="s">
        <v>1029</v>
      </c>
      <c r="L2" s="1073"/>
      <c r="X2" s="1319" t="s">
        <v>1764</v>
      </c>
    </row>
    <row r="3" spans="1:25" ht="15.5">
      <c r="A3" s="192"/>
      <c r="E3" s="3" t="s">
        <v>1028</v>
      </c>
      <c r="X3" s="1137"/>
    </row>
    <row r="4" spans="1:25">
      <c r="D4" s="276" t="s">
        <v>91</v>
      </c>
      <c r="E4" s="119"/>
    </row>
    <row r="5" spans="1:25">
      <c r="D5" s="274" t="s">
        <v>1027</v>
      </c>
      <c r="E5" s="447">
        <v>1</v>
      </c>
      <c r="F5" s="221">
        <v>2</v>
      </c>
      <c r="G5" s="221">
        <v>3</v>
      </c>
      <c r="H5" s="221">
        <v>4</v>
      </c>
      <c r="I5" s="221">
        <v>5</v>
      </c>
      <c r="J5" s="221">
        <v>6</v>
      </c>
      <c r="K5" s="221">
        <v>7</v>
      </c>
      <c r="L5" s="221">
        <v>8</v>
      </c>
      <c r="M5" s="221">
        <v>9</v>
      </c>
      <c r="N5" s="221">
        <v>10</v>
      </c>
      <c r="O5" s="221">
        <v>11</v>
      </c>
      <c r="P5" s="221">
        <v>12</v>
      </c>
      <c r="Q5" s="221">
        <v>13</v>
      </c>
      <c r="R5" s="221">
        <v>14</v>
      </c>
      <c r="S5" s="221">
        <v>15</v>
      </c>
      <c r="T5" s="221">
        <v>16</v>
      </c>
      <c r="U5" s="221">
        <v>17</v>
      </c>
      <c r="V5" s="221">
        <v>18</v>
      </c>
      <c r="W5" s="221">
        <v>19</v>
      </c>
      <c r="X5" s="221">
        <v>20</v>
      </c>
    </row>
    <row r="6" spans="1:25">
      <c r="C6" s="255" t="s">
        <v>1026</v>
      </c>
      <c r="D6" s="774" t="s">
        <v>1025</v>
      </c>
      <c r="E6" s="773">
        <v>2012</v>
      </c>
      <c r="F6" s="634">
        <v>2013</v>
      </c>
      <c r="G6" s="634">
        <v>2014</v>
      </c>
      <c r="H6" s="634">
        <v>2015</v>
      </c>
      <c r="I6" s="634">
        <v>2016</v>
      </c>
      <c r="J6" s="634">
        <v>2017</v>
      </c>
      <c r="K6" s="634">
        <v>2018</v>
      </c>
      <c r="L6" s="634">
        <v>2019</v>
      </c>
      <c r="M6" s="634">
        <v>2020</v>
      </c>
      <c r="N6" s="634">
        <v>2021</v>
      </c>
      <c r="O6" s="634">
        <v>2022</v>
      </c>
      <c r="P6" s="634">
        <v>2023</v>
      </c>
      <c r="Q6" s="634">
        <v>2024</v>
      </c>
      <c r="R6" s="634">
        <v>2025</v>
      </c>
      <c r="S6" s="634">
        <v>2026</v>
      </c>
      <c r="T6" s="634">
        <v>2027</v>
      </c>
      <c r="U6" s="634">
        <v>2028</v>
      </c>
      <c r="V6" s="634">
        <v>2029</v>
      </c>
      <c r="W6" s="634">
        <v>2030</v>
      </c>
      <c r="X6" s="634">
        <v>2031</v>
      </c>
      <c r="Y6" s="210"/>
    </row>
    <row r="7" spans="1:25">
      <c r="C7" s="1" t="s">
        <v>1260</v>
      </c>
      <c r="E7" s="772">
        <f t="shared" ref="E7:X7" si="0">E83/1000000</f>
        <v>2.2903906740573872</v>
      </c>
      <c r="F7" s="771">
        <f t="shared" si="0"/>
        <v>2.4093940015088515</v>
      </c>
      <c r="G7" s="771">
        <f t="shared" si="0"/>
        <v>2.5345804627396009</v>
      </c>
      <c r="H7" s="771">
        <f t="shared" si="0"/>
        <v>2.6662713188786391</v>
      </c>
      <c r="I7" s="771">
        <f t="shared" si="0"/>
        <v>2.8048045230297372</v>
      </c>
      <c r="J7" s="771">
        <f t="shared" si="0"/>
        <v>2.9505355875472903</v>
      </c>
      <c r="K7" s="771">
        <f t="shared" si="0"/>
        <v>3.1038384963737924</v>
      </c>
      <c r="L7" s="771">
        <f t="shared" si="0"/>
        <v>3.265106664780236</v>
      </c>
      <c r="M7" s="771">
        <f t="shared" si="0"/>
        <v>3.4347539489723591</v>
      </c>
      <c r="N7" s="771">
        <f t="shared" si="0"/>
        <v>3.6132157081536787</v>
      </c>
      <c r="O7" s="771">
        <f t="shared" si="0"/>
        <v>3.8009499217708167</v>
      </c>
      <c r="P7" s="771">
        <f t="shared" si="0"/>
        <v>3.9984383648082775</v>
      </c>
      <c r="Q7" s="771">
        <f t="shared" si="0"/>
        <v>4.2061878441487863</v>
      </c>
      <c r="R7" s="771">
        <f t="shared" si="0"/>
        <v>4.4247314991720117</v>
      </c>
      <c r="S7" s="771">
        <f t="shared" si="0"/>
        <v>4.6546301699293418</v>
      </c>
      <c r="T7" s="771">
        <f t="shared" si="0"/>
        <v>4.8964738364058187</v>
      </c>
      <c r="U7" s="771">
        <f t="shared" si="0"/>
        <v>5.1508831325627478</v>
      </c>
      <c r="V7" s="771">
        <f t="shared" si="0"/>
        <v>5.4185109390463984</v>
      </c>
      <c r="W7" s="771">
        <f t="shared" si="0"/>
        <v>5.7000440586501373</v>
      </c>
      <c r="X7" s="771">
        <f t="shared" si="0"/>
        <v>5.9962049788296108</v>
      </c>
      <c r="Y7" s="352"/>
    </row>
    <row r="8" spans="1:25">
      <c r="C8" s="1" t="s">
        <v>1024</v>
      </c>
      <c r="E8" s="767">
        <f t="shared" ref="E8:X8" si="1">E92/1000000</f>
        <v>0.80753222126935198</v>
      </c>
      <c r="F8" s="770">
        <f>F92/1000000</f>
        <v>0.84948970146860858</v>
      </c>
      <c r="G8" s="770">
        <f t="shared" si="1"/>
        <v>0.89362719393029166</v>
      </c>
      <c r="H8" s="770">
        <f t="shared" si="1"/>
        <v>0.94005796697846888</v>
      </c>
      <c r="I8" s="770">
        <f t="shared" si="1"/>
        <v>0.98890117409366407</v>
      </c>
      <c r="J8" s="770">
        <f t="shared" si="1"/>
        <v>1.0402821596917824</v>
      </c>
      <c r="K8" s="770">
        <f t="shared" si="1"/>
        <v>1.09433278079059</v>
      </c>
      <c r="L8" s="770">
        <f t="shared" si="1"/>
        <v>1.1511917453892346</v>
      </c>
      <c r="M8" s="770">
        <f t="shared" si="1"/>
        <v>1.2110049684291682</v>
      </c>
      <c r="N8" s="770">
        <f t="shared" si="1"/>
        <v>1.2739259462499664</v>
      </c>
      <c r="O8" s="770">
        <f t="shared" si="1"/>
        <v>1.340116150500992</v>
      </c>
      <c r="P8" s="770">
        <f t="shared" si="1"/>
        <v>1.4097454425197866</v>
      </c>
      <c r="Q8" s="770">
        <f t="shared" si="1"/>
        <v>1.4829925092405924</v>
      </c>
      <c r="R8" s="770">
        <f t="shared" si="1"/>
        <v>1.5600453217516541</v>
      </c>
      <c r="S8" s="770">
        <f t="shared" si="1"/>
        <v>1.6411016176780875</v>
      </c>
      <c r="T8" s="770">
        <f t="shared" si="1"/>
        <v>1.7263694086282264</v>
      </c>
      <c r="U8" s="770">
        <f t="shared" si="1"/>
        <v>1.8160675140056974</v>
      </c>
      <c r="V8" s="770">
        <f t="shared" si="1"/>
        <v>1.9104261225571106</v>
      </c>
      <c r="W8" s="770">
        <f t="shared" si="1"/>
        <v>2.0096873830964554</v>
      </c>
      <c r="X8" s="770">
        <f t="shared" si="1"/>
        <v>2.114106025922152</v>
      </c>
      <c r="Y8" s="352"/>
    </row>
    <row r="9" spans="1:25">
      <c r="C9" s="1" t="s">
        <v>1023</v>
      </c>
      <c r="E9" s="767">
        <f t="shared" ref="E9:X9" si="2">E131/1000000</f>
        <v>2.4769547640352612E-3</v>
      </c>
      <c r="F9" s="770">
        <f t="shared" si="2"/>
        <v>2.514701575972304E-3</v>
      </c>
      <c r="G9" s="770">
        <f t="shared" si="2"/>
        <v>2.5553526020221716E-3</v>
      </c>
      <c r="H9" s="770">
        <f t="shared" si="2"/>
        <v>2.5991373712016294E-3</v>
      </c>
      <c r="I9" s="770">
        <f t="shared" si="2"/>
        <v>2.6463035529149907E-3</v>
      </c>
      <c r="J9" s="770">
        <f t="shared" si="2"/>
        <v>2.697118390645013E-3</v>
      </c>
      <c r="K9" s="770">
        <f t="shared" si="2"/>
        <v>2.7518702489528059E-3</v>
      </c>
      <c r="L9" s="770">
        <f t="shared" si="2"/>
        <v>2.8108702827419306E-3</v>
      </c>
      <c r="M9" s="770">
        <f t="shared" si="2"/>
        <v>2.8744542384495958E-3</v>
      </c>
      <c r="N9" s="770">
        <f t="shared" si="2"/>
        <v>2.9429843975915622E-3</v>
      </c>
      <c r="O9" s="770">
        <f t="shared" si="2"/>
        <v>3.0168516739114059E-3</v>
      </c>
      <c r="P9" s="770">
        <f t="shared" si="2"/>
        <v>3.0964778762739707E-3</v>
      </c>
      <c r="Q9" s="770">
        <f t="shared" si="2"/>
        <v>3.1823181504022822E-3</v>
      </c>
      <c r="R9" s="770">
        <f t="shared" si="2"/>
        <v>3.2748636135924783E-3</v>
      </c>
      <c r="S9" s="770">
        <f t="shared" si="2"/>
        <v>3.3746441976584001E-3</v>
      </c>
      <c r="T9" s="770">
        <f t="shared" si="2"/>
        <v>3.4822317165628825E-3</v>
      </c>
      <c r="U9" s="770">
        <f t="shared" si="2"/>
        <v>3.5982431764934259E-3</v>
      </c>
      <c r="V9" s="770">
        <f t="shared" si="2"/>
        <v>3.7233443475433751E-3</v>
      </c>
      <c r="W9" s="770">
        <f t="shared" si="2"/>
        <v>3.858253617674107E-3</v>
      </c>
      <c r="X9" s="770">
        <f t="shared" si="2"/>
        <v>4.0037461512677499E-3</v>
      </c>
      <c r="Y9" s="352"/>
    </row>
    <row r="10" spans="1:25">
      <c r="C10" s="65" t="s">
        <v>1022</v>
      </c>
      <c r="D10" s="65"/>
      <c r="E10" s="769">
        <f>E150/1000000</f>
        <v>5.8984796375593666E-2</v>
      </c>
      <c r="F10" s="768">
        <f t="shared" ref="F10:X10" si="3">F150/1000000</f>
        <v>6.1850041844334507E-2</v>
      </c>
      <c r="G10" s="768">
        <f t="shared" si="3"/>
        <v>6.3334442848598543E-2</v>
      </c>
      <c r="H10" s="768">
        <f t="shared" si="3"/>
        <v>6.485446947696491E-2</v>
      </c>
      <c r="I10" s="768">
        <f t="shared" si="3"/>
        <v>6.641097674441207E-2</v>
      </c>
      <c r="J10" s="768">
        <f t="shared" si="3"/>
        <v>6.8004840186277962E-2</v>
      </c>
      <c r="K10" s="768">
        <f t="shared" si="3"/>
        <v>6.9636956350748624E-2</v>
      </c>
      <c r="L10" s="768">
        <f t="shared" si="3"/>
        <v>7.1308243303166596E-2</v>
      </c>
      <c r="M10" s="768">
        <f t="shared" si="3"/>
        <v>7.3019641142442596E-2</v>
      </c>
      <c r="N10" s="768">
        <f t="shared" si="3"/>
        <v>7.4772112529861212E-2</v>
      </c>
      <c r="O10" s="768">
        <f t="shared" si="3"/>
        <v>7.6566643230577894E-2</v>
      </c>
      <c r="P10" s="768">
        <f t="shared" si="3"/>
        <v>7.8404242668111759E-2</v>
      </c>
      <c r="Q10" s="768">
        <f t="shared" si="3"/>
        <v>8.0285944492146447E-2</v>
      </c>
      <c r="R10" s="768">
        <f t="shared" si="3"/>
        <v>8.2212807159957962E-2</v>
      </c>
      <c r="S10" s="768">
        <f t="shared" si="3"/>
        <v>8.4185914531796968E-2</v>
      </c>
      <c r="T10" s="768">
        <f t="shared" si="3"/>
        <v>8.6206376480560079E-2</v>
      </c>
      <c r="U10" s="768">
        <f t="shared" si="3"/>
        <v>8.8275329516093543E-2</v>
      </c>
      <c r="V10" s="768">
        <f t="shared" si="3"/>
        <v>9.0393937424479778E-2</v>
      </c>
      <c r="W10" s="768">
        <f t="shared" si="3"/>
        <v>9.2563391922667299E-2</v>
      </c>
      <c r="X10" s="768">
        <f t="shared" si="3"/>
        <v>9.4784913328811296E-2</v>
      </c>
      <c r="Y10" s="352"/>
    </row>
    <row r="11" spans="1:25">
      <c r="C11" s="1" t="s">
        <v>133</v>
      </c>
      <c r="E11" s="767">
        <f>SUM(E7:E10)</f>
        <v>3.1593846464663677</v>
      </c>
      <c r="F11" s="766">
        <f>SUM(F7:F10)</f>
        <v>3.3232484463977667</v>
      </c>
      <c r="G11" s="766">
        <f t="shared" ref="G11:X11" si="4">SUM(G7:G10)</f>
        <v>3.4940974521205135</v>
      </c>
      <c r="H11" s="766">
        <f t="shared" si="4"/>
        <v>3.6737828927052743</v>
      </c>
      <c r="I11" s="766">
        <f t="shared" si="4"/>
        <v>3.8627629774207284</v>
      </c>
      <c r="J11" s="766">
        <f t="shared" si="4"/>
        <v>4.0615197058159955</v>
      </c>
      <c r="K11" s="766">
        <f t="shared" si="4"/>
        <v>4.2705601037640841</v>
      </c>
      <c r="L11" s="766">
        <f t="shared" si="4"/>
        <v>4.4904175237553794</v>
      </c>
      <c r="M11" s="766">
        <f t="shared" si="4"/>
        <v>4.7216530127824194</v>
      </c>
      <c r="N11" s="766">
        <f t="shared" si="4"/>
        <v>4.9648567513310979</v>
      </c>
      <c r="O11" s="766">
        <f t="shared" si="4"/>
        <v>5.2206495671762978</v>
      </c>
      <c r="P11" s="766">
        <f t="shared" si="4"/>
        <v>5.4896845278724502</v>
      </c>
      <c r="Q11" s="766">
        <f t="shared" si="4"/>
        <v>5.7726486160319279</v>
      </c>
      <c r="R11" s="766">
        <f t="shared" si="4"/>
        <v>6.0702644916972162</v>
      </c>
      <c r="S11" s="766">
        <f t="shared" si="4"/>
        <v>6.3832923463368845</v>
      </c>
      <c r="T11" s="766">
        <f t="shared" si="4"/>
        <v>6.7125318532311686</v>
      </c>
      <c r="U11" s="766">
        <f t="shared" si="4"/>
        <v>7.0588242192610329</v>
      </c>
      <c r="V11" s="766">
        <f t="shared" si="4"/>
        <v>7.423054343375532</v>
      </c>
      <c r="W11" s="766">
        <f t="shared" si="4"/>
        <v>7.8061530872869334</v>
      </c>
      <c r="X11" s="766">
        <f t="shared" si="4"/>
        <v>8.2090996642318412</v>
      </c>
      <c r="Y11" s="352"/>
    </row>
    <row r="13" spans="1:25">
      <c r="C13" s="3" t="s">
        <v>1021</v>
      </c>
    </row>
    <row r="14" spans="1:25">
      <c r="A14" s="1" t="s">
        <v>1020</v>
      </c>
      <c r="D14" s="3" t="s">
        <v>910</v>
      </c>
    </row>
    <row r="15" spans="1:25" ht="30" customHeight="1">
      <c r="A15" s="185" t="s">
        <v>1019</v>
      </c>
      <c r="B15" s="9" t="s">
        <v>177</v>
      </c>
      <c r="C15" s="221" t="s">
        <v>1018</v>
      </c>
      <c r="D15" s="765" t="s">
        <v>970</v>
      </c>
      <c r="E15" s="765" t="s">
        <v>969</v>
      </c>
      <c r="F15" s="765" t="s">
        <v>968</v>
      </c>
      <c r="G15" s="765" t="s">
        <v>967</v>
      </c>
      <c r="H15" s="765" t="s">
        <v>966</v>
      </c>
      <c r="I15" s="765" t="s">
        <v>909</v>
      </c>
      <c r="J15" s="765" t="s">
        <v>908</v>
      </c>
      <c r="K15" s="765" t="s">
        <v>907</v>
      </c>
      <c r="L15" s="765" t="s">
        <v>965</v>
      </c>
      <c r="M15" s="765" t="s">
        <v>70</v>
      </c>
    </row>
    <row r="16" spans="1:25">
      <c r="A16" s="9">
        <v>1</v>
      </c>
      <c r="B16" s="9" t="s">
        <v>1017</v>
      </c>
      <c r="C16" s="3" t="s">
        <v>1016</v>
      </c>
      <c r="D16" s="2">
        <v>1722</v>
      </c>
      <c r="E16" s="2">
        <v>95</v>
      </c>
      <c r="F16" s="2">
        <v>170</v>
      </c>
      <c r="G16" s="2">
        <v>32</v>
      </c>
      <c r="H16" s="2">
        <v>40</v>
      </c>
      <c r="I16" s="2">
        <v>611</v>
      </c>
      <c r="J16" s="2">
        <v>215</v>
      </c>
      <c r="K16" s="2">
        <v>40</v>
      </c>
      <c r="L16" s="2">
        <v>26</v>
      </c>
      <c r="M16" s="2">
        <f t="shared" ref="M16:M25" si="5">SUM(D16:L16)</f>
        <v>2951</v>
      </c>
    </row>
    <row r="17" spans="1:30">
      <c r="A17" s="9">
        <v>1</v>
      </c>
      <c r="B17" s="9" t="s">
        <v>1015</v>
      </c>
      <c r="C17" s="3" t="s">
        <v>1014</v>
      </c>
      <c r="D17" s="2">
        <v>100</v>
      </c>
      <c r="E17" s="2">
        <v>21</v>
      </c>
      <c r="F17" s="2">
        <v>27</v>
      </c>
      <c r="G17" s="2">
        <v>5</v>
      </c>
      <c r="H17" s="2">
        <v>0</v>
      </c>
      <c r="I17" s="2">
        <v>90</v>
      </c>
      <c r="J17" s="2">
        <v>118</v>
      </c>
      <c r="K17" s="2">
        <v>13</v>
      </c>
      <c r="L17" s="2">
        <v>10</v>
      </c>
      <c r="M17" s="2">
        <f t="shared" si="5"/>
        <v>384</v>
      </c>
    </row>
    <row r="18" spans="1:30">
      <c r="A18" s="9">
        <v>1</v>
      </c>
      <c r="B18" s="9" t="s">
        <v>1013</v>
      </c>
      <c r="C18" s="3" t="s">
        <v>1012</v>
      </c>
      <c r="D18" s="2">
        <v>6362</v>
      </c>
      <c r="E18" s="2">
        <v>198</v>
      </c>
      <c r="F18" s="2">
        <v>358</v>
      </c>
      <c r="G18" s="2">
        <v>60</v>
      </c>
      <c r="H18" s="2">
        <v>6</v>
      </c>
      <c r="I18" s="2">
        <v>782</v>
      </c>
      <c r="J18" s="2">
        <v>421</v>
      </c>
      <c r="K18" s="2">
        <v>86</v>
      </c>
      <c r="L18" s="2">
        <v>30</v>
      </c>
      <c r="M18" s="2">
        <f t="shared" si="5"/>
        <v>8303</v>
      </c>
    </row>
    <row r="19" spans="1:30">
      <c r="A19" s="9">
        <v>1</v>
      </c>
      <c r="B19" s="9" t="s">
        <v>1011</v>
      </c>
      <c r="C19" s="3" t="s">
        <v>1010</v>
      </c>
      <c r="D19" s="2">
        <v>8443</v>
      </c>
      <c r="E19" s="2">
        <v>176</v>
      </c>
      <c r="F19" s="2">
        <v>328</v>
      </c>
      <c r="G19" s="2">
        <v>51</v>
      </c>
      <c r="H19" s="2">
        <v>13</v>
      </c>
      <c r="I19" s="2">
        <v>637</v>
      </c>
      <c r="J19" s="2">
        <v>297</v>
      </c>
      <c r="K19" s="2">
        <v>124</v>
      </c>
      <c r="L19" s="2">
        <v>33</v>
      </c>
      <c r="M19" s="2">
        <f t="shared" si="5"/>
        <v>10102</v>
      </c>
    </row>
    <row r="20" spans="1:30">
      <c r="A20" s="9">
        <v>1</v>
      </c>
      <c r="B20" s="9" t="s">
        <v>1009</v>
      </c>
      <c r="C20" s="3" t="s">
        <v>1008</v>
      </c>
      <c r="D20" s="2">
        <v>5971</v>
      </c>
      <c r="E20" s="2">
        <v>319</v>
      </c>
      <c r="F20" s="2">
        <v>316</v>
      </c>
      <c r="G20" s="2">
        <v>84</v>
      </c>
      <c r="H20" s="2">
        <v>76</v>
      </c>
      <c r="I20" s="2">
        <v>221</v>
      </c>
      <c r="J20" s="2">
        <v>182</v>
      </c>
      <c r="K20" s="2">
        <v>19</v>
      </c>
      <c r="L20" s="2">
        <v>37</v>
      </c>
      <c r="M20" s="2">
        <f t="shared" si="5"/>
        <v>7225</v>
      </c>
    </row>
    <row r="21" spans="1:30">
      <c r="A21" s="9">
        <v>1</v>
      </c>
      <c r="B21" s="9" t="s">
        <v>1007</v>
      </c>
      <c r="C21" s="3" t="s">
        <v>1006</v>
      </c>
      <c r="D21" s="2">
        <v>22691</v>
      </c>
      <c r="E21" s="2">
        <v>569</v>
      </c>
      <c r="F21" s="2">
        <v>4247</v>
      </c>
      <c r="G21" s="2">
        <v>1415</v>
      </c>
      <c r="H21" s="2">
        <v>74</v>
      </c>
      <c r="I21" s="2">
        <v>1382</v>
      </c>
      <c r="J21" s="2">
        <v>495</v>
      </c>
      <c r="K21" s="2">
        <v>148</v>
      </c>
      <c r="L21" s="2">
        <v>35</v>
      </c>
      <c r="M21" s="2">
        <f t="shared" si="5"/>
        <v>31056</v>
      </c>
    </row>
    <row r="22" spans="1:30">
      <c r="A22" s="9">
        <v>1</v>
      </c>
      <c r="B22" s="9" t="s">
        <v>1005</v>
      </c>
      <c r="C22" s="3" t="s">
        <v>1004</v>
      </c>
      <c r="D22" s="2">
        <v>24402</v>
      </c>
      <c r="E22" s="2">
        <v>1074</v>
      </c>
      <c r="F22" s="2">
        <v>708</v>
      </c>
      <c r="G22" s="2">
        <v>256</v>
      </c>
      <c r="H22" s="2">
        <v>230</v>
      </c>
      <c r="I22" s="2">
        <v>677</v>
      </c>
      <c r="J22" s="2">
        <v>271</v>
      </c>
      <c r="K22" s="2">
        <v>64</v>
      </c>
      <c r="L22" s="2">
        <v>47</v>
      </c>
      <c r="M22" s="2">
        <f t="shared" si="5"/>
        <v>27729</v>
      </c>
    </row>
    <row r="23" spans="1:30">
      <c r="A23" s="9">
        <v>1</v>
      </c>
      <c r="B23" s="9" t="s">
        <v>1003</v>
      </c>
      <c r="C23" s="3" t="s">
        <v>162</v>
      </c>
      <c r="D23" s="2">
        <v>33628</v>
      </c>
      <c r="E23" s="2">
        <v>1210</v>
      </c>
      <c r="F23" s="2">
        <v>8962</v>
      </c>
      <c r="G23" s="2">
        <v>633</v>
      </c>
      <c r="H23" s="2">
        <v>132</v>
      </c>
      <c r="I23" s="2">
        <v>1576</v>
      </c>
      <c r="J23" s="2">
        <v>611</v>
      </c>
      <c r="K23" s="2">
        <v>107</v>
      </c>
      <c r="L23" s="2">
        <v>21</v>
      </c>
      <c r="M23" s="2">
        <f t="shared" si="5"/>
        <v>46880</v>
      </c>
    </row>
    <row r="24" spans="1:30">
      <c r="A24" s="9">
        <v>1</v>
      </c>
      <c r="B24" s="9" t="s">
        <v>1002</v>
      </c>
      <c r="C24" s="3" t="s">
        <v>1001</v>
      </c>
      <c r="D24" s="2">
        <v>3996</v>
      </c>
      <c r="E24" s="2">
        <v>244</v>
      </c>
      <c r="F24" s="2">
        <v>807</v>
      </c>
      <c r="G24" s="2">
        <v>50</v>
      </c>
      <c r="H24" s="2">
        <v>8</v>
      </c>
      <c r="I24" s="2">
        <v>723</v>
      </c>
      <c r="J24" s="2">
        <v>571</v>
      </c>
      <c r="K24" s="2">
        <v>129</v>
      </c>
      <c r="L24" s="2">
        <v>7</v>
      </c>
      <c r="M24" s="2">
        <f t="shared" si="5"/>
        <v>6535</v>
      </c>
    </row>
    <row r="25" spans="1:30">
      <c r="A25" s="9">
        <v>1</v>
      </c>
      <c r="B25" s="9" t="s">
        <v>1000</v>
      </c>
      <c r="C25" s="3" t="s">
        <v>999</v>
      </c>
      <c r="D25" s="2">
        <v>427</v>
      </c>
      <c r="E25" s="2">
        <v>22</v>
      </c>
      <c r="F25" s="2">
        <v>313</v>
      </c>
      <c r="G25" s="2">
        <v>65</v>
      </c>
      <c r="H25" s="2">
        <v>5</v>
      </c>
      <c r="I25" s="2">
        <v>194</v>
      </c>
      <c r="J25" s="2">
        <v>186</v>
      </c>
      <c r="K25" s="2">
        <v>4</v>
      </c>
      <c r="L25" s="2">
        <v>3</v>
      </c>
      <c r="M25" s="2">
        <f t="shared" si="5"/>
        <v>1219</v>
      </c>
    </row>
    <row r="26" spans="1:30">
      <c r="A26" s="764" t="s">
        <v>998</v>
      </c>
    </row>
    <row r="27" spans="1:30">
      <c r="A27" s="764"/>
      <c r="K27" s="245">
        <v>0</v>
      </c>
      <c r="L27" s="245">
        <v>0.05</v>
      </c>
      <c r="M27" s="245">
        <v>0.25</v>
      </c>
      <c r="N27" s="245">
        <v>0.6</v>
      </c>
      <c r="O27" s="245">
        <v>0.95</v>
      </c>
      <c r="P27" s="245">
        <v>1</v>
      </c>
    </row>
    <row r="28" spans="1:30">
      <c r="A28" s="123"/>
      <c r="B28" s="123"/>
      <c r="C28" s="123"/>
      <c r="D28" s="533" t="s">
        <v>997</v>
      </c>
      <c r="E28" s="123"/>
      <c r="F28" s="123"/>
      <c r="G28" s="123"/>
      <c r="H28" s="123"/>
      <c r="I28" s="123"/>
      <c r="J28" s="123"/>
      <c r="K28" s="123"/>
      <c r="L28" s="123"/>
      <c r="M28" s="123"/>
      <c r="N28" s="123"/>
      <c r="O28" s="123"/>
      <c r="P28" s="123"/>
      <c r="Q28" s="123"/>
      <c r="R28" s="123"/>
      <c r="S28" s="123"/>
      <c r="T28" s="123"/>
      <c r="U28" s="123"/>
      <c r="V28" s="123"/>
      <c r="W28" s="123"/>
      <c r="X28" s="123"/>
      <c r="Y28" s="123"/>
    </row>
    <row r="29" spans="1:30" ht="29">
      <c r="A29" s="723" t="s">
        <v>996</v>
      </c>
      <c r="B29" s="757">
        <v>0.3</v>
      </c>
      <c r="C29" s="1" t="s">
        <v>1256</v>
      </c>
      <c r="D29" s="718" t="s">
        <v>910</v>
      </c>
      <c r="E29" s="718">
        <v>2007</v>
      </c>
      <c r="F29" s="718">
        <v>2008</v>
      </c>
      <c r="G29" s="718">
        <v>2009</v>
      </c>
      <c r="H29" s="718">
        <v>2010</v>
      </c>
      <c r="I29" s="718">
        <v>2011</v>
      </c>
      <c r="J29" s="718">
        <v>2012</v>
      </c>
      <c r="K29" s="718">
        <v>2013</v>
      </c>
      <c r="L29" s="718">
        <v>2014</v>
      </c>
      <c r="M29" s="718">
        <v>2015</v>
      </c>
      <c r="N29" s="718">
        <v>2016</v>
      </c>
      <c r="O29" s="718">
        <v>2017</v>
      </c>
      <c r="P29" s="718">
        <v>2018</v>
      </c>
      <c r="Q29" s="718">
        <v>2019</v>
      </c>
      <c r="R29" s="718">
        <v>2020</v>
      </c>
      <c r="S29" s="718">
        <v>2021</v>
      </c>
      <c r="T29" s="718">
        <v>2022</v>
      </c>
      <c r="U29" s="718">
        <v>2023</v>
      </c>
      <c r="V29" s="718">
        <v>2024</v>
      </c>
      <c r="W29" s="718">
        <v>2025</v>
      </c>
      <c r="X29" s="718">
        <v>2026</v>
      </c>
      <c r="Y29" s="718">
        <v>2027</v>
      </c>
      <c r="Z29" s="718">
        <v>2028</v>
      </c>
      <c r="AA29" s="718">
        <v>2029</v>
      </c>
      <c r="AB29" s="718">
        <v>2030</v>
      </c>
      <c r="AC29" s="718">
        <v>2031</v>
      </c>
      <c r="AD29" s="718"/>
    </row>
    <row r="30" spans="1:30">
      <c r="A30" s="1" t="s">
        <v>995</v>
      </c>
      <c r="B30" s="9">
        <f>AVERAGE(1.018,1.03)</f>
        <v>1.024</v>
      </c>
      <c r="C30" s="1" t="s">
        <v>1257</v>
      </c>
      <c r="D30" s="3" t="s">
        <v>991</v>
      </c>
      <c r="E30" s="2">
        <f>365*SUMPRODUCT($A$16:$A$25,D$16:D$25)*$B$29</f>
        <v>11797749</v>
      </c>
      <c r="F30" s="2">
        <f t="shared" ref="F30:AC30" si="6">E30*$B$30</f>
        <v>12080894.976</v>
      </c>
      <c r="G30" s="2">
        <f t="shared" si="6"/>
        <v>12370836.455424</v>
      </c>
      <c r="H30" s="2">
        <f t="shared" si="6"/>
        <v>12667736.530354176</v>
      </c>
      <c r="I30" s="2">
        <f t="shared" si="6"/>
        <v>12971762.207082676</v>
      </c>
      <c r="J30" s="2">
        <f t="shared" si="6"/>
        <v>13283084.500052661</v>
      </c>
      <c r="K30" s="2">
        <f t="shared" si="6"/>
        <v>13601878.528053924</v>
      </c>
      <c r="L30" s="2">
        <f t="shared" si="6"/>
        <v>13928323.612727219</v>
      </c>
      <c r="M30" s="2">
        <f t="shared" si="6"/>
        <v>14262603.379432673</v>
      </c>
      <c r="N30" s="2">
        <f t="shared" si="6"/>
        <v>14604905.860539056</v>
      </c>
      <c r="O30" s="2">
        <f t="shared" si="6"/>
        <v>14955423.601191994</v>
      </c>
      <c r="P30" s="2">
        <f t="shared" si="6"/>
        <v>15314353.767620603</v>
      </c>
      <c r="Q30" s="2">
        <f t="shared" si="6"/>
        <v>15681898.258043498</v>
      </c>
      <c r="R30" s="2">
        <f t="shared" si="6"/>
        <v>16058263.816236543</v>
      </c>
      <c r="S30" s="2">
        <f t="shared" si="6"/>
        <v>16443662.147826219</v>
      </c>
      <c r="T30" s="2">
        <f t="shared" si="6"/>
        <v>16838310.03937405</v>
      </c>
      <c r="U30" s="2">
        <f t="shared" si="6"/>
        <v>17242429.480319027</v>
      </c>
      <c r="V30" s="2">
        <f t="shared" si="6"/>
        <v>17656247.787846684</v>
      </c>
      <c r="W30" s="2">
        <f t="shared" si="6"/>
        <v>18079997.734755006</v>
      </c>
      <c r="X30" s="2">
        <f t="shared" si="6"/>
        <v>18513917.680389125</v>
      </c>
      <c r="Y30" s="2">
        <f t="shared" si="6"/>
        <v>18958251.704718463</v>
      </c>
      <c r="Z30" s="2">
        <f t="shared" si="6"/>
        <v>19413249.745631706</v>
      </c>
      <c r="AA30" s="2">
        <f t="shared" si="6"/>
        <v>19879167.739526868</v>
      </c>
      <c r="AB30" s="2">
        <f t="shared" si="6"/>
        <v>20356267.765275512</v>
      </c>
      <c r="AC30" s="2">
        <f t="shared" si="6"/>
        <v>20844818.191642124</v>
      </c>
      <c r="AD30" s="2"/>
    </row>
    <row r="31" spans="1:30">
      <c r="D31" s="3" t="s">
        <v>969</v>
      </c>
      <c r="E31" s="2">
        <f>365*SUMPRODUCT($A$16:$A$25,E$16:E$25)*$B$29</f>
        <v>430116</v>
      </c>
      <c r="F31" s="2">
        <f t="shared" ref="F31:AC31" si="7">E31*$B$30</f>
        <v>440438.78399999999</v>
      </c>
      <c r="G31" s="2">
        <f t="shared" si="7"/>
        <v>451009.314816</v>
      </c>
      <c r="H31" s="2">
        <f t="shared" si="7"/>
        <v>461833.53837158403</v>
      </c>
      <c r="I31" s="2">
        <f t="shared" si="7"/>
        <v>472917.54329250206</v>
      </c>
      <c r="J31" s="2">
        <f t="shared" si="7"/>
        <v>484267.5643315221</v>
      </c>
      <c r="K31" s="2">
        <f t="shared" si="7"/>
        <v>495889.98587547865</v>
      </c>
      <c r="L31" s="2">
        <f t="shared" si="7"/>
        <v>507791.34553649015</v>
      </c>
      <c r="M31" s="2">
        <f t="shared" si="7"/>
        <v>519978.33782936592</v>
      </c>
      <c r="N31" s="2">
        <f t="shared" si="7"/>
        <v>532457.81793727074</v>
      </c>
      <c r="O31" s="2">
        <f t="shared" si="7"/>
        <v>545236.80556776526</v>
      </c>
      <c r="P31" s="2">
        <f t="shared" si="7"/>
        <v>558322.48890139163</v>
      </c>
      <c r="Q31" s="2">
        <f t="shared" si="7"/>
        <v>571722.22863502509</v>
      </c>
      <c r="R31" s="2">
        <f t="shared" si="7"/>
        <v>585443.56212226569</v>
      </c>
      <c r="S31" s="2">
        <f t="shared" si="7"/>
        <v>599494.20761320007</v>
      </c>
      <c r="T31" s="2">
        <f t="shared" si="7"/>
        <v>613882.06859591685</v>
      </c>
      <c r="U31" s="2">
        <f t="shared" si="7"/>
        <v>628615.23824221885</v>
      </c>
      <c r="V31" s="2">
        <f t="shared" si="7"/>
        <v>643702.00396003213</v>
      </c>
      <c r="W31" s="2">
        <f t="shared" si="7"/>
        <v>659150.8520550729</v>
      </c>
      <c r="X31" s="2">
        <f t="shared" si="7"/>
        <v>674970.47250439471</v>
      </c>
      <c r="Y31" s="2">
        <f t="shared" si="7"/>
        <v>691169.76384450018</v>
      </c>
      <c r="Z31" s="2">
        <f t="shared" si="7"/>
        <v>707757.83817676816</v>
      </c>
      <c r="AA31" s="2">
        <f t="shared" si="7"/>
        <v>724744.02629301057</v>
      </c>
      <c r="AB31" s="2">
        <f t="shared" si="7"/>
        <v>742137.88292404287</v>
      </c>
      <c r="AC31" s="2">
        <f t="shared" si="7"/>
        <v>759949.19211421988</v>
      </c>
      <c r="AD31" s="2"/>
    </row>
    <row r="32" spans="1:30">
      <c r="D32" s="3" t="s">
        <v>968</v>
      </c>
      <c r="E32" s="2">
        <f>365*SUMPRODUCT($A$16:$A$25,F$16:F$25)*$B$29</f>
        <v>1777842</v>
      </c>
      <c r="F32" s="2">
        <f t="shared" ref="F32:AC32" si="8">E32*$B$30</f>
        <v>1820510.2080000001</v>
      </c>
      <c r="G32" s="2">
        <f t="shared" si="8"/>
        <v>1864202.4529920002</v>
      </c>
      <c r="H32" s="2">
        <f t="shared" si="8"/>
        <v>1908943.3118638082</v>
      </c>
      <c r="I32" s="2">
        <f t="shared" si="8"/>
        <v>1954757.9513485397</v>
      </c>
      <c r="J32" s="2">
        <f t="shared" si="8"/>
        <v>2001672.1421809047</v>
      </c>
      <c r="K32" s="2">
        <f t="shared" si="8"/>
        <v>2049712.2735932465</v>
      </c>
      <c r="L32" s="2">
        <f t="shared" si="8"/>
        <v>2098905.3681594846</v>
      </c>
      <c r="M32" s="2">
        <f t="shared" si="8"/>
        <v>2149279.0969953123</v>
      </c>
      <c r="N32" s="2">
        <f t="shared" si="8"/>
        <v>2200861.7953231996</v>
      </c>
      <c r="O32" s="2">
        <f t="shared" si="8"/>
        <v>2253682.4784109564</v>
      </c>
      <c r="P32" s="2">
        <f t="shared" si="8"/>
        <v>2307770.8578928197</v>
      </c>
      <c r="Q32" s="2">
        <f t="shared" si="8"/>
        <v>2363157.3584822472</v>
      </c>
      <c r="R32" s="2">
        <f t="shared" si="8"/>
        <v>2419873.1350858212</v>
      </c>
      <c r="S32" s="2">
        <f t="shared" si="8"/>
        <v>2477950.0903278808</v>
      </c>
      <c r="T32" s="2">
        <f t="shared" si="8"/>
        <v>2537420.89249575</v>
      </c>
      <c r="U32" s="2">
        <f t="shared" si="8"/>
        <v>2598318.9939156482</v>
      </c>
      <c r="V32" s="2">
        <f t="shared" si="8"/>
        <v>2660678.6497696238</v>
      </c>
      <c r="W32" s="2">
        <f t="shared" si="8"/>
        <v>2724534.9373640949</v>
      </c>
      <c r="X32" s="2">
        <f t="shared" si="8"/>
        <v>2789923.775860833</v>
      </c>
      <c r="Y32" s="2">
        <f t="shared" si="8"/>
        <v>2856881.9464814928</v>
      </c>
      <c r="Z32" s="2">
        <f t="shared" si="8"/>
        <v>2925447.1131970487</v>
      </c>
      <c r="AA32" s="2">
        <f t="shared" si="8"/>
        <v>2995657.8439137777</v>
      </c>
      <c r="AB32" s="2">
        <f t="shared" si="8"/>
        <v>3067553.6321677086</v>
      </c>
      <c r="AC32" s="2">
        <f t="shared" si="8"/>
        <v>3141174.9193397337</v>
      </c>
      <c r="AD32" s="2"/>
    </row>
    <row r="33" spans="1:30">
      <c r="D33" s="3" t="s">
        <v>967</v>
      </c>
      <c r="E33" s="2">
        <f>365*SUMPRODUCT($A$16:$A$25,G$16:G$25)*$B$29</f>
        <v>290284.5</v>
      </c>
      <c r="F33" s="2">
        <f t="shared" ref="F33:AC33" si="9">E33*$B$30</f>
        <v>297251.32799999998</v>
      </c>
      <c r="G33" s="2">
        <f t="shared" si="9"/>
        <v>304385.359872</v>
      </c>
      <c r="H33" s="2">
        <f t="shared" si="9"/>
        <v>311690.60850892798</v>
      </c>
      <c r="I33" s="2">
        <f t="shared" si="9"/>
        <v>319171.18311314227</v>
      </c>
      <c r="J33" s="2">
        <f t="shared" si="9"/>
        <v>326831.29150785768</v>
      </c>
      <c r="K33" s="2">
        <f t="shared" si="9"/>
        <v>334675.24250404624</v>
      </c>
      <c r="L33" s="2">
        <f t="shared" si="9"/>
        <v>342707.44832414336</v>
      </c>
      <c r="M33" s="2">
        <f t="shared" si="9"/>
        <v>350932.42708392278</v>
      </c>
      <c r="N33" s="2">
        <f t="shared" si="9"/>
        <v>359354.80533393694</v>
      </c>
      <c r="O33" s="2">
        <f t="shared" si="9"/>
        <v>367979.32066195144</v>
      </c>
      <c r="P33" s="2">
        <f t="shared" si="9"/>
        <v>376810.82435783825</v>
      </c>
      <c r="Q33" s="2">
        <f t="shared" si="9"/>
        <v>385854.28414242639</v>
      </c>
      <c r="R33" s="2">
        <f t="shared" si="9"/>
        <v>395114.78696184466</v>
      </c>
      <c r="S33" s="2">
        <f t="shared" si="9"/>
        <v>404597.54184892896</v>
      </c>
      <c r="T33" s="2">
        <f t="shared" si="9"/>
        <v>414307.88285330328</v>
      </c>
      <c r="U33" s="2">
        <f t="shared" si="9"/>
        <v>424251.27204178256</v>
      </c>
      <c r="V33" s="2">
        <f t="shared" si="9"/>
        <v>434433.30257078534</v>
      </c>
      <c r="W33" s="2">
        <f t="shared" si="9"/>
        <v>444859.70183248422</v>
      </c>
      <c r="X33" s="2">
        <f t="shared" si="9"/>
        <v>455536.33467646386</v>
      </c>
      <c r="Y33" s="2">
        <f t="shared" si="9"/>
        <v>466469.206708699</v>
      </c>
      <c r="Z33" s="2">
        <f t="shared" si="9"/>
        <v>477664.46766970778</v>
      </c>
      <c r="AA33" s="2">
        <f t="shared" si="9"/>
        <v>489128.41489378078</v>
      </c>
      <c r="AB33" s="2">
        <f t="shared" si="9"/>
        <v>500867.49685123155</v>
      </c>
      <c r="AC33" s="2">
        <f t="shared" si="9"/>
        <v>512888.31677566114</v>
      </c>
      <c r="AD33" s="2"/>
    </row>
    <row r="34" spans="1:30">
      <c r="D34" s="3" t="s">
        <v>966</v>
      </c>
      <c r="E34" s="2">
        <f>365*SUMPRODUCT($A$16:$A$25,H$16:H$25)*$B$29</f>
        <v>63948</v>
      </c>
      <c r="F34" s="2">
        <f t="shared" ref="F34:AC34" si="10">E34*$B$30</f>
        <v>65482.752</v>
      </c>
      <c r="G34" s="2">
        <f t="shared" si="10"/>
        <v>67054.338048000005</v>
      </c>
      <c r="H34" s="2">
        <f t="shared" si="10"/>
        <v>68663.642161152005</v>
      </c>
      <c r="I34" s="2">
        <f t="shared" si="10"/>
        <v>70311.56957301966</v>
      </c>
      <c r="J34" s="2">
        <f t="shared" si="10"/>
        <v>71999.04724277214</v>
      </c>
      <c r="K34" s="2">
        <f t="shared" si="10"/>
        <v>73727.024376598667</v>
      </c>
      <c r="L34" s="2">
        <f t="shared" si="10"/>
        <v>75496.472961637031</v>
      </c>
      <c r="M34" s="2">
        <f t="shared" si="10"/>
        <v>77308.388312716328</v>
      </c>
      <c r="N34" s="2">
        <f t="shared" si="10"/>
        <v>79163.789632221524</v>
      </c>
      <c r="O34" s="2">
        <f t="shared" si="10"/>
        <v>81063.720583394839</v>
      </c>
      <c r="P34" s="2">
        <f t="shared" si="10"/>
        <v>83009.249877396316</v>
      </c>
      <c r="Q34" s="2">
        <f t="shared" si="10"/>
        <v>85001.471874453826</v>
      </c>
      <c r="R34" s="2">
        <f t="shared" si="10"/>
        <v>87041.507199440719</v>
      </c>
      <c r="S34" s="2">
        <f t="shared" si="10"/>
        <v>89130.503372227293</v>
      </c>
      <c r="T34" s="2">
        <f t="shared" si="10"/>
        <v>91269.63545316075</v>
      </c>
      <c r="U34" s="2">
        <f t="shared" si="10"/>
        <v>93460.106704036603</v>
      </c>
      <c r="V34" s="2">
        <f t="shared" si="10"/>
        <v>95703.149264933483</v>
      </c>
      <c r="W34" s="2">
        <f t="shared" si="10"/>
        <v>98000.02484729189</v>
      </c>
      <c r="X34" s="2">
        <f t="shared" si="10"/>
        <v>100352.0254436269</v>
      </c>
      <c r="Y34" s="2">
        <f t="shared" si="10"/>
        <v>102760.47405427395</v>
      </c>
      <c r="Z34" s="2">
        <f t="shared" si="10"/>
        <v>105226.72543157652</v>
      </c>
      <c r="AA34" s="2">
        <f t="shared" si="10"/>
        <v>107752.16684193436</v>
      </c>
      <c r="AB34" s="2">
        <f t="shared" si="10"/>
        <v>110338.21884614079</v>
      </c>
      <c r="AC34" s="2">
        <f t="shared" si="10"/>
        <v>112986.33609844817</v>
      </c>
      <c r="AD34" s="2"/>
    </row>
    <row r="35" spans="1:30">
      <c r="D35" s="3" t="s">
        <v>909</v>
      </c>
      <c r="E35" s="2">
        <f>365*SUMPRODUCT($A$16:$A$25,I$16:I$25)*$B$29</f>
        <v>754783.5</v>
      </c>
      <c r="F35" s="2">
        <f t="shared" ref="F35:AC35" si="11">E35*$B$30</f>
        <v>772898.304</v>
      </c>
      <c r="G35" s="2">
        <f t="shared" si="11"/>
        <v>791447.86329600005</v>
      </c>
      <c r="H35" s="2">
        <f t="shared" si="11"/>
        <v>810442.61201510404</v>
      </c>
      <c r="I35" s="2">
        <f t="shared" si="11"/>
        <v>829893.23470346653</v>
      </c>
      <c r="J35" s="2">
        <f t="shared" si="11"/>
        <v>849810.67233634973</v>
      </c>
      <c r="K35" s="2">
        <f t="shared" si="11"/>
        <v>870206.12847242213</v>
      </c>
      <c r="L35" s="2">
        <f t="shared" si="11"/>
        <v>891091.0755557603</v>
      </c>
      <c r="M35" s="2">
        <f t="shared" si="11"/>
        <v>912477.26136909856</v>
      </c>
      <c r="N35" s="2">
        <f t="shared" si="11"/>
        <v>934376.71564195689</v>
      </c>
      <c r="O35" s="2">
        <f t="shared" si="11"/>
        <v>956801.7568173639</v>
      </c>
      <c r="P35" s="2">
        <f t="shared" si="11"/>
        <v>979764.9989809806</v>
      </c>
      <c r="Q35" s="2">
        <f t="shared" si="11"/>
        <v>1003279.3589565242</v>
      </c>
      <c r="R35" s="2">
        <f t="shared" si="11"/>
        <v>1027358.0635714808</v>
      </c>
      <c r="S35" s="2">
        <f t="shared" si="11"/>
        <v>1052014.6570971964</v>
      </c>
      <c r="T35" s="2">
        <f t="shared" si="11"/>
        <v>1077263.0088675292</v>
      </c>
      <c r="U35" s="2">
        <f t="shared" si="11"/>
        <v>1103117.3210803499</v>
      </c>
      <c r="V35" s="2">
        <f t="shared" si="11"/>
        <v>1129592.1367862783</v>
      </c>
      <c r="W35" s="2">
        <f t="shared" si="11"/>
        <v>1156702.3480691491</v>
      </c>
      <c r="X35" s="2">
        <f t="shared" si="11"/>
        <v>1184463.2044228087</v>
      </c>
      <c r="Y35" s="2">
        <f t="shared" si="11"/>
        <v>1212890.3213289562</v>
      </c>
      <c r="Z35" s="2">
        <f t="shared" si="11"/>
        <v>1241999.6890408511</v>
      </c>
      <c r="AA35" s="2">
        <f t="shared" si="11"/>
        <v>1271807.6815778315</v>
      </c>
      <c r="AB35" s="2">
        <f t="shared" si="11"/>
        <v>1302331.0659356995</v>
      </c>
      <c r="AC35" s="2">
        <f t="shared" si="11"/>
        <v>1333587.0115181564</v>
      </c>
      <c r="AD35" s="2"/>
    </row>
    <row r="36" spans="1:30">
      <c r="D36" s="3" t="s">
        <v>908</v>
      </c>
      <c r="E36" s="2">
        <f>365*SUMPRODUCT($A$16:$A$25,J$16:J$25)*$B$29</f>
        <v>368686.5</v>
      </c>
      <c r="F36" s="2">
        <f t="shared" ref="F36:AC36" si="12">E36*$B$30</f>
        <v>377534.97600000002</v>
      </c>
      <c r="G36" s="2">
        <f t="shared" si="12"/>
        <v>386595.81542400003</v>
      </c>
      <c r="H36" s="2">
        <f t="shared" si="12"/>
        <v>395874.11499417602</v>
      </c>
      <c r="I36" s="2">
        <f t="shared" si="12"/>
        <v>405375.09375403624</v>
      </c>
      <c r="J36" s="2">
        <f t="shared" si="12"/>
        <v>415104.09600413311</v>
      </c>
      <c r="K36" s="2">
        <f t="shared" si="12"/>
        <v>425066.59430823231</v>
      </c>
      <c r="L36" s="2">
        <f t="shared" si="12"/>
        <v>435268.19257162989</v>
      </c>
      <c r="M36" s="2">
        <f t="shared" si="12"/>
        <v>445714.62919334898</v>
      </c>
      <c r="N36" s="2">
        <f t="shared" si="12"/>
        <v>456411.78029398934</v>
      </c>
      <c r="O36" s="2">
        <f t="shared" si="12"/>
        <v>467365.6630210451</v>
      </c>
      <c r="P36" s="2">
        <f t="shared" si="12"/>
        <v>478582.43893355021</v>
      </c>
      <c r="Q36" s="2">
        <f t="shared" si="12"/>
        <v>490068.41746795544</v>
      </c>
      <c r="R36" s="2">
        <f t="shared" si="12"/>
        <v>501830.05948718637</v>
      </c>
      <c r="S36" s="2">
        <f t="shared" si="12"/>
        <v>513873.98091487883</v>
      </c>
      <c r="T36" s="2">
        <f t="shared" si="12"/>
        <v>526206.95645683596</v>
      </c>
      <c r="U36" s="2">
        <f t="shared" si="12"/>
        <v>538835.92341180006</v>
      </c>
      <c r="V36" s="2">
        <f t="shared" si="12"/>
        <v>551767.98557368328</v>
      </c>
      <c r="W36" s="2">
        <f t="shared" si="12"/>
        <v>565010.41722745169</v>
      </c>
      <c r="X36" s="2">
        <f t="shared" si="12"/>
        <v>578570.66724091058</v>
      </c>
      <c r="Y36" s="2">
        <f t="shared" si="12"/>
        <v>592456.36325469241</v>
      </c>
      <c r="Z36" s="2">
        <f t="shared" si="12"/>
        <v>606675.31597280502</v>
      </c>
      <c r="AA36" s="2">
        <f t="shared" si="12"/>
        <v>621235.52355615236</v>
      </c>
      <c r="AB36" s="2">
        <f t="shared" si="12"/>
        <v>636145.17612149997</v>
      </c>
      <c r="AC36" s="2">
        <f t="shared" si="12"/>
        <v>651412.66034841596</v>
      </c>
      <c r="AD36" s="2"/>
    </row>
    <row r="37" spans="1:30">
      <c r="D37" s="3" t="s">
        <v>907</v>
      </c>
      <c r="E37" s="2">
        <f>365*SUMPRODUCT($A$16:$A$25,K$16:K$25)*$B$29</f>
        <v>80373</v>
      </c>
      <c r="F37" s="2">
        <f t="shared" ref="F37:AC37" si="13">E37*$B$30</f>
        <v>82301.952000000005</v>
      </c>
      <c r="G37" s="2">
        <f t="shared" si="13"/>
        <v>84277.198848</v>
      </c>
      <c r="H37" s="2">
        <f t="shared" si="13"/>
        <v>86299.851620351998</v>
      </c>
      <c r="I37" s="2">
        <f t="shared" si="13"/>
        <v>88371.048059240449</v>
      </c>
      <c r="J37" s="2">
        <f t="shared" si="13"/>
        <v>90491.953212662222</v>
      </c>
      <c r="K37" s="2">
        <f t="shared" si="13"/>
        <v>92663.760089766118</v>
      </c>
      <c r="L37" s="2">
        <f t="shared" si="13"/>
        <v>94887.690331920501</v>
      </c>
      <c r="M37" s="2">
        <f t="shared" si="13"/>
        <v>97164.994899886602</v>
      </c>
      <c r="N37" s="2">
        <f t="shared" si="13"/>
        <v>99496.954777483887</v>
      </c>
      <c r="O37" s="2">
        <f t="shared" si="13"/>
        <v>101884.88169214351</v>
      </c>
      <c r="P37" s="2">
        <f t="shared" si="13"/>
        <v>104330.11885275495</v>
      </c>
      <c r="Q37" s="2">
        <f t="shared" si="13"/>
        <v>106834.04170522107</v>
      </c>
      <c r="R37" s="2">
        <f t="shared" si="13"/>
        <v>109398.05870614637</v>
      </c>
      <c r="S37" s="2">
        <f t="shared" si="13"/>
        <v>112023.61211509389</v>
      </c>
      <c r="T37" s="2">
        <f t="shared" si="13"/>
        <v>114712.17880585614</v>
      </c>
      <c r="U37" s="2">
        <f t="shared" si="13"/>
        <v>117465.27109719669</v>
      </c>
      <c r="V37" s="2">
        <f t="shared" si="13"/>
        <v>120284.43760352941</v>
      </c>
      <c r="W37" s="2">
        <f t="shared" si="13"/>
        <v>123171.26410601412</v>
      </c>
      <c r="X37" s="2">
        <f t="shared" si="13"/>
        <v>126127.37444455846</v>
      </c>
      <c r="Y37" s="2">
        <f t="shared" si="13"/>
        <v>129154.43143122786</v>
      </c>
      <c r="Z37" s="2">
        <f t="shared" si="13"/>
        <v>132254.13778557733</v>
      </c>
      <c r="AA37" s="2">
        <f t="shared" si="13"/>
        <v>135428.2370924312</v>
      </c>
      <c r="AB37" s="2">
        <f t="shared" si="13"/>
        <v>138678.51478264955</v>
      </c>
      <c r="AC37" s="2">
        <f t="shared" si="13"/>
        <v>142006.79913743315</v>
      </c>
      <c r="AD37" s="2"/>
    </row>
    <row r="38" spans="1:30">
      <c r="D38" s="3" t="s">
        <v>965</v>
      </c>
      <c r="E38" s="2">
        <f>365*SUMPRODUCT($A$16:$A$25,L$16:L$25)*$B$29</f>
        <v>27265.5</v>
      </c>
      <c r="F38" s="2">
        <f t="shared" ref="F38:AC38" si="14">E38*$B$30</f>
        <v>27919.871999999999</v>
      </c>
      <c r="G38" s="2">
        <f t="shared" si="14"/>
        <v>28589.948928000002</v>
      </c>
      <c r="H38" s="2">
        <f t="shared" si="14"/>
        <v>29276.107702272002</v>
      </c>
      <c r="I38" s="2">
        <f t="shared" si="14"/>
        <v>29978.734287126532</v>
      </c>
      <c r="J38" s="2">
        <f t="shared" si="14"/>
        <v>30698.223910017568</v>
      </c>
      <c r="K38" s="2">
        <f t="shared" si="14"/>
        <v>31434.981283857989</v>
      </c>
      <c r="L38" s="2">
        <f t="shared" si="14"/>
        <v>32189.420834670582</v>
      </c>
      <c r="M38" s="2">
        <f t="shared" si="14"/>
        <v>32961.966934702679</v>
      </c>
      <c r="N38" s="2">
        <f t="shared" si="14"/>
        <v>33753.054141135544</v>
      </c>
      <c r="O38" s="2">
        <f t="shared" si="14"/>
        <v>34563.127440522796</v>
      </c>
      <c r="P38" s="2">
        <f t="shared" si="14"/>
        <v>35392.642499095346</v>
      </c>
      <c r="Q38" s="2">
        <f t="shared" si="14"/>
        <v>36242.065919073633</v>
      </c>
      <c r="R38" s="2">
        <f t="shared" si="14"/>
        <v>37111.875501131399</v>
      </c>
      <c r="S38" s="2">
        <f t="shared" si="14"/>
        <v>38002.560513158554</v>
      </c>
      <c r="T38" s="2">
        <f t="shared" si="14"/>
        <v>38914.621965474362</v>
      </c>
      <c r="U38" s="2">
        <f t="shared" si="14"/>
        <v>39848.572892645745</v>
      </c>
      <c r="V38" s="2">
        <f t="shared" si="14"/>
        <v>40804.938642069246</v>
      </c>
      <c r="W38" s="2">
        <f t="shared" si="14"/>
        <v>41784.257169478908</v>
      </c>
      <c r="X38" s="2">
        <f t="shared" si="14"/>
        <v>42787.0793415464</v>
      </c>
      <c r="Y38" s="2">
        <f t="shared" si="14"/>
        <v>43813.969245743516</v>
      </c>
      <c r="Z38" s="2">
        <f t="shared" si="14"/>
        <v>44865.504507641359</v>
      </c>
      <c r="AA38" s="2">
        <f t="shared" si="14"/>
        <v>45942.276615824754</v>
      </c>
      <c r="AB38" s="2">
        <f t="shared" si="14"/>
        <v>47044.891254604547</v>
      </c>
      <c r="AC38" s="2">
        <f t="shared" si="14"/>
        <v>48173.96864471506</v>
      </c>
      <c r="AD38" s="2"/>
    </row>
    <row r="39" spans="1:30" s="879" customFormat="1">
      <c r="C39" s="879" t="s">
        <v>1399</v>
      </c>
      <c r="D39" s="3" t="s">
        <v>991</v>
      </c>
      <c r="E39" s="2"/>
      <c r="F39" s="2"/>
      <c r="G39" s="2"/>
      <c r="H39" s="2"/>
      <c r="I39" s="2"/>
      <c r="J39" s="2"/>
      <c r="K39" s="2">
        <f t="shared" ref="K39:P39" si="15">K30-K30*K$27</f>
        <v>13601878.528053924</v>
      </c>
      <c r="L39" s="2">
        <f t="shared" si="15"/>
        <v>13231907.432090858</v>
      </c>
      <c r="M39" s="2">
        <f t="shared" si="15"/>
        <v>10696952.534574505</v>
      </c>
      <c r="N39" s="2">
        <f t="shared" si="15"/>
        <v>5841962.3442156222</v>
      </c>
      <c r="O39" s="2">
        <f t="shared" si="15"/>
        <v>747771.18005960062</v>
      </c>
      <c r="P39" s="2">
        <f t="shared" si="15"/>
        <v>0</v>
      </c>
      <c r="Q39" s="2"/>
      <c r="R39" s="2"/>
      <c r="S39" s="2"/>
      <c r="T39" s="2"/>
      <c r="U39" s="2"/>
      <c r="V39" s="2"/>
      <c r="W39" s="2"/>
      <c r="X39" s="2"/>
      <c r="Y39" s="2"/>
      <c r="Z39" s="2"/>
      <c r="AA39" s="2"/>
      <c r="AB39" s="2"/>
      <c r="AC39" s="2"/>
      <c r="AD39" s="2"/>
    </row>
    <row r="40" spans="1:30" s="879" customFormat="1">
      <c r="D40" s="3" t="s">
        <v>968</v>
      </c>
      <c r="E40" s="2"/>
      <c r="F40" s="2"/>
      <c r="G40" s="2"/>
      <c r="H40" s="2"/>
      <c r="I40" s="2"/>
      <c r="J40" s="2"/>
      <c r="K40" s="2">
        <f t="shared" ref="K40:P40" si="16">K32-K32*K$27</f>
        <v>2049712.2735932465</v>
      </c>
      <c r="L40" s="2">
        <f t="shared" si="16"/>
        <v>1993960.0997515104</v>
      </c>
      <c r="M40" s="2">
        <f t="shared" si="16"/>
        <v>1611959.3227464841</v>
      </c>
      <c r="N40" s="2">
        <f t="shared" si="16"/>
        <v>880344.71812927979</v>
      </c>
      <c r="O40" s="2">
        <f t="shared" si="16"/>
        <v>112684.12392054778</v>
      </c>
      <c r="P40" s="2">
        <f t="shared" si="16"/>
        <v>0</v>
      </c>
      <c r="Q40" s="2"/>
      <c r="R40" s="2"/>
      <c r="S40" s="2"/>
      <c r="T40" s="2"/>
      <c r="U40" s="2"/>
      <c r="V40" s="2"/>
      <c r="W40" s="2"/>
      <c r="X40" s="2"/>
      <c r="Y40" s="2"/>
      <c r="Z40" s="2"/>
      <c r="AA40" s="2"/>
      <c r="AB40" s="2"/>
      <c r="AC40" s="2"/>
      <c r="AD40" s="2"/>
    </row>
    <row r="41" spans="1:30">
      <c r="D41" s="3" t="s">
        <v>1400</v>
      </c>
      <c r="K41" s="102">
        <f t="shared" ref="K41:P41" si="17">SUM(K30:K38)-SUM(K30:K38)*K27-SUM(K39:K40)</f>
        <v>2323663.7169103995</v>
      </c>
      <c r="L41" s="102">
        <f t="shared" si="17"/>
        <v>2260460.0638104435</v>
      </c>
      <c r="M41" s="102">
        <f t="shared" si="17"/>
        <v>1827403.5042172838</v>
      </c>
      <c r="N41" s="102">
        <f t="shared" si="17"/>
        <v>998005.96710319724</v>
      </c>
      <c r="O41" s="102">
        <f t="shared" si="17"/>
        <v>127744.76378920767</v>
      </c>
      <c r="P41" s="102">
        <f t="shared" si="17"/>
        <v>0</v>
      </c>
      <c r="Q41" s="2"/>
      <c r="R41" s="2"/>
      <c r="S41" s="2"/>
      <c r="T41" s="2"/>
      <c r="U41" s="2"/>
      <c r="V41" s="2"/>
      <c r="W41" s="2"/>
      <c r="X41" s="2"/>
      <c r="Y41" s="2"/>
      <c r="Z41" s="2"/>
      <c r="AA41" s="2"/>
      <c r="AB41" s="2"/>
      <c r="AC41" s="2"/>
    </row>
    <row r="42" spans="1:30">
      <c r="A42" s="123"/>
      <c r="B42" s="123"/>
      <c r="C42" s="123"/>
      <c r="D42" s="533" t="s">
        <v>994</v>
      </c>
      <c r="E42" s="123"/>
      <c r="F42" s="123"/>
      <c r="G42" s="123"/>
      <c r="H42" s="123"/>
      <c r="I42" s="123"/>
      <c r="J42" s="123"/>
      <c r="K42" s="123"/>
      <c r="L42" s="123"/>
      <c r="M42" s="123"/>
      <c r="N42" s="123"/>
      <c r="O42" s="123"/>
      <c r="P42" s="123"/>
      <c r="Q42" s="123"/>
      <c r="R42" s="123"/>
      <c r="S42" s="123"/>
      <c r="T42" s="123"/>
      <c r="U42" s="123"/>
      <c r="V42" s="123"/>
      <c r="W42" s="123"/>
      <c r="X42" s="123"/>
      <c r="Y42" s="201"/>
    </row>
    <row r="43" spans="1:30">
      <c r="A43" s="221" t="s">
        <v>910</v>
      </c>
      <c r="B43" s="221" t="s">
        <v>993</v>
      </c>
      <c r="C43" s="1" t="s">
        <v>1258</v>
      </c>
      <c r="D43" s="221" t="s">
        <v>910</v>
      </c>
      <c r="E43" s="221">
        <v>2012</v>
      </c>
      <c r="F43" s="221">
        <v>2013</v>
      </c>
      <c r="G43" s="221">
        <v>2014</v>
      </c>
      <c r="H43" s="221">
        <v>2015</v>
      </c>
      <c r="I43" s="221">
        <v>2016</v>
      </c>
      <c r="J43" s="221">
        <v>2017</v>
      </c>
      <c r="K43" s="221">
        <v>2018</v>
      </c>
      <c r="L43" s="221">
        <v>2019</v>
      </c>
      <c r="M43" s="221">
        <v>2020</v>
      </c>
      <c r="N43" s="221">
        <v>2021</v>
      </c>
      <c r="O43" s="221">
        <v>2022</v>
      </c>
      <c r="P43" s="221">
        <v>2023</v>
      </c>
      <c r="Q43" s="221">
        <v>2024</v>
      </c>
      <c r="R43" s="221">
        <v>2025</v>
      </c>
      <c r="S43" s="221">
        <v>2026</v>
      </c>
      <c r="T43" s="221">
        <v>2027</v>
      </c>
      <c r="U43" s="221">
        <v>2028</v>
      </c>
      <c r="V43" s="221">
        <v>2029</v>
      </c>
      <c r="W43" s="221">
        <v>2030</v>
      </c>
      <c r="X43" s="221">
        <v>2031</v>
      </c>
      <c r="Z43" s="685" t="s">
        <v>992</v>
      </c>
    </row>
    <row r="44" spans="1:30">
      <c r="A44" s="1" t="s">
        <v>970</v>
      </c>
      <c r="B44" s="9">
        <v>2.5</v>
      </c>
      <c r="D44" s="3" t="s">
        <v>991</v>
      </c>
      <c r="E44" s="2">
        <f t="shared" ref="E44:E52" si="18">J30*$B44</f>
        <v>33207711.250131652</v>
      </c>
      <c r="F44" s="2">
        <f t="shared" ref="F44:F52" si="19">K30*$B44</f>
        <v>34004696.320134811</v>
      </c>
      <c r="G44" s="2">
        <f t="shared" ref="G44:G52" si="20">L30*$B44</f>
        <v>34820809.031818047</v>
      </c>
      <c r="H44" s="2">
        <f t="shared" ref="H44:H52" si="21">M30*$B44</f>
        <v>35656508.448581681</v>
      </c>
      <c r="I44" s="2">
        <f t="shared" ref="I44:I52" si="22">N30*$B44</f>
        <v>36512264.651347637</v>
      </c>
      <c r="J44" s="2">
        <f t="shared" ref="J44:J52" si="23">O30*$B44</f>
        <v>37388559.002979986</v>
      </c>
      <c r="K44" s="2">
        <f t="shared" ref="K44:K52" si="24">P30*$B44</f>
        <v>38285884.419051506</v>
      </c>
      <c r="L44" s="2">
        <f t="shared" ref="L44:L52" si="25">Q30*$B44</f>
        <v>39204745.645108745</v>
      </c>
      <c r="M44" s="2">
        <f t="shared" ref="M44:M52" si="26">R30*$B44</f>
        <v>40145659.540591359</v>
      </c>
      <c r="N44" s="2">
        <f t="shared" ref="N44:N52" si="27">S30*$B44</f>
        <v>41109155.369565547</v>
      </c>
      <c r="O44" s="2">
        <f t="shared" ref="O44:O52" si="28">T30*$B44</f>
        <v>42095775.098435126</v>
      </c>
      <c r="P44" s="2">
        <f t="shared" ref="P44:P52" si="29">U30*$B44</f>
        <v>43106073.700797565</v>
      </c>
      <c r="Q44" s="2">
        <f t="shared" ref="Q44:Q52" si="30">V30*$B44</f>
        <v>44140619.469616711</v>
      </c>
      <c r="R44" s="2">
        <f t="shared" ref="R44:R52" si="31">W30*$B44</f>
        <v>45199994.336887516</v>
      </c>
      <c r="S44" s="2">
        <f t="shared" ref="S44:S52" si="32">X30*$B44</f>
        <v>46284794.20097281</v>
      </c>
      <c r="T44" s="2">
        <f t="shared" ref="T44:T52" si="33">Y30*$B44</f>
        <v>47395629.261796162</v>
      </c>
      <c r="U44" s="2">
        <f t="shared" ref="U44:U52" si="34">Z30*$B44</f>
        <v>48533124.364079267</v>
      </c>
      <c r="V44" s="2">
        <f t="shared" ref="V44:V52" si="35">AA30*$B44</f>
        <v>49697919.34881717</v>
      </c>
      <c r="W44" s="2">
        <f t="shared" ref="W44:W52" si="36">AB30*$B44</f>
        <v>50890669.413188778</v>
      </c>
      <c r="X44" s="2">
        <f t="shared" ref="X44:X52" si="37">AC30*$B44</f>
        <v>52112045.479105309</v>
      </c>
      <c r="Z44" s="2">
        <f>X53*(1+B86)</f>
        <v>335806031.72103554</v>
      </c>
      <c r="AA44" s="1" t="s">
        <v>990</v>
      </c>
    </row>
    <row r="45" spans="1:30">
      <c r="A45" s="1" t="s">
        <v>969</v>
      </c>
      <c r="B45" s="9">
        <v>2.7</v>
      </c>
      <c r="D45" s="3" t="s">
        <v>969</v>
      </c>
      <c r="E45" s="2">
        <f t="shared" si="18"/>
        <v>1307522.4236951098</v>
      </c>
      <c r="F45" s="2">
        <f t="shared" si="19"/>
        <v>1338902.9618637925</v>
      </c>
      <c r="G45" s="2">
        <f t="shared" si="20"/>
        <v>1371036.6329485234</v>
      </c>
      <c r="H45" s="2">
        <f t="shared" si="21"/>
        <v>1403941.512139288</v>
      </c>
      <c r="I45" s="2">
        <f t="shared" si="22"/>
        <v>1437636.108430631</v>
      </c>
      <c r="J45" s="2">
        <f t="shared" si="23"/>
        <v>1472139.3750329663</v>
      </c>
      <c r="K45" s="2">
        <f t="shared" si="24"/>
        <v>1507470.7200337574</v>
      </c>
      <c r="L45" s="2">
        <f t="shared" si="25"/>
        <v>1543650.0173145679</v>
      </c>
      <c r="M45" s="2">
        <f t="shared" si="26"/>
        <v>1580697.6177301174</v>
      </c>
      <c r="N45" s="2">
        <f t="shared" si="27"/>
        <v>1618634.3605556402</v>
      </c>
      <c r="O45" s="2">
        <f t="shared" si="28"/>
        <v>1657481.5852089757</v>
      </c>
      <c r="P45" s="2">
        <f t="shared" si="29"/>
        <v>1697261.1432539909</v>
      </c>
      <c r="Q45" s="2">
        <f t="shared" si="30"/>
        <v>1737995.4106920869</v>
      </c>
      <c r="R45" s="2">
        <f t="shared" si="31"/>
        <v>1779707.3005486969</v>
      </c>
      <c r="S45" s="2">
        <f t="shared" si="32"/>
        <v>1822420.2757618658</v>
      </c>
      <c r="T45" s="2">
        <f t="shared" si="33"/>
        <v>1866158.3623801507</v>
      </c>
      <c r="U45" s="2">
        <f t="shared" si="34"/>
        <v>1910946.1630772741</v>
      </c>
      <c r="V45" s="2">
        <f t="shared" si="35"/>
        <v>1956808.8709911287</v>
      </c>
      <c r="W45" s="2">
        <f t="shared" si="36"/>
        <v>2003772.2838949158</v>
      </c>
      <c r="X45" s="2">
        <f t="shared" si="37"/>
        <v>2051862.8187083937</v>
      </c>
      <c r="Y45" s="685"/>
      <c r="Z45" s="685">
        <f>(AA46*2+AA47)*AA48</f>
        <v>528</v>
      </c>
      <c r="AA45" s="1" t="s">
        <v>989</v>
      </c>
    </row>
    <row r="46" spans="1:30">
      <c r="A46" s="1" t="s">
        <v>968</v>
      </c>
      <c r="B46" s="7">
        <v>15</v>
      </c>
      <c r="C46" s="1" t="s">
        <v>1259</v>
      </c>
      <c r="D46" s="3" t="s">
        <v>968</v>
      </c>
      <c r="E46" s="2">
        <f t="shared" si="18"/>
        <v>30025082.132713571</v>
      </c>
      <c r="F46" s="2">
        <f t="shared" si="19"/>
        <v>30745684.103898697</v>
      </c>
      <c r="G46" s="2">
        <f t="shared" si="20"/>
        <v>31483580.522392269</v>
      </c>
      <c r="H46" s="2">
        <f t="shared" si="21"/>
        <v>32239186.454929683</v>
      </c>
      <c r="I46" s="2">
        <f t="shared" si="22"/>
        <v>33012926.929847993</v>
      </c>
      <c r="J46" s="2">
        <f t="shared" si="23"/>
        <v>33805237.176164344</v>
      </c>
      <c r="K46" s="2">
        <f t="shared" si="24"/>
        <v>34616562.868392296</v>
      </c>
      <c r="L46" s="2">
        <f t="shared" si="25"/>
        <v>35447360.377233706</v>
      </c>
      <c r="M46" s="2">
        <f t="shared" si="26"/>
        <v>36298097.026287317</v>
      </c>
      <c r="N46" s="2">
        <f t="shared" si="27"/>
        <v>37169251.354918212</v>
      </c>
      <c r="O46" s="2">
        <f t="shared" si="28"/>
        <v>38061313.387436248</v>
      </c>
      <c r="P46" s="2">
        <f t="shared" si="29"/>
        <v>38974784.908734724</v>
      </c>
      <c r="Q46" s="2">
        <f t="shared" si="30"/>
        <v>39910179.746544354</v>
      </c>
      <c r="R46" s="2">
        <f t="shared" si="31"/>
        <v>40868024.060461424</v>
      </c>
      <c r="S46" s="2">
        <f t="shared" si="32"/>
        <v>41848856.637912497</v>
      </c>
      <c r="T46" s="2">
        <f t="shared" si="33"/>
        <v>42853229.197222389</v>
      </c>
      <c r="U46" s="2">
        <f t="shared" si="34"/>
        <v>43881706.697955728</v>
      </c>
      <c r="V46" s="2">
        <f t="shared" si="35"/>
        <v>44934867.658706665</v>
      </c>
      <c r="W46" s="2">
        <f t="shared" si="36"/>
        <v>46013304.482515626</v>
      </c>
      <c r="X46" s="2">
        <f t="shared" si="37"/>
        <v>47117623.790096007</v>
      </c>
      <c r="Y46" s="685"/>
      <c r="AA46" s="9">
        <v>5</v>
      </c>
      <c r="AB46" s="1" t="s">
        <v>918</v>
      </c>
    </row>
    <row r="47" spans="1:30">
      <c r="A47" s="1" t="s">
        <v>967</v>
      </c>
      <c r="B47" s="7">
        <v>30</v>
      </c>
      <c r="C47" s="1" t="s">
        <v>1259</v>
      </c>
      <c r="D47" s="3" t="s">
        <v>967</v>
      </c>
      <c r="E47" s="2">
        <f t="shared" si="18"/>
        <v>9804938.74523573</v>
      </c>
      <c r="F47" s="2">
        <f t="shared" si="19"/>
        <v>10040257.275121387</v>
      </c>
      <c r="G47" s="2">
        <f t="shared" si="20"/>
        <v>10281223.449724302</v>
      </c>
      <c r="H47" s="2">
        <f t="shared" si="21"/>
        <v>10527972.812517684</v>
      </c>
      <c r="I47" s="2">
        <f t="shared" si="22"/>
        <v>10780644.160018109</v>
      </c>
      <c r="J47" s="2">
        <f t="shared" si="23"/>
        <v>11039379.619858542</v>
      </c>
      <c r="K47" s="2">
        <f t="shared" si="24"/>
        <v>11304324.730735147</v>
      </c>
      <c r="L47" s="2">
        <f t="shared" si="25"/>
        <v>11575628.524272792</v>
      </c>
      <c r="M47" s="2">
        <f t="shared" si="26"/>
        <v>11853443.608855341</v>
      </c>
      <c r="N47" s="2">
        <f t="shared" si="27"/>
        <v>12137926.255467869</v>
      </c>
      <c r="O47" s="2">
        <f t="shared" si="28"/>
        <v>12429236.485599099</v>
      </c>
      <c r="P47" s="2">
        <f t="shared" si="29"/>
        <v>12727538.161253477</v>
      </c>
      <c r="Q47" s="2">
        <f t="shared" si="30"/>
        <v>13032999.07712356</v>
      </c>
      <c r="R47" s="2">
        <f t="shared" si="31"/>
        <v>13345791.054974526</v>
      </c>
      <c r="S47" s="2">
        <f t="shared" si="32"/>
        <v>13666090.040293915</v>
      </c>
      <c r="T47" s="2">
        <f t="shared" si="33"/>
        <v>13994076.201260969</v>
      </c>
      <c r="U47" s="2">
        <f t="shared" si="34"/>
        <v>14329934.030091234</v>
      </c>
      <c r="V47" s="2">
        <f t="shared" si="35"/>
        <v>14673852.446813423</v>
      </c>
      <c r="W47" s="2">
        <f t="shared" si="36"/>
        <v>15026024.905536946</v>
      </c>
      <c r="X47" s="2">
        <f t="shared" si="37"/>
        <v>15386649.503269834</v>
      </c>
      <c r="Y47" s="685"/>
      <c r="AA47" s="9">
        <v>1</v>
      </c>
      <c r="AB47" s="1" t="s">
        <v>988</v>
      </c>
    </row>
    <row r="48" spans="1:30">
      <c r="A48" s="1" t="s">
        <v>966</v>
      </c>
      <c r="B48" s="7">
        <v>50</v>
      </c>
      <c r="C48" s="1" t="s">
        <v>1259</v>
      </c>
      <c r="D48" s="3" t="s">
        <v>966</v>
      </c>
      <c r="E48" s="2">
        <f t="shared" si="18"/>
        <v>3599952.3621386071</v>
      </c>
      <c r="F48" s="2">
        <f t="shared" si="19"/>
        <v>3686351.2188299336</v>
      </c>
      <c r="G48" s="2">
        <f t="shared" si="20"/>
        <v>3774823.6480818517</v>
      </c>
      <c r="H48" s="2">
        <f t="shared" si="21"/>
        <v>3865419.4156358163</v>
      </c>
      <c r="I48" s="2">
        <f t="shared" si="22"/>
        <v>3958189.4816110763</v>
      </c>
      <c r="J48" s="2">
        <f t="shared" si="23"/>
        <v>4053186.029169742</v>
      </c>
      <c r="K48" s="2">
        <f t="shared" si="24"/>
        <v>4150462.493869816</v>
      </c>
      <c r="L48" s="2">
        <f t="shared" si="25"/>
        <v>4250073.5937226918</v>
      </c>
      <c r="M48" s="2">
        <f t="shared" si="26"/>
        <v>4352075.3599720355</v>
      </c>
      <c r="N48" s="2">
        <f t="shared" si="27"/>
        <v>4456525.1686113644</v>
      </c>
      <c r="O48" s="2">
        <f t="shared" si="28"/>
        <v>4563481.772658038</v>
      </c>
      <c r="P48" s="2">
        <f t="shared" si="29"/>
        <v>4673005.3352018306</v>
      </c>
      <c r="Q48" s="2">
        <f t="shared" si="30"/>
        <v>4785157.4632466743</v>
      </c>
      <c r="R48" s="2">
        <f t="shared" si="31"/>
        <v>4900001.2423645947</v>
      </c>
      <c r="S48" s="2">
        <f t="shared" si="32"/>
        <v>5017601.2721813451</v>
      </c>
      <c r="T48" s="2">
        <f t="shared" si="33"/>
        <v>5138023.7027136972</v>
      </c>
      <c r="U48" s="2">
        <f t="shared" si="34"/>
        <v>5261336.271578826</v>
      </c>
      <c r="V48" s="2">
        <f t="shared" si="35"/>
        <v>5387608.342096718</v>
      </c>
      <c r="W48" s="2">
        <f t="shared" si="36"/>
        <v>5516910.9423070401</v>
      </c>
      <c r="X48" s="2">
        <f t="shared" si="37"/>
        <v>5649316.8049224084</v>
      </c>
      <c r="Y48" s="685"/>
      <c r="AA48" s="9">
        <v>48</v>
      </c>
      <c r="AB48" s="1" t="s">
        <v>917</v>
      </c>
    </row>
    <row r="49" spans="1:27" ht="15" thickBot="1">
      <c r="A49" s="1" t="s">
        <v>909</v>
      </c>
      <c r="B49" s="9">
        <v>2.5299999999999998</v>
      </c>
      <c r="D49" s="3" t="s">
        <v>909</v>
      </c>
      <c r="E49" s="2">
        <f t="shared" si="18"/>
        <v>2150021.0010109646</v>
      </c>
      <c r="F49" s="2">
        <f t="shared" si="19"/>
        <v>2201621.5050352276</v>
      </c>
      <c r="G49" s="2">
        <f t="shared" si="20"/>
        <v>2254460.4211560735</v>
      </c>
      <c r="H49" s="2">
        <f t="shared" si="21"/>
        <v>2308567.4712638194</v>
      </c>
      <c r="I49" s="2">
        <f t="shared" si="22"/>
        <v>2363973.0905741509</v>
      </c>
      <c r="J49" s="2">
        <f t="shared" si="23"/>
        <v>2420708.4447479304</v>
      </c>
      <c r="K49" s="2">
        <f t="shared" si="24"/>
        <v>2478805.4474218809</v>
      </c>
      <c r="L49" s="2">
        <f t="shared" si="25"/>
        <v>2538296.7781600058</v>
      </c>
      <c r="M49" s="2">
        <f t="shared" si="26"/>
        <v>2599215.9008358461</v>
      </c>
      <c r="N49" s="2">
        <f t="shared" si="27"/>
        <v>2661597.082455907</v>
      </c>
      <c r="O49" s="2">
        <f t="shared" si="28"/>
        <v>2725475.4124348485</v>
      </c>
      <c r="P49" s="2">
        <f t="shared" si="29"/>
        <v>2790886.8223332851</v>
      </c>
      <c r="Q49" s="2">
        <f t="shared" si="30"/>
        <v>2857868.106069284</v>
      </c>
      <c r="R49" s="2">
        <f t="shared" si="31"/>
        <v>2926456.9406149471</v>
      </c>
      <c r="S49" s="2">
        <f t="shared" si="32"/>
        <v>2996691.9071897059</v>
      </c>
      <c r="T49" s="2">
        <f t="shared" si="33"/>
        <v>3068612.5129622589</v>
      </c>
      <c r="U49" s="2">
        <f t="shared" si="34"/>
        <v>3142259.2132733529</v>
      </c>
      <c r="V49" s="2">
        <f t="shared" si="35"/>
        <v>3217673.4343919135</v>
      </c>
      <c r="W49" s="2">
        <f t="shared" si="36"/>
        <v>3294897.5968173193</v>
      </c>
      <c r="X49" s="2">
        <f t="shared" si="37"/>
        <v>3373975.1391409356</v>
      </c>
      <c r="Y49" s="685"/>
      <c r="Z49" s="685">
        <f>Z44*B29/Z45</f>
        <v>190798.88165967929</v>
      </c>
      <c r="AA49" s="1" t="s">
        <v>1707</v>
      </c>
    </row>
    <row r="50" spans="1:27" ht="15" thickBot="1">
      <c r="A50" s="1" t="s">
        <v>908</v>
      </c>
      <c r="B50" s="9">
        <v>2.41</v>
      </c>
      <c r="D50" s="3" t="s">
        <v>908</v>
      </c>
      <c r="E50" s="2">
        <f t="shared" si="18"/>
        <v>1000400.8713699608</v>
      </c>
      <c r="F50" s="2">
        <f t="shared" si="19"/>
        <v>1024410.49228284</v>
      </c>
      <c r="G50" s="2">
        <f t="shared" si="20"/>
        <v>1048996.344097628</v>
      </c>
      <c r="H50" s="2">
        <f t="shared" si="21"/>
        <v>1074172.2563559711</v>
      </c>
      <c r="I50" s="2">
        <f t="shared" si="22"/>
        <v>1099952.3905085144</v>
      </c>
      <c r="J50" s="2">
        <f t="shared" si="23"/>
        <v>1126351.2478807187</v>
      </c>
      <c r="K50" s="2">
        <f t="shared" si="24"/>
        <v>1153383.6778298561</v>
      </c>
      <c r="L50" s="2">
        <f t="shared" si="25"/>
        <v>1181064.8860977727</v>
      </c>
      <c r="M50" s="2">
        <f t="shared" si="26"/>
        <v>1209410.4433641192</v>
      </c>
      <c r="N50" s="2">
        <f t="shared" si="27"/>
        <v>1238436.294004858</v>
      </c>
      <c r="O50" s="2">
        <f t="shared" si="28"/>
        <v>1268158.7650609748</v>
      </c>
      <c r="P50" s="2">
        <f t="shared" si="29"/>
        <v>1298594.5754224383</v>
      </c>
      <c r="Q50" s="2">
        <f t="shared" si="30"/>
        <v>1329760.8452325768</v>
      </c>
      <c r="R50" s="2">
        <f t="shared" si="31"/>
        <v>1361675.1055181588</v>
      </c>
      <c r="S50" s="2">
        <f t="shared" si="32"/>
        <v>1394355.3080505945</v>
      </c>
      <c r="T50" s="2">
        <f t="shared" si="33"/>
        <v>1427819.8354438087</v>
      </c>
      <c r="U50" s="2">
        <f t="shared" si="34"/>
        <v>1462087.5114944603</v>
      </c>
      <c r="V50" s="2">
        <f t="shared" si="35"/>
        <v>1497177.6117703272</v>
      </c>
      <c r="W50" s="2">
        <f t="shared" si="36"/>
        <v>1533109.8744528149</v>
      </c>
      <c r="X50" s="2">
        <f t="shared" si="37"/>
        <v>1569904.5114396825</v>
      </c>
      <c r="Y50" s="685"/>
      <c r="Z50" s="763">
        <f>Z49*B66</f>
        <v>14676.837050744562</v>
      </c>
      <c r="AA50" s="1" t="s">
        <v>1706</v>
      </c>
    </row>
    <row r="51" spans="1:27">
      <c r="A51" s="1" t="s">
        <v>907</v>
      </c>
      <c r="B51" s="9">
        <v>1.92</v>
      </c>
      <c r="D51" s="3" t="s">
        <v>907</v>
      </c>
      <c r="E51" s="2">
        <f t="shared" si="18"/>
        <v>173744.55016831146</v>
      </c>
      <c r="F51" s="2">
        <f t="shared" si="19"/>
        <v>177914.41937235094</v>
      </c>
      <c r="G51" s="2">
        <f t="shared" si="20"/>
        <v>182184.36543728734</v>
      </c>
      <c r="H51" s="2">
        <f t="shared" si="21"/>
        <v>186556.79020778227</v>
      </c>
      <c r="I51" s="2">
        <f t="shared" si="22"/>
        <v>191034.15317276906</v>
      </c>
      <c r="J51" s="2">
        <f t="shared" si="23"/>
        <v>195618.97284891552</v>
      </c>
      <c r="K51" s="2">
        <f t="shared" si="24"/>
        <v>200313.82819728949</v>
      </c>
      <c r="L51" s="2">
        <f t="shared" si="25"/>
        <v>205121.36007402444</v>
      </c>
      <c r="M51" s="2">
        <f t="shared" si="26"/>
        <v>210044.27271580102</v>
      </c>
      <c r="N51" s="2">
        <f t="shared" si="27"/>
        <v>215085.33526098024</v>
      </c>
      <c r="O51" s="2">
        <f t="shared" si="28"/>
        <v>220247.38330724378</v>
      </c>
      <c r="P51" s="2">
        <f t="shared" si="29"/>
        <v>225533.32050661763</v>
      </c>
      <c r="Q51" s="2">
        <f t="shared" si="30"/>
        <v>230946.12019877645</v>
      </c>
      <c r="R51" s="2">
        <f t="shared" si="31"/>
        <v>236488.8270835471</v>
      </c>
      <c r="S51" s="2">
        <f t="shared" si="32"/>
        <v>242164.55893355224</v>
      </c>
      <c r="T51" s="2">
        <f t="shared" si="33"/>
        <v>247976.50834795748</v>
      </c>
      <c r="U51" s="2">
        <f t="shared" si="34"/>
        <v>253927.94454830847</v>
      </c>
      <c r="V51" s="2">
        <f t="shared" si="35"/>
        <v>260022.21521746789</v>
      </c>
      <c r="W51" s="2">
        <f t="shared" si="36"/>
        <v>266262.7483826871</v>
      </c>
      <c r="X51" s="2">
        <f t="shared" si="37"/>
        <v>272653.05434387166</v>
      </c>
      <c r="Y51" s="685"/>
    </row>
    <row r="52" spans="1:27">
      <c r="A52" s="1" t="s">
        <v>965</v>
      </c>
      <c r="B52" s="9">
        <v>1.5</v>
      </c>
      <c r="D52" s="3" t="s">
        <v>965</v>
      </c>
      <c r="E52" s="600">
        <f t="shared" si="18"/>
        <v>46047.335865026354</v>
      </c>
      <c r="F52" s="600">
        <f t="shared" si="19"/>
        <v>47152.471925786987</v>
      </c>
      <c r="G52" s="600">
        <f t="shared" si="20"/>
        <v>48284.131252005871</v>
      </c>
      <c r="H52" s="600">
        <f t="shared" si="21"/>
        <v>49442.950402054019</v>
      </c>
      <c r="I52" s="600">
        <f t="shared" si="22"/>
        <v>50629.58121170332</v>
      </c>
      <c r="J52" s="600">
        <f t="shared" si="23"/>
        <v>51844.69116078419</v>
      </c>
      <c r="K52" s="600">
        <f t="shared" si="24"/>
        <v>53088.963748643015</v>
      </c>
      <c r="L52" s="600">
        <f t="shared" si="25"/>
        <v>54363.09887861045</v>
      </c>
      <c r="M52" s="600">
        <f t="shared" si="26"/>
        <v>55667.813251697095</v>
      </c>
      <c r="N52" s="600">
        <f t="shared" si="27"/>
        <v>57003.840769737828</v>
      </c>
      <c r="O52" s="600">
        <f t="shared" si="28"/>
        <v>58371.932948211543</v>
      </c>
      <c r="P52" s="600">
        <f t="shared" si="29"/>
        <v>59772.859338968614</v>
      </c>
      <c r="Q52" s="600">
        <f t="shared" si="30"/>
        <v>61207.407963103869</v>
      </c>
      <c r="R52" s="600">
        <f t="shared" si="31"/>
        <v>62676.385754218361</v>
      </c>
      <c r="S52" s="600">
        <f t="shared" si="32"/>
        <v>64180.619012319599</v>
      </c>
      <c r="T52" s="600">
        <f t="shared" si="33"/>
        <v>65720.953868615266</v>
      </c>
      <c r="U52" s="600">
        <f t="shared" si="34"/>
        <v>67298.256761462035</v>
      </c>
      <c r="V52" s="600">
        <f t="shared" si="35"/>
        <v>68913.414923737131</v>
      </c>
      <c r="W52" s="600">
        <f t="shared" si="36"/>
        <v>70567.336881906813</v>
      </c>
      <c r="X52" s="600">
        <f t="shared" si="37"/>
        <v>72260.95296707259</v>
      </c>
      <c r="Y52" s="685"/>
    </row>
    <row r="53" spans="1:27">
      <c r="B53" s="9"/>
      <c r="D53" s="3" t="s">
        <v>133</v>
      </c>
      <c r="E53" s="2">
        <f t="shared" ref="E53:X53" si="38">SUM(E44:E52)</f>
        <v>81315420.672328934</v>
      </c>
      <c r="F53" s="2">
        <f t="shared" si="38"/>
        <v>83266990.768464804</v>
      </c>
      <c r="G53" s="2">
        <f t="shared" si="38"/>
        <v>85265398.546907991</v>
      </c>
      <c r="H53" s="2">
        <f t="shared" si="38"/>
        <v>87311768.112033784</v>
      </c>
      <c r="I53" s="2">
        <f t="shared" si="38"/>
        <v>89407250.546722576</v>
      </c>
      <c r="J53" s="2">
        <f t="shared" si="38"/>
        <v>91553024.559843928</v>
      </c>
      <c r="K53" s="2">
        <f t="shared" si="38"/>
        <v>93750297.14928019</v>
      </c>
      <c r="L53" s="2">
        <f t="shared" si="38"/>
        <v>96000304.280862927</v>
      </c>
      <c r="M53" s="2">
        <f t="shared" si="38"/>
        <v>98304311.583603621</v>
      </c>
      <c r="N53" s="2">
        <f t="shared" si="38"/>
        <v>100663615.06161012</v>
      </c>
      <c r="O53" s="2">
        <f t="shared" si="38"/>
        <v>103079541.82308878</v>
      </c>
      <c r="P53" s="2">
        <f t="shared" si="38"/>
        <v>105553450.8268429</v>
      </c>
      <c r="Q53" s="2">
        <f t="shared" si="38"/>
        <v>108086733.64668712</v>
      </c>
      <c r="R53" s="2">
        <f t="shared" si="38"/>
        <v>110680815.25420764</v>
      </c>
      <c r="S53" s="2">
        <f t="shared" si="38"/>
        <v>113337154.82030863</v>
      </c>
      <c r="T53" s="2">
        <f t="shared" si="38"/>
        <v>116057246.535996</v>
      </c>
      <c r="U53" s="2">
        <f t="shared" si="38"/>
        <v>118842620.45285988</v>
      </c>
      <c r="V53" s="2">
        <f t="shared" si="38"/>
        <v>121694843.34372856</v>
      </c>
      <c r="W53" s="2">
        <f t="shared" si="38"/>
        <v>124615519.58397803</v>
      </c>
      <c r="X53" s="2">
        <f t="shared" si="38"/>
        <v>127606292.05399349</v>
      </c>
      <c r="Y53" s="685"/>
    </row>
    <row r="54" spans="1:27">
      <c r="F54" s="245"/>
      <c r="G54" s="245"/>
      <c r="H54" s="245"/>
      <c r="I54" s="245"/>
      <c r="J54" s="245"/>
      <c r="K54" s="245"/>
      <c r="Y54" s="201"/>
    </row>
    <row r="55" spans="1:27">
      <c r="A55" s="123"/>
      <c r="B55" s="123"/>
      <c r="C55" s="123"/>
      <c r="D55" s="533" t="s">
        <v>987</v>
      </c>
      <c r="E55" s="123"/>
      <c r="F55" s="123"/>
      <c r="G55" s="123"/>
      <c r="H55" s="123"/>
      <c r="I55" s="123"/>
      <c r="J55" s="123"/>
      <c r="K55" s="123"/>
      <c r="L55" s="123"/>
      <c r="M55" s="123"/>
      <c r="N55" s="123"/>
      <c r="O55" s="123"/>
      <c r="P55" s="123"/>
      <c r="Q55" s="123"/>
      <c r="R55" s="123"/>
      <c r="S55" s="123"/>
      <c r="T55" s="123"/>
      <c r="U55" s="123"/>
      <c r="V55" s="123"/>
      <c r="W55" s="123"/>
      <c r="X55" s="123"/>
      <c r="Y55" s="201"/>
    </row>
    <row r="56" spans="1:27">
      <c r="A56" s="762" t="s">
        <v>986</v>
      </c>
      <c r="F56" s="2"/>
    </row>
    <row r="57" spans="1:27" ht="29">
      <c r="A57" s="185" t="s">
        <v>985</v>
      </c>
      <c r="B57" s="761">
        <f>PRODUCT(Drainage!$D$162:$D$164)</f>
        <v>0.37180569117872636</v>
      </c>
    </row>
    <row r="58" spans="1:27" ht="29">
      <c r="A58" s="185" t="s">
        <v>984</v>
      </c>
      <c r="B58" s="203"/>
    </row>
    <row r="59" spans="1:27">
      <c r="A59" s="132" t="s">
        <v>983</v>
      </c>
      <c r="B59" s="757">
        <f>B57</f>
        <v>0.37180569117872636</v>
      </c>
    </row>
    <row r="60" spans="1:27">
      <c r="A60" s="132" t="s">
        <v>982</v>
      </c>
      <c r="B60" s="737">
        <v>1</v>
      </c>
    </row>
    <row r="61" spans="1:27">
      <c r="A61" s="185" t="s">
        <v>981</v>
      </c>
      <c r="B61" s="675">
        <f>24*12*8</f>
        <v>2304</v>
      </c>
    </row>
    <row r="62" spans="1:27" ht="29">
      <c r="A62" s="204" t="s">
        <v>980</v>
      </c>
      <c r="B62" s="722">
        <f>Assumptions!$O$50/Assumptions!$O$46</f>
        <v>1.5091522313186856</v>
      </c>
    </row>
    <row r="63" spans="1:27" ht="30" customHeight="1">
      <c r="A63" s="204" t="s">
        <v>979</v>
      </c>
      <c r="B63" s="722">
        <f>Assumptions!$R$50/Assumptions!$R$46</f>
        <v>1.128404354042857</v>
      </c>
    </row>
    <row r="64" spans="1:27">
      <c r="A64" s="1" t="s">
        <v>978</v>
      </c>
      <c r="B64" s="203">
        <f>Assumptions!$E$44</f>
        <v>4995</v>
      </c>
    </row>
    <row r="65" spans="1:25" ht="30" customHeight="1">
      <c r="A65" s="185" t="s">
        <v>977</v>
      </c>
      <c r="B65" s="760">
        <f>0.5*E65</f>
        <v>0.5</v>
      </c>
      <c r="C65" s="727" t="s">
        <v>540</v>
      </c>
      <c r="E65" s="759">
        <v>1</v>
      </c>
      <c r="F65" s="282" t="s">
        <v>421</v>
      </c>
    </row>
    <row r="66" spans="1:25" ht="29">
      <c r="A66" s="185" t="s">
        <v>931</v>
      </c>
      <c r="B66" s="732">
        <f>Drainage!L44</f>
        <v>7.6923076923076927E-2</v>
      </c>
      <c r="C66" s="723"/>
      <c r="D66" s="725"/>
      <c r="F66" s="758">
        <v>0.5</v>
      </c>
    </row>
    <row r="67" spans="1:25">
      <c r="A67" s="396" t="s">
        <v>1708</v>
      </c>
      <c r="B67" s="730">
        <v>0.3</v>
      </c>
      <c r="C67" s="729" t="s">
        <v>540</v>
      </c>
      <c r="F67" s="709">
        <v>0.19909828131034885</v>
      </c>
      <c r="H67" s="1406" t="s">
        <v>1709</v>
      </c>
      <c r="I67" s="1406"/>
      <c r="J67" s="1406"/>
      <c r="K67" s="1406"/>
      <c r="L67" s="1406"/>
      <c r="M67" s="1406"/>
      <c r="N67" s="1406"/>
    </row>
    <row r="68" spans="1:25" ht="29">
      <c r="A68" s="204" t="s">
        <v>976</v>
      </c>
      <c r="B68" s="757">
        <f>(1-0.35)</f>
        <v>0.65</v>
      </c>
      <c r="C68" s="311" t="s">
        <v>540</v>
      </c>
      <c r="E68" s="756" t="s">
        <v>418</v>
      </c>
      <c r="F68" s="755">
        <f>(F67-F66)/F66</f>
        <v>-0.60180343737930231</v>
      </c>
    </row>
    <row r="69" spans="1:25" ht="30" customHeight="1">
      <c r="A69" s="279" t="s">
        <v>975</v>
      </c>
      <c r="B69" s="726">
        <f>B66*(1-B67)*B68</f>
        <v>3.5000000000000003E-2</v>
      </c>
    </row>
    <row r="70" spans="1:25" ht="30" customHeight="1">
      <c r="A70" s="204" t="s">
        <v>974</v>
      </c>
      <c r="B70" s="726">
        <f>Assumptions!Q49</f>
        <v>2.73023970318238E-2</v>
      </c>
      <c r="C70" s="311"/>
    </row>
    <row r="71" spans="1:25" ht="15" customHeight="1">
      <c r="B71" s="726"/>
    </row>
    <row r="72" spans="1:25">
      <c r="A72" s="204"/>
      <c r="B72" s="722"/>
      <c r="E72" s="534" t="s">
        <v>973</v>
      </c>
    </row>
    <row r="73" spans="1:25" ht="58">
      <c r="A73" s="718" t="s">
        <v>910</v>
      </c>
      <c r="B73" s="754" t="s">
        <v>972</v>
      </c>
      <c r="C73" s="753" t="s">
        <v>971</v>
      </c>
      <c r="D73" s="753"/>
      <c r="E73" s="718">
        <v>2012</v>
      </c>
      <c r="F73" s="718">
        <v>2013</v>
      </c>
      <c r="G73" s="718">
        <v>2014</v>
      </c>
      <c r="H73" s="718">
        <v>2015</v>
      </c>
      <c r="I73" s="718">
        <v>2016</v>
      </c>
      <c r="J73" s="718">
        <v>2017</v>
      </c>
      <c r="K73" s="718">
        <v>2018</v>
      </c>
      <c r="L73" s="718">
        <v>2019</v>
      </c>
      <c r="M73" s="718">
        <v>2020</v>
      </c>
      <c r="N73" s="718">
        <v>2021</v>
      </c>
      <c r="O73" s="718">
        <v>2022</v>
      </c>
      <c r="P73" s="718">
        <v>2023</v>
      </c>
      <c r="Q73" s="718">
        <v>2024</v>
      </c>
      <c r="R73" s="718">
        <v>2025</v>
      </c>
      <c r="S73" s="718">
        <v>2026</v>
      </c>
      <c r="T73" s="718">
        <v>2027</v>
      </c>
      <c r="U73" s="718">
        <v>2028</v>
      </c>
      <c r="V73" s="718">
        <v>2029</v>
      </c>
      <c r="W73" s="718">
        <v>2030</v>
      </c>
      <c r="X73" s="718">
        <v>2031</v>
      </c>
      <c r="Y73" s="752"/>
    </row>
    <row r="74" spans="1:25">
      <c r="A74" s="1" t="s">
        <v>970</v>
      </c>
      <c r="B74" s="674">
        <f>50000000</f>
        <v>50000000</v>
      </c>
      <c r="C74" s="743">
        <f>B74*$B$59/$B$61*$B$62*$B$63/$B$64</f>
        <v>2.7508434382323981</v>
      </c>
      <c r="D74" s="674"/>
      <c r="E74" s="2">
        <f>E44*$B$69*$C74*$B$65*(1+$B$70)^(E$73-$E$73+1)</f>
        <v>1642257.1745379355</v>
      </c>
      <c r="F74" s="2">
        <f t="shared" ref="F74:X74" si="39">F44*$B$69*$C74*$B$65*(1+$B$70)^(F$73-$E$73+1)</f>
        <v>1727585.0055122236</v>
      </c>
      <c r="G74" s="2">
        <f t="shared" si="39"/>
        <v>1817346.2704526787</v>
      </c>
      <c r="H74" s="2">
        <f t="shared" si="39"/>
        <v>1911771.3201898308</v>
      </c>
      <c r="I74" s="2">
        <f t="shared" si="39"/>
        <v>2011102.4740430925</v>
      </c>
      <c r="J74" s="2">
        <f t="shared" si="39"/>
        <v>2115594.6416753666</v>
      </c>
      <c r="K74" s="2">
        <f t="shared" si="39"/>
        <v>2225515.9772577654</v>
      </c>
      <c r="L74" s="2">
        <f t="shared" si="39"/>
        <v>2341148.5676231929</v>
      </c>
      <c r="M74" s="2">
        <f t="shared" si="39"/>
        <v>2462789.1561747734</v>
      </c>
      <c r="N74" s="2">
        <f t="shared" si="39"/>
        <v>2590749.9044068628</v>
      </c>
      <c r="O74" s="2">
        <f t="shared" si="39"/>
        <v>2725359.1929929103</v>
      </c>
      <c r="P74" s="2">
        <f t="shared" si="39"/>
        <v>2866962.4644959574</v>
      </c>
      <c r="Q74" s="2">
        <f t="shared" si="39"/>
        <v>3015923.1098644091</v>
      </c>
      <c r="R74" s="2">
        <f t="shared" si="39"/>
        <v>3172623.4009880372</v>
      </c>
      <c r="S74" s="2">
        <f t="shared" si="39"/>
        <v>3337465.4717074097</v>
      </c>
      <c r="T74" s="2">
        <f t="shared" si="39"/>
        <v>3510872.3497942714</v>
      </c>
      <c r="U74" s="2">
        <f t="shared" si="39"/>
        <v>3693289.0425512008</v>
      </c>
      <c r="V74" s="2">
        <f t="shared" si="39"/>
        <v>3885183.6788164782</v>
      </c>
      <c r="W74" s="2">
        <f t="shared" si="39"/>
        <v>4087048.7103048586</v>
      </c>
      <c r="X74" s="2">
        <f t="shared" si="39"/>
        <v>4299402.1753671728</v>
      </c>
      <c r="Y74" s="352"/>
    </row>
    <row r="75" spans="1:25">
      <c r="A75" s="1" t="s">
        <v>969</v>
      </c>
      <c r="B75" s="674">
        <f>20000000</f>
        <v>20000000</v>
      </c>
      <c r="C75" s="743">
        <f>B75*$B$59/$B$61*$B$62*$B$63/$B$64</f>
        <v>1.1003373752929593</v>
      </c>
      <c r="D75" s="674"/>
      <c r="E75" s="2">
        <f t="shared" ref="E75:X75" si="40">E45*$B$69*$C75*$B$65*(1+$B$70)^(E$73-$E$73+1)</f>
        <v>25864.933177820396</v>
      </c>
      <c r="F75" s="2">
        <f t="shared" si="40"/>
        <v>27208.81444110626</v>
      </c>
      <c r="G75" s="2">
        <f t="shared" si="40"/>
        <v>28622.520622840388</v>
      </c>
      <c r="H75" s="2">
        <f t="shared" si="40"/>
        <v>30109.67966201522</v>
      </c>
      <c r="I75" s="2">
        <f t="shared" si="40"/>
        <v>31674.107996824157</v>
      </c>
      <c r="J75" s="2">
        <f t="shared" si="40"/>
        <v>33319.820358637895</v>
      </c>
      <c r="K75" s="2">
        <f t="shared" si="40"/>
        <v>35051.040074852834</v>
      </c>
      <c r="L75" s="2">
        <f t="shared" si="40"/>
        <v>36872.209907051358</v>
      </c>
      <c r="M75" s="2">
        <f t="shared" si="40"/>
        <v>38788.003452287398</v>
      </c>
      <c r="N75" s="2">
        <f t="shared" si="40"/>
        <v>40803.337136756221</v>
      </c>
      <c r="O75" s="2">
        <f t="shared" si="40"/>
        <v>42923.382832627001</v>
      </c>
      <c r="P75" s="2">
        <f t="shared" si="40"/>
        <v>45153.581130416482</v>
      </c>
      <c r="Q75" s="2">
        <f t="shared" si="40"/>
        <v>47499.655300964128</v>
      </c>
      <c r="R75" s="2">
        <f t="shared" si="40"/>
        <v>49967.625982838603</v>
      </c>
      <c r="S75" s="2">
        <f t="shared" si="40"/>
        <v>52563.826632867582</v>
      </c>
      <c r="T75" s="2">
        <f t="shared" si="40"/>
        <v>55294.91977944073</v>
      </c>
      <c r="U75" s="2">
        <f t="shared" si="40"/>
        <v>58167.914120296293</v>
      </c>
      <c r="V75" s="2">
        <f t="shared" si="40"/>
        <v>61190.182508668579</v>
      </c>
      <c r="W75" s="2">
        <f t="shared" si="40"/>
        <v>64369.480873953282</v>
      </c>
      <c r="X75" s="2">
        <f t="shared" si="40"/>
        <v>67713.968125446496</v>
      </c>
      <c r="Y75" s="352"/>
    </row>
    <row r="76" spans="1:25">
      <c r="A76" s="1" t="s">
        <v>968</v>
      </c>
      <c r="B76" s="674">
        <f t="shared" ref="B76:B81" si="41">12000000</f>
        <v>12000000</v>
      </c>
      <c r="C76" s="743">
        <f>B76*$B$59/$B$61*$B$62*$B$63/$B$64</f>
        <v>0.66020242517577565</v>
      </c>
      <c r="D76" s="674"/>
      <c r="E76" s="2">
        <f t="shared" ref="E76:X76" si="42">E46*$B$69*$C76*$B$65*(1+$B$70)^(E$73-$E$73+1)</f>
        <v>356367.15468015277</v>
      </c>
      <c r="F76" s="2">
        <f t="shared" si="42"/>
        <v>374883.15619976353</v>
      </c>
      <c r="G76" s="2">
        <f t="shared" si="42"/>
        <v>394361.20573017368</v>
      </c>
      <c r="H76" s="2">
        <f t="shared" si="42"/>
        <v>414851.28902959882</v>
      </c>
      <c r="I76" s="2">
        <f t="shared" si="42"/>
        <v>436405.98899901315</v>
      </c>
      <c r="J76" s="2">
        <f t="shared" si="42"/>
        <v>459080.62062359543</v>
      </c>
      <c r="K76" s="2">
        <f t="shared" si="42"/>
        <v>482933.37292541651</v>
      </c>
      <c r="L76" s="2">
        <f t="shared" si="42"/>
        <v>508025.45829165459</v>
      </c>
      <c r="M76" s="2">
        <f t="shared" si="42"/>
        <v>534421.26956155652</v>
      </c>
      <c r="N76" s="2">
        <f t="shared" si="42"/>
        <v>562188.54527526652</v>
      </c>
      <c r="O76" s="2">
        <f t="shared" si="42"/>
        <v>591398.54350859823</v>
      </c>
      <c r="P76" s="2">
        <f t="shared" si="42"/>
        <v>622126.22473985248</v>
      </c>
      <c r="Q76" s="2">
        <f t="shared" si="42"/>
        <v>654450.44421796803</v>
      </c>
      <c r="R76" s="2">
        <f t="shared" si="42"/>
        <v>688454.15432566858</v>
      </c>
      <c r="S76" s="2">
        <f t="shared" si="42"/>
        <v>724224.61745692301</v>
      </c>
      <c r="T76" s="2">
        <f t="shared" si="42"/>
        <v>761853.62995502329</v>
      </c>
      <c r="U76" s="2">
        <f t="shared" si="42"/>
        <v>801437.7576859562</v>
      </c>
      <c r="V76" s="2">
        <f t="shared" si="42"/>
        <v>843078.58385161473</v>
      </c>
      <c r="W76" s="2">
        <f t="shared" si="42"/>
        <v>886882.96967880637</v>
      </c>
      <c r="X76" s="2">
        <f t="shared" si="42"/>
        <v>932963.32865304605</v>
      </c>
      <c r="Y76" s="352"/>
    </row>
    <row r="77" spans="1:25">
      <c r="A77" s="1" t="s">
        <v>967</v>
      </c>
      <c r="B77" s="674">
        <f t="shared" si="41"/>
        <v>12000000</v>
      </c>
      <c r="C77" s="743">
        <f>B77*$B$59/$B$61*$B$62*$B$63/$B$64</f>
        <v>0.66020242517577565</v>
      </c>
      <c r="D77" s="674"/>
      <c r="E77" s="2">
        <f t="shared" ref="E77:X77" si="43">E47*$B$69*$C77*$B$65*(1+$B$70)^(E$73-$E$73+1)</f>
        <v>116374.63994297669</v>
      </c>
      <c r="F77" s="2">
        <f t="shared" si="43"/>
        <v>122421.19328474659</v>
      </c>
      <c r="G77" s="2">
        <f t="shared" si="43"/>
        <v>128781.9113563304</v>
      </c>
      <c r="H77" s="2">
        <f t="shared" si="43"/>
        <v>135473.1174202348</v>
      </c>
      <c r="I77" s="2">
        <f t="shared" si="43"/>
        <v>142511.98285740128</v>
      </c>
      <c r="J77" s="2">
        <f t="shared" si="43"/>
        <v>149916.57123345049</v>
      </c>
      <c r="K77" s="2">
        <f t="shared" si="43"/>
        <v>157705.88465450585</v>
      </c>
      <c r="L77" s="2">
        <f t="shared" si="43"/>
        <v>165899.91253155653</v>
      </c>
      <c r="M77" s="2">
        <f t="shared" si="43"/>
        <v>174519.68287850285</v>
      </c>
      <c r="N77" s="2">
        <f t="shared" si="43"/>
        <v>183587.31627552738</v>
      </c>
      <c r="O77" s="2">
        <f t="shared" si="43"/>
        <v>193126.08263627658</v>
      </c>
      <c r="P77" s="2">
        <f t="shared" si="43"/>
        <v>203160.46092453171</v>
      </c>
      <c r="Q77" s="2">
        <f t="shared" si="43"/>
        <v>213716.20197361827</v>
      </c>
      <c r="R77" s="2">
        <f t="shared" si="43"/>
        <v>224820.39456976432</v>
      </c>
      <c r="S77" s="2">
        <f t="shared" si="43"/>
        <v>236501.53496899508</v>
      </c>
      <c r="T77" s="2">
        <f t="shared" si="43"/>
        <v>248789.60002596286</v>
      </c>
      <c r="U77" s="2">
        <f t="shared" si="43"/>
        <v>261716.12412237862</v>
      </c>
      <c r="V77" s="2">
        <f t="shared" si="43"/>
        <v>275314.28009246499</v>
      </c>
      <c r="W77" s="2">
        <f t="shared" si="43"/>
        <v>289618.9643531061</v>
      </c>
      <c r="X77" s="2">
        <f t="shared" si="43"/>
        <v>304666.88645716</v>
      </c>
      <c r="Y77" s="352"/>
    </row>
    <row r="78" spans="1:25">
      <c r="A78" s="1" t="s">
        <v>966</v>
      </c>
      <c r="B78" s="674">
        <f t="shared" si="41"/>
        <v>12000000</v>
      </c>
      <c r="C78" s="743">
        <f>B78*$B$59/$B$61*$B$62*$B$63/$B$64</f>
        <v>0.66020242517577565</v>
      </c>
      <c r="D78" s="674"/>
      <c r="E78" s="2">
        <f t="shared" ref="E78:X78" si="44">E48*$B$69*$C78*$B$65*(1+$B$70)^(E$73-$E$73+1)</f>
        <v>42727.769223373827</v>
      </c>
      <c r="F78" s="2">
        <f t="shared" si="44"/>
        <v>44947.803896826379</v>
      </c>
      <c r="G78" s="2">
        <f t="shared" si="44"/>
        <v>47283.186364954716</v>
      </c>
      <c r="H78" s="2">
        <f t="shared" si="44"/>
        <v>49739.909828628915</v>
      </c>
      <c r="I78" s="2">
        <f t="shared" si="44"/>
        <v>52324.278881379592</v>
      </c>
      <c r="J78" s="2">
        <f t="shared" si="44"/>
        <v>55042.925688630159</v>
      </c>
      <c r="K78" s="2">
        <f t="shared" si="44"/>
        <v>57902.82700756409</v>
      </c>
      <c r="L78" s="2">
        <f t="shared" si="44"/>
        <v>60911.322091304581</v>
      </c>
      <c r="M78" s="2">
        <f t="shared" si="44"/>
        <v>64076.131523353251</v>
      </c>
      <c r="N78" s="2">
        <f t="shared" si="44"/>
        <v>67405.377030622403</v>
      </c>
      <c r="O78" s="2">
        <f t="shared" si="44"/>
        <v>70907.602325905667</v>
      </c>
      <c r="P78" s="2">
        <f t="shared" si="44"/>
        <v>74591.795033274582</v>
      </c>
      <c r="Q78" s="2">
        <f t="shared" si="44"/>
        <v>78467.409752667591</v>
      </c>
      <c r="R78" s="2">
        <f t="shared" si="44"/>
        <v>82544.392322860789</v>
      </c>
      <c r="S78" s="2">
        <f t="shared" si="44"/>
        <v>86833.205345085618</v>
      </c>
      <c r="T78" s="2">
        <f t="shared" si="44"/>
        <v>91344.855032794119</v>
      </c>
      <c r="U78" s="2">
        <f t="shared" si="44"/>
        <v>96090.919456475007</v>
      </c>
      <c r="V78" s="2">
        <f t="shared" si="44"/>
        <v>101083.57825600375</v>
      </c>
      <c r="W78" s="2">
        <f t="shared" si="44"/>
        <v>106335.64389677734</v>
      </c>
      <c r="X78" s="2">
        <f t="shared" si="44"/>
        <v>111860.59454984372</v>
      </c>
      <c r="Y78" s="352"/>
    </row>
    <row r="79" spans="1:25">
      <c r="A79" s="1" t="s">
        <v>909</v>
      </c>
      <c r="B79" s="674">
        <f t="shared" si="41"/>
        <v>12000000</v>
      </c>
      <c r="C79" s="743">
        <f>B79*$B$60/$B$61*$B$62*$B$63/$B$64</f>
        <v>1.7756651951258526</v>
      </c>
      <c r="D79" s="674"/>
      <c r="E79" s="2">
        <f t="shared" ref="E79:X79" si="45">E49*$B$69*$C79*$B$65*(1+$B$70)^(E$73-$E$73+1)</f>
        <v>68634.13021746467</v>
      </c>
      <c r="F79" s="2">
        <f t="shared" si="45"/>
        <v>72200.19864637006</v>
      </c>
      <c r="G79" s="2">
        <f t="shared" si="45"/>
        <v>75951.551626843982</v>
      </c>
      <c r="H79" s="2">
        <f t="shared" si="45"/>
        <v>79897.816109612162</v>
      </c>
      <c r="I79" s="2">
        <f t="shared" si="45"/>
        <v>84049.119239180742</v>
      </c>
      <c r="J79" s="2">
        <f t="shared" si="45"/>
        <v>88416.114342731715</v>
      </c>
      <c r="K79" s="2">
        <f t="shared" si="45"/>
        <v>93010.008269340789</v>
      </c>
      <c r="L79" s="2">
        <f t="shared" si="45"/>
        <v>97842.590149676587</v>
      </c>
      <c r="M79" s="2">
        <f t="shared" si="45"/>
        <v>102926.26164998663</v>
      </c>
      <c r="N79" s="2">
        <f t="shared" si="45"/>
        <v>108274.06879800931</v>
      </c>
      <c r="O79" s="2">
        <f t="shared" si="45"/>
        <v>113899.73546248557</v>
      </c>
      <c r="P79" s="2">
        <f t="shared" si="45"/>
        <v>119817.69857218768</v>
      </c>
      <c r="Q79" s="2">
        <f t="shared" si="45"/>
        <v>126043.14516484602</v>
      </c>
      <c r="R79" s="2">
        <f t="shared" si="45"/>
        <v>132592.0513610511</v>
      </c>
      <c r="S79" s="2">
        <f t="shared" si="45"/>
        <v>139481.22336314828</v>
      </c>
      <c r="T79" s="2">
        <f t="shared" si="45"/>
        <v>146728.34058433888</v>
      </c>
      <c r="U79" s="2">
        <f t="shared" si="45"/>
        <v>154352.00101866818</v>
      </c>
      <c r="V79" s="2">
        <f t="shared" si="45"/>
        <v>162371.7689683316</v>
      </c>
      <c r="W79" s="2">
        <f t="shared" si="45"/>
        <v>170808.22525077974</v>
      </c>
      <c r="X79" s="2">
        <f t="shared" si="45"/>
        <v>179683.02001446678</v>
      </c>
      <c r="Y79" s="352"/>
    </row>
    <row r="80" spans="1:25">
      <c r="A80" s="1" t="s">
        <v>908</v>
      </c>
      <c r="B80" s="674">
        <f t="shared" si="41"/>
        <v>12000000</v>
      </c>
      <c r="C80" s="743">
        <f>B80*$B$60/$B$61*$B$62*$B$63/$B$64</f>
        <v>1.7756651951258526</v>
      </c>
      <c r="D80" s="674"/>
      <c r="E80" s="2">
        <f t="shared" ref="E80:X80" si="46">E50*$B$69*$C80*$B$65*(1+$B$70)^(E$73-$E$73+1)</f>
        <v>31935.336279499366</v>
      </c>
      <c r="F80" s="2">
        <f t="shared" si="46"/>
        <v>33594.621450185798</v>
      </c>
      <c r="G80" s="2">
        <f t="shared" si="46"/>
        <v>35340.11918658825</v>
      </c>
      <c r="H80" s="2">
        <f t="shared" si="46"/>
        <v>37176.308891414992</v>
      </c>
      <c r="I80" s="2">
        <f t="shared" si="46"/>
        <v>39107.902706632827</v>
      </c>
      <c r="J80" s="2">
        <f t="shared" si="46"/>
        <v>41139.857606053134</v>
      </c>
      <c r="K80" s="2">
        <f t="shared" si="46"/>
        <v>43277.388116220201</v>
      </c>
      <c r="L80" s="2">
        <f t="shared" si="46"/>
        <v>45525.979698247254</v>
      </c>
      <c r="M80" s="2">
        <f t="shared" si="46"/>
        <v>47891.402824941106</v>
      </c>
      <c r="N80" s="2">
        <f t="shared" si="46"/>
        <v>50379.727789341327</v>
      </c>
      <c r="O80" s="2">
        <f t="shared" si="46"/>
        <v>52997.340282676385</v>
      </c>
      <c r="P80" s="2">
        <f t="shared" si="46"/>
        <v>55750.957781713587</v>
      </c>
      <c r="Q80" s="2">
        <f t="shared" si="46"/>
        <v>58647.646787557758</v>
      </c>
      <c r="R80" s="2">
        <f t="shared" si="46"/>
        <v>61694.840960137051</v>
      </c>
      <c r="S80" s="2">
        <f t="shared" si="46"/>
        <v>64900.360194914225</v>
      </c>
      <c r="T80" s="2">
        <f t="shared" si="46"/>
        <v>68272.430690779278</v>
      </c>
      <c r="U80" s="2">
        <f t="shared" si="46"/>
        <v>71819.706060622455</v>
      </c>
      <c r="V80" s="2">
        <f t="shared" si="46"/>
        <v>75551.289538763187</v>
      </c>
      <c r="W80" s="2">
        <f t="shared" si="46"/>
        <v>79476.757342225188</v>
      </c>
      <c r="X80" s="2">
        <f t="shared" si="46"/>
        <v>83606.183245808163</v>
      </c>
      <c r="Y80" s="352"/>
    </row>
    <row r="81" spans="1:25">
      <c r="A81" s="1" t="s">
        <v>907</v>
      </c>
      <c r="B81" s="674">
        <f t="shared" si="41"/>
        <v>12000000</v>
      </c>
      <c r="C81" s="743">
        <f>B81*$B$60/$B$61*$B$62*$B$63/$B$64</f>
        <v>1.7756651951258526</v>
      </c>
      <c r="D81" s="674"/>
      <c r="E81" s="2">
        <f t="shared" ref="E81:X81" si="47">E51*$B$69*$C81*$B$65*(1+$B$70)^(E$73-$E$73+1)</f>
        <v>5546.3672565149491</v>
      </c>
      <c r="F81" s="2">
        <f t="shared" si="47"/>
        <v>5834.543490495108</v>
      </c>
      <c r="G81" s="2">
        <f t="shared" si="47"/>
        <v>6137.6926856929767</v>
      </c>
      <c r="H81" s="2">
        <f t="shared" si="47"/>
        <v>6456.5928020552574</v>
      </c>
      <c r="I81" s="2">
        <f t="shared" si="47"/>
        <v>6792.0622205028212</v>
      </c>
      <c r="J81" s="2">
        <f t="shared" si="47"/>
        <v>7144.9618431097251</v>
      </c>
      <c r="K81" s="2">
        <f t="shared" si="47"/>
        <v>7516.1973024025983</v>
      </c>
      <c r="L81" s="2">
        <f t="shared" si="47"/>
        <v>7906.7212854500522</v>
      </c>
      <c r="M81" s="2">
        <f t="shared" si="47"/>
        <v>8317.5359787063098</v>
      </c>
      <c r="N81" s="2">
        <f t="shared" si="47"/>
        <v>8749.6956398831899</v>
      </c>
      <c r="O81" s="2">
        <f t="shared" si="47"/>
        <v>9204.3093034505237</v>
      </c>
      <c r="P81" s="2">
        <f t="shared" si="47"/>
        <v>9682.543626708004</v>
      </c>
      <c r="Q81" s="2">
        <f t="shared" si="47"/>
        <v>10185.625883732318</v>
      </c>
      <c r="R81" s="2">
        <f t="shared" si="47"/>
        <v>10714.847114882661</v>
      </c>
      <c r="S81" s="2">
        <f t="shared" si="47"/>
        <v>11271.565439947244</v>
      </c>
      <c r="T81" s="2">
        <f t="shared" si="47"/>
        <v>11857.209543433079</v>
      </c>
      <c r="U81" s="2">
        <f t="shared" si="47"/>
        <v>12473.282340943277</v>
      </c>
      <c r="V81" s="2">
        <f t="shared" si="47"/>
        <v>13121.364836050685</v>
      </c>
      <c r="W81" s="2">
        <f t="shared" si="47"/>
        <v>13803.120177565645</v>
      </c>
      <c r="X81" s="2">
        <f t="shared" si="47"/>
        <v>14520.297927609881</v>
      </c>
      <c r="Y81" s="352"/>
    </row>
    <row r="82" spans="1:25">
      <c r="A82" s="1" t="s">
        <v>965</v>
      </c>
      <c r="B82" s="674">
        <f>15000000</f>
        <v>15000000</v>
      </c>
      <c r="C82" s="743">
        <f>B82*$B$59/$B$61*$B$62*$B$63/$B$64</f>
        <v>0.8252530314697194</v>
      </c>
      <c r="D82" s="674"/>
      <c r="E82" s="600">
        <f t="shared" ref="E82:X82" si="48">E52*$B$69*$C82*$B$65*(1+$B$70)^(E$73-$E$73+1)</f>
        <v>683.16874164940566</v>
      </c>
      <c r="F82" s="600">
        <f t="shared" si="48"/>
        <v>718.6645871346168</v>
      </c>
      <c r="G82" s="600">
        <f t="shared" si="48"/>
        <v>756.0047134978845</v>
      </c>
      <c r="H82" s="600">
        <f t="shared" si="48"/>
        <v>795.2849452479835</v>
      </c>
      <c r="I82" s="600">
        <f t="shared" si="48"/>
        <v>836.60608571041405</v>
      </c>
      <c r="J82" s="600">
        <f t="shared" si="48"/>
        <v>880.07417571504095</v>
      </c>
      <c r="K82" s="600">
        <f t="shared" si="48"/>
        <v>925.80076572453697</v>
      </c>
      <c r="L82" s="600">
        <f t="shared" si="48"/>
        <v>973.9032021019799</v>
      </c>
      <c r="M82" s="600">
        <f t="shared" si="48"/>
        <v>1024.5049282522446</v>
      </c>
      <c r="N82" s="600">
        <f t="shared" si="48"/>
        <v>1077.7358014099941</v>
      </c>
      <c r="O82" s="600">
        <f t="shared" si="48"/>
        <v>1133.7324258872329</v>
      </c>
      <c r="P82" s="600">
        <f t="shared" si="48"/>
        <v>1192.6385036356185</v>
      </c>
      <c r="Q82" s="600">
        <f t="shared" si="48"/>
        <v>1254.605203023174</v>
      </c>
      <c r="R82" s="600">
        <f t="shared" si="48"/>
        <v>1319.7915467717678</v>
      </c>
      <c r="S82" s="600">
        <f t="shared" si="48"/>
        <v>1388.364820050919</v>
      </c>
      <c r="T82" s="600">
        <f t="shared" si="48"/>
        <v>1460.5009997751968</v>
      </c>
      <c r="U82" s="600">
        <f t="shared" si="48"/>
        <v>1536.3852062069093</v>
      </c>
      <c r="V82" s="600">
        <f t="shared" si="48"/>
        <v>1616.212178023005</v>
      </c>
      <c r="W82" s="600">
        <f t="shared" si="48"/>
        <v>1700.186772065339</v>
      </c>
      <c r="X82" s="600">
        <f t="shared" si="48"/>
        <v>1788.5244890567906</v>
      </c>
      <c r="Y82" s="352"/>
    </row>
    <row r="83" spans="1:25" s="173" customFormat="1">
      <c r="A83" s="173" t="s">
        <v>133</v>
      </c>
      <c r="B83" s="746"/>
      <c r="C83" s="747"/>
      <c r="D83" s="746"/>
      <c r="E83" s="275">
        <f t="shared" ref="E83:X83" si="49">SUM(E74:E82)</f>
        <v>2290390.6740573873</v>
      </c>
      <c r="F83" s="275">
        <f t="shared" si="49"/>
        <v>2409394.0015088515</v>
      </c>
      <c r="G83" s="275">
        <f t="shared" si="49"/>
        <v>2534580.4627396008</v>
      </c>
      <c r="H83" s="275">
        <f t="shared" si="49"/>
        <v>2666271.318878639</v>
      </c>
      <c r="I83" s="275">
        <f t="shared" si="49"/>
        <v>2804804.5230297372</v>
      </c>
      <c r="J83" s="275">
        <f t="shared" si="49"/>
        <v>2950535.5875472901</v>
      </c>
      <c r="K83" s="275">
        <f t="shared" si="49"/>
        <v>3103838.4963737922</v>
      </c>
      <c r="L83" s="275">
        <f t="shared" si="49"/>
        <v>3265106.6647802358</v>
      </c>
      <c r="M83" s="275">
        <f t="shared" si="49"/>
        <v>3434753.9489723593</v>
      </c>
      <c r="N83" s="275">
        <f t="shared" si="49"/>
        <v>3613215.7081536786</v>
      </c>
      <c r="O83" s="275">
        <f t="shared" si="49"/>
        <v>3800949.9217708167</v>
      </c>
      <c r="P83" s="275">
        <f t="shared" si="49"/>
        <v>3998438.3648082777</v>
      </c>
      <c r="Q83" s="275">
        <f t="shared" si="49"/>
        <v>4206187.8441487867</v>
      </c>
      <c r="R83" s="275">
        <f t="shared" si="49"/>
        <v>4424731.4991720114</v>
      </c>
      <c r="S83" s="275">
        <f t="shared" si="49"/>
        <v>4654630.1699293414</v>
      </c>
      <c r="T83" s="275">
        <f t="shared" si="49"/>
        <v>4896473.8364058184</v>
      </c>
      <c r="U83" s="275">
        <f t="shared" si="49"/>
        <v>5150883.1325627482</v>
      </c>
      <c r="V83" s="275">
        <f t="shared" si="49"/>
        <v>5418510.9390463987</v>
      </c>
      <c r="W83" s="275">
        <f t="shared" si="49"/>
        <v>5700044.0586501369</v>
      </c>
      <c r="X83" s="275">
        <f t="shared" si="49"/>
        <v>5996204.9788296111</v>
      </c>
      <c r="Y83" s="751"/>
    </row>
    <row r="84" spans="1:25">
      <c r="B84" s="674"/>
      <c r="C84" s="743"/>
      <c r="D84" s="674"/>
      <c r="E84" s="2"/>
      <c r="F84" s="2"/>
      <c r="G84" s="2"/>
      <c r="H84" s="2"/>
      <c r="I84" s="2"/>
      <c r="J84" s="2"/>
      <c r="K84" s="2"/>
      <c r="L84" s="2"/>
      <c r="M84" s="2"/>
      <c r="N84" s="2"/>
      <c r="O84" s="2"/>
      <c r="P84" s="2"/>
      <c r="Q84" s="2"/>
      <c r="R84" s="2"/>
      <c r="S84" s="2"/>
      <c r="T84" s="2"/>
      <c r="U84" s="2"/>
      <c r="V84" s="2"/>
      <c r="W84" s="2"/>
      <c r="X84" s="2"/>
      <c r="Y84" s="2"/>
    </row>
    <row r="85" spans="1:25">
      <c r="A85" s="3" t="s">
        <v>964</v>
      </c>
      <c r="B85" s="674"/>
      <c r="C85" s="743"/>
      <c r="D85" s="674"/>
      <c r="E85" s="2"/>
      <c r="F85" s="2"/>
      <c r="G85" s="2"/>
      <c r="H85" s="2"/>
      <c r="I85" s="2"/>
      <c r="J85" s="2"/>
      <c r="K85" s="2"/>
      <c r="L85" s="2"/>
      <c r="M85" s="2"/>
      <c r="N85" s="2"/>
      <c r="O85" s="2"/>
      <c r="P85" s="2"/>
      <c r="Q85" s="2"/>
      <c r="R85" s="2"/>
      <c r="S85" s="2"/>
      <c r="T85" s="2"/>
      <c r="U85" s="2"/>
      <c r="V85" s="2"/>
      <c r="W85" s="2"/>
      <c r="X85" s="2"/>
      <c r="Y85" s="2"/>
    </row>
    <row r="86" spans="1:25" ht="29">
      <c r="A86" s="185" t="s">
        <v>963</v>
      </c>
      <c r="B86" s="750">
        <f>62%/38%</f>
        <v>1.631578947368421</v>
      </c>
      <c r="C86" s="881" t="s">
        <v>1245</v>
      </c>
      <c r="D86" s="674"/>
      <c r="E86" s="2"/>
      <c r="F86" s="2"/>
      <c r="G86" s="2"/>
      <c r="H86" s="2"/>
      <c r="I86" s="2"/>
      <c r="J86" s="2"/>
      <c r="K86" s="2"/>
      <c r="L86" s="2"/>
      <c r="M86" s="2"/>
      <c r="N86" s="2"/>
      <c r="O86" s="2"/>
      <c r="P86" s="2"/>
      <c r="Q86" s="2"/>
      <c r="R86" s="2"/>
      <c r="S86" s="2"/>
      <c r="T86" s="2"/>
      <c r="U86" s="2"/>
      <c r="V86" s="2"/>
      <c r="W86" s="2"/>
      <c r="X86" s="2"/>
      <c r="Y86" s="2"/>
    </row>
    <row r="87" spans="1:25" ht="43.5">
      <c r="A87" s="185" t="s">
        <v>962</v>
      </c>
      <c r="B87" s="750">
        <f>AVERAGE(C76:C78)</f>
        <v>0.66020242517577565</v>
      </c>
      <c r="C87" s="881" t="s">
        <v>1246</v>
      </c>
      <c r="D87" s="674"/>
      <c r="E87" s="2"/>
      <c r="F87" s="2"/>
      <c r="G87" s="2"/>
      <c r="H87" s="2"/>
      <c r="I87" s="2"/>
      <c r="J87" s="2"/>
      <c r="K87" s="2"/>
      <c r="L87" s="2"/>
      <c r="M87" s="2"/>
      <c r="N87" s="2"/>
      <c r="O87" s="2"/>
      <c r="P87" s="2"/>
      <c r="Q87" s="2"/>
      <c r="R87" s="2"/>
      <c r="S87" s="2"/>
      <c r="T87" s="2"/>
      <c r="U87" s="2"/>
      <c r="V87" s="2"/>
      <c r="W87" s="2"/>
      <c r="X87" s="2"/>
      <c r="Y87" s="2"/>
    </row>
    <row r="88" spans="1:25" ht="29">
      <c r="A88" s="185" t="s">
        <v>961</v>
      </c>
      <c r="B88" s="750">
        <f>B65/3</f>
        <v>0.16666666666666666</v>
      </c>
      <c r="C88" s="881" t="s">
        <v>1249</v>
      </c>
      <c r="D88" s="674"/>
      <c r="E88" s="2"/>
      <c r="F88" s="2"/>
      <c r="G88" s="2"/>
      <c r="H88" s="2"/>
      <c r="I88" s="2"/>
      <c r="J88" s="2"/>
      <c r="K88" s="2"/>
      <c r="L88" s="2"/>
      <c r="M88" s="2"/>
      <c r="N88" s="2"/>
      <c r="O88" s="2"/>
      <c r="P88" s="2"/>
      <c r="Q88" s="2"/>
      <c r="R88" s="2"/>
      <c r="S88" s="2"/>
      <c r="T88" s="2"/>
      <c r="U88" s="2"/>
      <c r="V88" s="2"/>
      <c r="W88" s="2"/>
      <c r="X88" s="2"/>
      <c r="Y88" s="2"/>
    </row>
    <row r="89" spans="1:25">
      <c r="B89" s="674"/>
      <c r="C89" s="743"/>
      <c r="D89" s="674"/>
      <c r="E89" s="718">
        <v>2012</v>
      </c>
      <c r="F89" s="718">
        <v>2013</v>
      </c>
      <c r="G89" s="718">
        <v>2014</v>
      </c>
      <c r="H89" s="718">
        <v>2015</v>
      </c>
      <c r="I89" s="718">
        <v>2016</v>
      </c>
      <c r="J89" s="718">
        <v>2017</v>
      </c>
      <c r="K89" s="718">
        <v>2018</v>
      </c>
      <c r="L89" s="718">
        <v>2019</v>
      </c>
      <c r="M89" s="718">
        <v>2020</v>
      </c>
      <c r="N89" s="718">
        <v>2021</v>
      </c>
      <c r="O89" s="718">
        <v>2022</v>
      </c>
      <c r="P89" s="718">
        <v>2023</v>
      </c>
      <c r="Q89" s="718">
        <v>2024</v>
      </c>
      <c r="R89" s="718">
        <v>2025</v>
      </c>
      <c r="S89" s="718">
        <v>2026</v>
      </c>
      <c r="T89" s="718">
        <v>2027</v>
      </c>
      <c r="U89" s="718">
        <v>2028</v>
      </c>
      <c r="V89" s="718">
        <v>2029</v>
      </c>
      <c r="W89" s="718">
        <v>2030</v>
      </c>
      <c r="X89" s="718">
        <v>2031</v>
      </c>
      <c r="Y89" s="718"/>
    </row>
    <row r="90" spans="1:25">
      <c r="A90" s="1" t="s">
        <v>960</v>
      </c>
      <c r="B90" s="674"/>
      <c r="C90" s="743"/>
      <c r="D90" s="674"/>
      <c r="E90" s="2">
        <f t="shared" ref="E90:X90" si="50">$B$86*E53</f>
        <v>132672528.46537879</v>
      </c>
      <c r="F90" s="2">
        <f t="shared" si="50"/>
        <v>135856669.14854783</v>
      </c>
      <c r="G90" s="2">
        <f t="shared" si="50"/>
        <v>139117229.20811304</v>
      </c>
      <c r="H90" s="2">
        <f t="shared" si="50"/>
        <v>142456042.70910776</v>
      </c>
      <c r="I90" s="2">
        <f t="shared" si="50"/>
        <v>145874987.7341263</v>
      </c>
      <c r="J90" s="2">
        <f t="shared" si="50"/>
        <v>149375987.43974537</v>
      </c>
      <c r="K90" s="2">
        <f t="shared" si="50"/>
        <v>152961011.13829926</v>
      </c>
      <c r="L90" s="2">
        <f t="shared" si="50"/>
        <v>156632075.40561846</v>
      </c>
      <c r="M90" s="2">
        <f t="shared" si="50"/>
        <v>160391245.21535328</v>
      </c>
      <c r="N90" s="2">
        <f t="shared" si="50"/>
        <v>164240635.10052177</v>
      </c>
      <c r="O90" s="2">
        <f t="shared" si="50"/>
        <v>168182410.34293431</v>
      </c>
      <c r="P90" s="2">
        <f t="shared" si="50"/>
        <v>172218788.19116473</v>
      </c>
      <c r="Q90" s="2">
        <f t="shared" si="50"/>
        <v>176352039.10775268</v>
      </c>
      <c r="R90" s="2">
        <f t="shared" si="50"/>
        <v>180584488.04633877</v>
      </c>
      <c r="S90" s="2">
        <f t="shared" si="50"/>
        <v>184918515.75945091</v>
      </c>
      <c r="T90" s="2">
        <f t="shared" si="50"/>
        <v>189356560.1376777</v>
      </c>
      <c r="U90" s="2">
        <f t="shared" si="50"/>
        <v>193901117.58098191</v>
      </c>
      <c r="V90" s="2">
        <f t="shared" si="50"/>
        <v>198554744.40292555</v>
      </c>
      <c r="W90" s="2">
        <f t="shared" si="50"/>
        <v>203320058.26859573</v>
      </c>
      <c r="X90" s="2">
        <f t="shared" si="50"/>
        <v>208199739.66704202</v>
      </c>
      <c r="Y90" s="2"/>
    </row>
    <row r="91" spans="1:25" ht="43.5">
      <c r="A91" s="185" t="s">
        <v>959</v>
      </c>
      <c r="B91" s="674"/>
      <c r="C91" s="743"/>
      <c r="D91" s="674"/>
      <c r="E91" s="749">
        <f t="shared" ref="E91:X91" si="51">$B$66*(1-$B$67)*$B$87*$B$88*(1+$B$70)^(E$89-$E$89+1)</f>
        <v>6.0866573555962604E-3</v>
      </c>
      <c r="F91" s="749">
        <f t="shared" si="51"/>
        <v>6.2528376913154196E-3</v>
      </c>
      <c r="G91" s="749">
        <f t="shared" si="51"/>
        <v>6.423555148539266E-3</v>
      </c>
      <c r="H91" s="749">
        <f t="shared" si="51"/>
        <v>6.5989336015605006E-3</v>
      </c>
      <c r="I91" s="749">
        <f t="shared" si="51"/>
        <v>6.7791003067369472E-3</v>
      </c>
      <c r="J91" s="749">
        <f t="shared" si="51"/>
        <v>6.9641859948300381E-3</v>
      </c>
      <c r="K91" s="749">
        <f t="shared" si="51"/>
        <v>7.1543249658643547E-3</v>
      </c>
      <c r="L91" s="749">
        <f t="shared" si="51"/>
        <v>7.3496551865770724E-3</v>
      </c>
      <c r="M91" s="749">
        <f t="shared" si="51"/>
        <v>7.5503183905280017E-3</v>
      </c>
      <c r="N91" s="749">
        <f t="shared" si="51"/>
        <v>7.7564601809428776E-3</v>
      </c>
      <c r="O91" s="749">
        <f t="shared" si="51"/>
        <v>7.9682301363645132E-3</v>
      </c>
      <c r="P91" s="749">
        <f t="shared" si="51"/>
        <v>8.1857819191884784E-3</v>
      </c>
      <c r="Q91" s="749">
        <f t="shared" si="51"/>
        <v>8.4092733871620872E-3</v>
      </c>
      <c r="R91" s="749">
        <f t="shared" si="51"/>
        <v>8.6388667079275363E-3</v>
      </c>
      <c r="S91" s="749">
        <f t="shared" si="51"/>
        <v>8.8747284766923784E-3</v>
      </c>
      <c r="T91" s="749">
        <f t="shared" si="51"/>
        <v>9.1170298371126661E-3</v>
      </c>
      <c r="U91" s="749">
        <f t="shared" si="51"/>
        <v>9.3659466054765005E-3</v>
      </c>
      <c r="V91" s="749">
        <f t="shared" si="51"/>
        <v>9.6216593982780801E-3</v>
      </c>
      <c r="W91" s="749">
        <f t="shared" si="51"/>
        <v>9.8843537632748481E-3</v>
      </c>
      <c r="X91" s="749">
        <f t="shared" si="51"/>
        <v>1.015422031412278E-2</v>
      </c>
      <c r="Y91" s="749"/>
    </row>
    <row r="92" spans="1:25" s="173" customFormat="1" ht="29">
      <c r="A92" s="748" t="s">
        <v>958</v>
      </c>
      <c r="B92" s="746"/>
      <c r="C92" s="747"/>
      <c r="D92" s="746"/>
      <c r="E92" s="745">
        <f t="shared" ref="E92:X92" si="52">E90*E91</f>
        <v>807532.22126935201</v>
      </c>
      <c r="F92" s="745">
        <f t="shared" si="52"/>
        <v>849489.70146860857</v>
      </c>
      <c r="G92" s="745">
        <f t="shared" si="52"/>
        <v>893627.19393029169</v>
      </c>
      <c r="H92" s="745">
        <f t="shared" si="52"/>
        <v>940057.96697846893</v>
      </c>
      <c r="I92" s="745">
        <f t="shared" si="52"/>
        <v>988901.17409366404</v>
      </c>
      <c r="J92" s="745">
        <f t="shared" si="52"/>
        <v>1040282.1596917823</v>
      </c>
      <c r="K92" s="745">
        <f t="shared" si="52"/>
        <v>1094332.78079059</v>
      </c>
      <c r="L92" s="745">
        <f t="shared" si="52"/>
        <v>1151191.7453892347</v>
      </c>
      <c r="M92" s="745">
        <f t="shared" si="52"/>
        <v>1211004.9684291682</v>
      </c>
      <c r="N92" s="745">
        <f t="shared" si="52"/>
        <v>1273925.9462499663</v>
      </c>
      <c r="O92" s="745">
        <f t="shared" si="52"/>
        <v>1340116.1505009921</v>
      </c>
      <c r="P92" s="745">
        <f t="shared" si="52"/>
        <v>1409745.4425197865</v>
      </c>
      <c r="Q92" s="745">
        <f t="shared" si="52"/>
        <v>1482992.5092405924</v>
      </c>
      <c r="R92" s="745">
        <f t="shared" si="52"/>
        <v>1560045.3217516541</v>
      </c>
      <c r="S92" s="745">
        <f t="shared" si="52"/>
        <v>1641101.6176780874</v>
      </c>
      <c r="T92" s="745">
        <f t="shared" si="52"/>
        <v>1726369.4086282265</v>
      </c>
      <c r="U92" s="745">
        <f t="shared" si="52"/>
        <v>1816067.5140056973</v>
      </c>
      <c r="V92" s="745">
        <f t="shared" si="52"/>
        <v>1910426.1225571106</v>
      </c>
      <c r="W92" s="745">
        <f t="shared" si="52"/>
        <v>2009687.3830964556</v>
      </c>
      <c r="X92" s="745">
        <f t="shared" si="52"/>
        <v>2114106.0259221522</v>
      </c>
      <c r="Y92" s="745"/>
    </row>
    <row r="93" spans="1:25">
      <c r="A93" s="185"/>
      <c r="B93" s="674"/>
      <c r="C93" s="743"/>
      <c r="D93" s="674"/>
      <c r="E93" s="744"/>
      <c r="F93" s="744">
        <f t="shared" ref="F93:K93" si="53">F90-F90*K27</f>
        <v>135856669.14854783</v>
      </c>
      <c r="G93" s="744">
        <f t="shared" si="53"/>
        <v>132161367.7477074</v>
      </c>
      <c r="H93" s="744">
        <f t="shared" si="53"/>
        <v>106842032.03183082</v>
      </c>
      <c r="I93" s="744">
        <f t="shared" si="53"/>
        <v>58349995.09365052</v>
      </c>
      <c r="J93" s="744">
        <f t="shared" si="53"/>
        <v>7468799.3719872832</v>
      </c>
      <c r="K93" s="744">
        <f t="shared" si="53"/>
        <v>0</v>
      </c>
      <c r="L93" s="744"/>
      <c r="M93" s="744"/>
      <c r="N93" s="744"/>
      <c r="O93" s="744"/>
      <c r="P93" s="744"/>
      <c r="Q93" s="744"/>
      <c r="R93" s="744"/>
      <c r="S93" s="744"/>
      <c r="T93" s="744"/>
      <c r="U93" s="744"/>
      <c r="V93" s="744"/>
      <c r="W93" s="744"/>
      <c r="X93" s="744"/>
      <c r="Y93" s="744"/>
    </row>
    <row r="94" spans="1:25">
      <c r="A94" s="185"/>
      <c r="B94" s="674"/>
      <c r="C94" s="743"/>
      <c r="D94" s="674"/>
      <c r="E94" s="742"/>
      <c r="F94" s="2"/>
      <c r="G94" s="2"/>
      <c r="H94" s="2"/>
      <c r="I94" s="2"/>
      <c r="J94" s="2"/>
      <c r="K94" s="2"/>
      <c r="L94" s="2"/>
      <c r="M94" s="2"/>
      <c r="N94" s="2"/>
      <c r="O94" s="2"/>
      <c r="P94" s="2"/>
      <c r="Q94" s="2"/>
      <c r="R94" s="2"/>
      <c r="S94" s="2"/>
      <c r="T94" s="2"/>
      <c r="U94" s="2"/>
      <c r="V94" s="2"/>
      <c r="W94" s="2"/>
      <c r="X94" s="2"/>
      <c r="Y94" s="2"/>
    </row>
    <row r="95" spans="1:25">
      <c r="C95" s="6"/>
      <c r="D95" s="1" t="s">
        <v>957</v>
      </c>
      <c r="E95" s="1" t="s">
        <v>1248</v>
      </c>
    </row>
    <row r="96" spans="1:25">
      <c r="B96" s="9" t="s">
        <v>956</v>
      </c>
      <c r="C96" s="6"/>
      <c r="D96" s="1" t="s">
        <v>909</v>
      </c>
      <c r="E96" s="1" t="s">
        <v>955</v>
      </c>
      <c r="F96" s="1" t="s">
        <v>954</v>
      </c>
    </row>
    <row r="97" spans="1:25">
      <c r="A97" s="1" t="s">
        <v>953</v>
      </c>
      <c r="B97" s="740">
        <v>880</v>
      </c>
      <c r="C97" s="882" t="s">
        <v>1650</v>
      </c>
      <c r="D97" s="6">
        <f>0.487*$B$97+0.303*$B$98+0.118*$B$99</f>
        <v>581.82999999999993</v>
      </c>
      <c r="E97" s="6">
        <f>0.258*$B$97+0.218*$B$98+0.375*$B$99</f>
        <v>341.66500000000002</v>
      </c>
      <c r="F97" s="6">
        <f>0.178*$B$97+0.261*$B$98+0.07*$B$99</f>
        <v>288.19</v>
      </c>
    </row>
    <row r="98" spans="1:25">
      <c r="A98" s="1" t="s">
        <v>952</v>
      </c>
      <c r="B98" s="740">
        <v>500</v>
      </c>
      <c r="C98" s="882" t="s">
        <v>1650</v>
      </c>
      <c r="D98" s="1114"/>
      <c r="E98" s="6"/>
      <c r="F98" s="6"/>
    </row>
    <row r="99" spans="1:25">
      <c r="A99" s="1" t="s">
        <v>951</v>
      </c>
      <c r="B99" s="740">
        <v>15</v>
      </c>
      <c r="C99" s="882" t="s">
        <v>1650</v>
      </c>
      <c r="D99" s="6"/>
      <c r="E99" s="6"/>
      <c r="F99" s="6"/>
    </row>
    <row r="100" spans="1:25">
      <c r="A100" s="1" t="s">
        <v>70</v>
      </c>
      <c r="C100" s="6"/>
      <c r="D100" s="6"/>
      <c r="E100" s="6"/>
      <c r="F100" s="6"/>
    </row>
    <row r="101" spans="1:25">
      <c r="A101" s="1" t="s">
        <v>950</v>
      </c>
      <c r="B101" s="740">
        <v>4</v>
      </c>
      <c r="C101" s="6" t="s">
        <v>948</v>
      </c>
      <c r="D101" s="1" t="s">
        <v>1247</v>
      </c>
      <c r="E101" s="6"/>
      <c r="F101" s="6"/>
    </row>
    <row r="102" spans="1:25" ht="29">
      <c r="A102" s="185" t="s">
        <v>949</v>
      </c>
      <c r="B102" s="741">
        <v>0.25</v>
      </c>
      <c r="C102" s="6" t="s">
        <v>948</v>
      </c>
      <c r="E102" s="6"/>
      <c r="F102" s="6"/>
    </row>
    <row r="103" spans="1:25">
      <c r="A103" s="1" t="s">
        <v>947</v>
      </c>
      <c r="B103" s="740">
        <v>30</v>
      </c>
      <c r="C103" s="6"/>
    </row>
    <row r="104" spans="1:25">
      <c r="B104" s="6"/>
      <c r="C104" s="6"/>
    </row>
    <row r="105" spans="1:25">
      <c r="A105" s="6"/>
      <c r="B105" s="6">
        <v>2009</v>
      </c>
      <c r="C105" s="6">
        <v>2010</v>
      </c>
      <c r="D105" s="6">
        <v>2011</v>
      </c>
      <c r="E105" s="6">
        <v>2012</v>
      </c>
      <c r="F105" s="6">
        <v>2013</v>
      </c>
      <c r="G105" s="6">
        <v>2014</v>
      </c>
      <c r="H105" s="6">
        <v>2015</v>
      </c>
      <c r="I105" s="6">
        <v>2016</v>
      </c>
      <c r="J105" s="6">
        <v>2017</v>
      </c>
      <c r="K105" s="6">
        <v>2018</v>
      </c>
      <c r="L105" s="6">
        <v>2019</v>
      </c>
      <c r="M105" s="6">
        <v>2020</v>
      </c>
      <c r="N105" s="6">
        <v>2021</v>
      </c>
      <c r="O105" s="6">
        <v>2022</v>
      </c>
      <c r="P105" s="6">
        <v>2023</v>
      </c>
      <c r="Q105" s="6">
        <v>2024</v>
      </c>
      <c r="R105" s="6">
        <v>2025</v>
      </c>
      <c r="S105" s="6">
        <v>2026</v>
      </c>
      <c r="T105" s="6">
        <v>2027</v>
      </c>
      <c r="U105" s="6">
        <v>2028</v>
      </c>
      <c r="V105" s="6">
        <v>2029</v>
      </c>
      <c r="W105" s="6">
        <v>2030</v>
      </c>
      <c r="X105" s="6">
        <v>2031</v>
      </c>
      <c r="Y105" s="6"/>
    </row>
    <row r="106" spans="1:25">
      <c r="A106" s="1" t="s">
        <v>946</v>
      </c>
      <c r="B106" s="72">
        <f>1+Assumptions!$T$48</f>
        <v>1.0630947310212955</v>
      </c>
      <c r="C106" s="72">
        <f>1+Assumptions!$T$49</f>
        <v>1.0549999999999999</v>
      </c>
      <c r="D106" s="1">
        <f>1+Assumptions!$T$50</f>
        <v>1.06</v>
      </c>
      <c r="E106" s="72">
        <f>1+Assumptions!$T$51</f>
        <v>1.0620000000000001</v>
      </c>
      <c r="F106" s="72">
        <f>1+Assumptions!$T$52</f>
        <v>1.0537432524259438</v>
      </c>
      <c r="G106" s="72">
        <f>1+Assumptions!$T$52</f>
        <v>1.0537432524259438</v>
      </c>
      <c r="H106" s="72">
        <f>1+Assumptions!$T$52</f>
        <v>1.0537432524259438</v>
      </c>
      <c r="I106" s="72">
        <f>1+Assumptions!$T$52</f>
        <v>1.0537432524259438</v>
      </c>
      <c r="J106" s="72">
        <f>1+Assumptions!$T$52</f>
        <v>1.0537432524259438</v>
      </c>
      <c r="K106" s="72">
        <f>1+Assumptions!$T$52</f>
        <v>1.0537432524259438</v>
      </c>
      <c r="L106" s="72">
        <f>1+Assumptions!$T$52</f>
        <v>1.0537432524259438</v>
      </c>
      <c r="M106" s="72">
        <f>1+Assumptions!$T$52</f>
        <v>1.0537432524259438</v>
      </c>
      <c r="N106" s="72">
        <f>1+Assumptions!$T$52</f>
        <v>1.0537432524259438</v>
      </c>
      <c r="O106" s="72">
        <f>1+Assumptions!$T$52</f>
        <v>1.0537432524259438</v>
      </c>
      <c r="P106" s="72">
        <f>1+Assumptions!$T$52</f>
        <v>1.0537432524259438</v>
      </c>
      <c r="Q106" s="72">
        <f>1+Assumptions!$T$52</f>
        <v>1.0537432524259438</v>
      </c>
      <c r="R106" s="72">
        <f>1+Assumptions!$T$52</f>
        <v>1.0537432524259438</v>
      </c>
      <c r="S106" s="72">
        <f>1+Assumptions!$T$52</f>
        <v>1.0537432524259438</v>
      </c>
      <c r="T106" s="72">
        <f>1+Assumptions!$T$52</f>
        <v>1.0537432524259438</v>
      </c>
      <c r="U106" s="72">
        <f>1+Assumptions!$T$52</f>
        <v>1.0537432524259438</v>
      </c>
      <c r="V106" s="72">
        <f>1+Assumptions!$T$52</f>
        <v>1.0537432524259438</v>
      </c>
      <c r="W106" s="72">
        <f>1+Assumptions!$T$52</f>
        <v>1.0537432524259438</v>
      </c>
      <c r="X106" s="72">
        <f>1+Assumptions!$T$52</f>
        <v>1.0537432524259438</v>
      </c>
      <c r="Y106" s="6"/>
    </row>
    <row r="107" spans="1:25">
      <c r="D107" s="1" t="s">
        <v>76</v>
      </c>
    </row>
    <row r="108" spans="1:25" ht="29">
      <c r="A108" s="723" t="s">
        <v>945</v>
      </c>
      <c r="B108" s="722">
        <v>0.06</v>
      </c>
      <c r="C108" s="1" t="s">
        <v>944</v>
      </c>
      <c r="D108" s="1" t="s">
        <v>1250</v>
      </c>
    </row>
    <row r="109" spans="1:25">
      <c r="A109" s="736" t="s">
        <v>943</v>
      </c>
      <c r="B109" s="739">
        <v>0.3</v>
      </c>
      <c r="C109" s="738" t="s">
        <v>540</v>
      </c>
    </row>
    <row r="110" spans="1:25">
      <c r="A110" s="723" t="s">
        <v>942</v>
      </c>
      <c r="B110" s="735">
        <f>B108*(1+B109)</f>
        <v>7.8E-2</v>
      </c>
      <c r="C110" s="723"/>
    </row>
    <row r="111" spans="1:25">
      <c r="A111" s="736" t="s">
        <v>941</v>
      </c>
      <c r="B111" s="737">
        <v>0.3</v>
      </c>
      <c r="C111" s="723" t="s">
        <v>224</v>
      </c>
      <c r="D111" s="1" t="s">
        <v>1251</v>
      </c>
    </row>
    <row r="112" spans="1:25">
      <c r="A112" s="736" t="s">
        <v>940</v>
      </c>
      <c r="B112" s="735">
        <f>B110*(B111/(1+B111))</f>
        <v>1.7999999999999999E-2</v>
      </c>
      <c r="C112" s="723" t="s">
        <v>939</v>
      </c>
    </row>
    <row r="113" spans="1:25" ht="29">
      <c r="A113" s="727" t="s">
        <v>938</v>
      </c>
      <c r="B113" s="734">
        <v>4</v>
      </c>
      <c r="C113" s="727" t="s">
        <v>937</v>
      </c>
      <c r="D113" s="1" t="s">
        <v>1252</v>
      </c>
    </row>
    <row r="114" spans="1:25">
      <c r="A114" s="6" t="s">
        <v>936</v>
      </c>
      <c r="B114" s="733">
        <f>AVERAGE(34.8,33.2)</f>
        <v>34</v>
      </c>
      <c r="C114" s="1" t="s">
        <v>934</v>
      </c>
      <c r="D114" s="882" t="s">
        <v>1253</v>
      </c>
    </row>
    <row r="115" spans="1:25">
      <c r="A115" s="723" t="s">
        <v>935</v>
      </c>
      <c r="B115" s="733">
        <v>2</v>
      </c>
      <c r="C115" s="282" t="s">
        <v>934</v>
      </c>
      <c r="D115" s="724"/>
    </row>
    <row r="116" spans="1:25">
      <c r="A116" s="723" t="s">
        <v>933</v>
      </c>
      <c r="B116" s="733">
        <v>3</v>
      </c>
      <c r="C116" s="1" t="s">
        <v>932</v>
      </c>
      <c r="D116" s="882" t="s">
        <v>1254</v>
      </c>
    </row>
    <row r="117" spans="1:25" ht="29">
      <c r="A117" s="723" t="s">
        <v>931</v>
      </c>
      <c r="B117" s="732">
        <f>B66</f>
        <v>7.6923076923076927E-2</v>
      </c>
      <c r="D117" s="724"/>
    </row>
    <row r="118" spans="1:25" ht="30" customHeight="1">
      <c r="A118" s="723" t="s">
        <v>930</v>
      </c>
      <c r="B118" s="731">
        <f>B65</f>
        <v>0.5</v>
      </c>
      <c r="C118" s="729" t="s">
        <v>540</v>
      </c>
      <c r="D118" s="724"/>
    </row>
    <row r="119" spans="1:25" ht="30" customHeight="1">
      <c r="A119" s="396" t="s">
        <v>929</v>
      </c>
      <c r="B119" s="730">
        <f>B67</f>
        <v>0.3</v>
      </c>
      <c r="C119" s="729" t="s">
        <v>540</v>
      </c>
      <c r="D119" s="882" t="s">
        <v>1255</v>
      </c>
    </row>
    <row r="120" spans="1:25" ht="30" customHeight="1">
      <c r="A120" s="396" t="s">
        <v>928</v>
      </c>
      <c r="B120" s="728">
        <f>24*365.25</f>
        <v>8766</v>
      </c>
      <c r="C120" s="727"/>
      <c r="D120" s="724"/>
    </row>
    <row r="121" spans="1:25" ht="29">
      <c r="A121" s="723" t="s">
        <v>927</v>
      </c>
      <c r="B121" s="726">
        <v>0.11110070252665985</v>
      </c>
      <c r="C121" s="725"/>
      <c r="D121" s="882"/>
    </row>
    <row r="122" spans="1:25" ht="29">
      <c r="A122" s="723" t="s">
        <v>926</v>
      </c>
      <c r="B122" s="722">
        <v>4</v>
      </c>
    </row>
    <row r="123" spans="1:25">
      <c r="A123" s="723" t="s">
        <v>925</v>
      </c>
      <c r="B123" s="722">
        <v>30</v>
      </c>
    </row>
    <row r="124" spans="1:25" ht="29">
      <c r="A124" s="723" t="s">
        <v>924</v>
      </c>
      <c r="B124" s="722">
        <v>0.4</v>
      </c>
    </row>
    <row r="125" spans="1:25">
      <c r="A125" s="721"/>
    </row>
    <row r="126" spans="1:25">
      <c r="A126" s="123"/>
      <c r="B126" s="123"/>
      <c r="C126" s="123"/>
      <c r="D126" s="123"/>
      <c r="E126" s="123" t="s">
        <v>1261</v>
      </c>
      <c r="F126" s="123"/>
      <c r="G126" s="123"/>
      <c r="H126" s="720"/>
      <c r="I126" s="123"/>
      <c r="J126" s="123"/>
      <c r="K126" s="123"/>
      <c r="L126" s="123"/>
      <c r="M126" s="123"/>
      <c r="N126" s="123"/>
      <c r="O126" s="123"/>
      <c r="P126" s="123"/>
      <c r="Q126" s="123"/>
      <c r="R126" s="123"/>
      <c r="S126" s="123"/>
      <c r="T126" s="123"/>
      <c r="U126" s="123"/>
      <c r="V126" s="123"/>
      <c r="W126" s="123"/>
      <c r="X126" s="123"/>
      <c r="Y126" s="201"/>
    </row>
    <row r="127" spans="1:25" ht="29">
      <c r="A127" s="1" t="s">
        <v>910</v>
      </c>
      <c r="B127" s="185" t="s">
        <v>923</v>
      </c>
      <c r="C127" s="185" t="s">
        <v>914</v>
      </c>
      <c r="D127" s="185" t="s">
        <v>913</v>
      </c>
      <c r="E127" s="718">
        <v>2012</v>
      </c>
      <c r="F127" s="718">
        <v>2013</v>
      </c>
      <c r="G127" s="718">
        <v>2014</v>
      </c>
      <c r="H127" s="718">
        <v>2015</v>
      </c>
      <c r="I127" s="718">
        <v>2016</v>
      </c>
      <c r="J127" s="718">
        <v>2017</v>
      </c>
      <c r="K127" s="718">
        <v>2018</v>
      </c>
      <c r="L127" s="718">
        <v>2019</v>
      </c>
      <c r="M127" s="718">
        <v>2020</v>
      </c>
      <c r="N127" s="718">
        <v>2021</v>
      </c>
      <c r="O127" s="718">
        <v>2022</v>
      </c>
      <c r="P127" s="718">
        <v>2023</v>
      </c>
      <c r="Q127" s="718">
        <v>2024</v>
      </c>
      <c r="R127" s="718">
        <v>2025</v>
      </c>
      <c r="S127" s="718">
        <v>2026</v>
      </c>
      <c r="T127" s="718">
        <v>2027</v>
      </c>
      <c r="U127" s="718">
        <v>2028</v>
      </c>
      <c r="V127" s="718">
        <v>2029</v>
      </c>
      <c r="W127" s="718">
        <v>2030</v>
      </c>
      <c r="X127" s="718">
        <v>2031</v>
      </c>
      <c r="Y127" s="717"/>
    </row>
    <row r="128" spans="1:25">
      <c r="A128" s="1" t="s">
        <v>909</v>
      </c>
      <c r="B128" s="72">
        <f>D97</f>
        <v>581.82999999999993</v>
      </c>
      <c r="C128" s="1">
        <v>2</v>
      </c>
      <c r="D128" s="1">
        <f>1-0.564</f>
        <v>0.43600000000000005</v>
      </c>
      <c r="E128" s="2">
        <f>J35*$B128*$C128*$D128*$B$117*(1-$B$119)*($B$118/$B$120)*$B$121</f>
        <v>147.12104702431444</v>
      </c>
      <c r="F128" s="2">
        <f t="shared" ref="F128:X128" si="54">E128*F$106*$B$30</f>
        <v>158.74847804591238</v>
      </c>
      <c r="G128" s="2">
        <f t="shared" si="54"/>
        <v>171.29486087553869</v>
      </c>
      <c r="H128" s="2">
        <f t="shared" si="54"/>
        <v>184.83282311458785</v>
      </c>
      <c r="I128" s="2">
        <f t="shared" si="54"/>
        <v>199.440732348247</v>
      </c>
      <c r="J128" s="2">
        <f t="shared" si="54"/>
        <v>215.20314979415443</v>
      </c>
      <c r="K128" s="2">
        <f t="shared" si="54"/>
        <v>232.21131980431346</v>
      </c>
      <c r="L128" s="2">
        <f t="shared" si="54"/>
        <v>250.56369805385549</v>
      </c>
      <c r="M128" s="2">
        <f t="shared" si="54"/>
        <v>270.36652147419318</v>
      </c>
      <c r="N128" s="2">
        <f t="shared" si="54"/>
        <v>291.73442322975239</v>
      </c>
      <c r="O128" s="2">
        <f t="shared" si="54"/>
        <v>314.79109629821551</v>
      </c>
      <c r="P128" s="2">
        <f t="shared" si="54"/>
        <v>339.67000949556234</v>
      </c>
      <c r="Q128" s="2">
        <f t="shared" si="54"/>
        <v>366.51518009078285</v>
      </c>
      <c r="R128" s="2">
        <f t="shared" si="54"/>
        <v>395.4820074827183</v>
      </c>
      <c r="S128" s="2">
        <f t="shared" si="54"/>
        <v>426.73817276495976</v>
      </c>
      <c r="T128" s="2">
        <f t="shared" si="54"/>
        <v>460.46460938614064</v>
      </c>
      <c r="U128" s="2">
        <f t="shared" si="54"/>
        <v>496.85655052451187</v>
      </c>
      <c r="V128" s="2">
        <f t="shared" si="54"/>
        <v>536.1246592397664</v>
      </c>
      <c r="W128" s="2">
        <f t="shared" si="54"/>
        <v>578.49624794425574</v>
      </c>
      <c r="X128" s="2">
        <f t="shared" si="54"/>
        <v>624.21659425278483</v>
      </c>
      <c r="Y128" s="685"/>
    </row>
    <row r="129" spans="1:28">
      <c r="A129" s="1" t="s">
        <v>908</v>
      </c>
      <c r="B129" s="72">
        <f>E97</f>
        <v>341.66500000000002</v>
      </c>
      <c r="C129" s="1">
        <v>9.3000000000000007</v>
      </c>
      <c r="D129" s="1">
        <f>1-0.451</f>
        <v>0.54899999999999993</v>
      </c>
      <c r="E129" s="2">
        <f>J36*$B129*$C129*$D129*$B$117*(1-$B$119)*($B$118/$B$120)*$B$121</f>
        <v>247.08867174192346</v>
      </c>
      <c r="F129" s="2">
        <f t="shared" ref="F129:X129" si="55">E129*F$106*$B$30</f>
        <v>266.6168530933154</v>
      </c>
      <c r="G129" s="2">
        <f t="shared" si="55"/>
        <v>287.68840696844313</v>
      </c>
      <c r="H129" s="2">
        <f t="shared" si="55"/>
        <v>310.4253108676258</v>
      </c>
      <c r="I129" s="2">
        <f t="shared" si="55"/>
        <v>334.95918255000237</v>
      </c>
      <c r="J129" s="2">
        <f t="shared" si="55"/>
        <v>361.43204193297913</v>
      </c>
      <c r="K129" s="2">
        <f t="shared" si="55"/>
        <v>389.99713320694531</v>
      </c>
      <c r="L129" s="2">
        <f t="shared" si="55"/>
        <v>420.81981192425536</v>
      </c>
      <c r="M129" s="2">
        <f t="shared" si="55"/>
        <v>454.07850219759496</v>
      </c>
      <c r="N129" s="2">
        <f t="shared" si="55"/>
        <v>489.96572954869225</v>
      </c>
      <c r="O129" s="2">
        <f t="shared" si="55"/>
        <v>528.68923538625472</v>
      </c>
      <c r="P129" s="2">
        <f t="shared" si="55"/>
        <v>570.47317956454128</v>
      </c>
      <c r="Q129" s="2">
        <f t="shared" si="55"/>
        <v>615.5594379838559</v>
      </c>
      <c r="R129" s="2">
        <f t="shared" si="55"/>
        <v>664.20900274441658</v>
      </c>
      <c r="S129" s="2">
        <f t="shared" si="55"/>
        <v>716.70349295871404</v>
      </c>
      <c r="T129" s="2">
        <f t="shared" si="55"/>
        <v>773.34678496803826</v>
      </c>
      <c r="U129" s="2">
        <f t="shared" si="55"/>
        <v>834.46677140005647</v>
      </c>
      <c r="V129" s="2">
        <f t="shared" si="55"/>
        <v>900.41725925014737</v>
      </c>
      <c r="W129" s="2">
        <f t="shared" si="55"/>
        <v>971.58001797396946</v>
      </c>
      <c r="X129" s="2">
        <f t="shared" si="55"/>
        <v>1048.3669894471143</v>
      </c>
      <c r="Y129" s="685"/>
    </row>
    <row r="130" spans="1:28">
      <c r="A130" s="1" t="s">
        <v>907</v>
      </c>
      <c r="B130" s="72">
        <f>F97</f>
        <v>288.19</v>
      </c>
      <c r="C130" s="1">
        <v>26.5</v>
      </c>
      <c r="D130" s="1">
        <f>1-0.7</f>
        <v>0.30000000000000004</v>
      </c>
      <c r="E130" s="600">
        <f>J37*$B130*$C130*$D130*$B$117*(1-$B$119)*($B$118/$B$120)*$B$121</f>
        <v>70.745045269022981</v>
      </c>
      <c r="F130" s="600">
        <f t="shared" ref="F130:X130" si="56">E130*F$106*$B$30</f>
        <v>76.336244833076123</v>
      </c>
      <c r="G130" s="600">
        <f t="shared" si="56"/>
        <v>82.369334178190115</v>
      </c>
      <c r="H130" s="600">
        <f t="shared" si="56"/>
        <v>88.879237219415558</v>
      </c>
      <c r="I130" s="600">
        <f t="shared" si="56"/>
        <v>95.903638016741311</v>
      </c>
      <c r="J130" s="600">
        <f t="shared" si="56"/>
        <v>103.48319891787918</v>
      </c>
      <c r="K130" s="600">
        <f t="shared" si="56"/>
        <v>111.66179594154693</v>
      </c>
      <c r="L130" s="600">
        <f t="shared" si="56"/>
        <v>120.48677276381974</v>
      </c>
      <c r="M130" s="600">
        <f t="shared" si="56"/>
        <v>130.0092147778079</v>
      </c>
      <c r="N130" s="600">
        <f t="shared" si="56"/>
        <v>140.28424481311782</v>
      </c>
      <c r="O130" s="600">
        <f t="shared" si="56"/>
        <v>151.37134222693592</v>
      </c>
      <c r="P130" s="600">
        <f t="shared" si="56"/>
        <v>163.33468721386708</v>
      </c>
      <c r="Q130" s="600">
        <f t="shared" si="56"/>
        <v>176.24353232764366</v>
      </c>
      <c r="R130" s="600">
        <f t="shared" si="56"/>
        <v>190.17260336534343</v>
      </c>
      <c r="S130" s="600">
        <f t="shared" si="56"/>
        <v>205.20253193472612</v>
      </c>
      <c r="T130" s="600">
        <f t="shared" si="56"/>
        <v>221.4203222087034</v>
      </c>
      <c r="U130" s="600">
        <f t="shared" si="56"/>
        <v>238.91985456885715</v>
      </c>
      <c r="V130" s="600">
        <f t="shared" si="56"/>
        <v>257.80242905346154</v>
      </c>
      <c r="W130" s="600">
        <f t="shared" si="56"/>
        <v>278.17735175588172</v>
      </c>
      <c r="X130" s="600">
        <f t="shared" si="56"/>
        <v>300.16256756785015</v>
      </c>
      <c r="Y130" s="685"/>
    </row>
    <row r="131" spans="1:28" s="173" customFormat="1">
      <c r="A131" s="173" t="s">
        <v>133</v>
      </c>
      <c r="B131" s="719"/>
      <c r="E131" s="275">
        <f t="shared" ref="E131:X131" si="57">SUM(E127:E130)</f>
        <v>2476.9547640352612</v>
      </c>
      <c r="F131" s="275">
        <f t="shared" si="57"/>
        <v>2514.701575972304</v>
      </c>
      <c r="G131" s="275">
        <f t="shared" si="57"/>
        <v>2555.3526020221716</v>
      </c>
      <c r="H131" s="275">
        <f t="shared" si="57"/>
        <v>2599.1373712016293</v>
      </c>
      <c r="I131" s="275">
        <f t="shared" si="57"/>
        <v>2646.3035529149906</v>
      </c>
      <c r="J131" s="275">
        <f t="shared" si="57"/>
        <v>2697.1183906450128</v>
      </c>
      <c r="K131" s="275">
        <f t="shared" si="57"/>
        <v>2751.8702489528059</v>
      </c>
      <c r="L131" s="275">
        <f t="shared" si="57"/>
        <v>2810.8702827419306</v>
      </c>
      <c r="M131" s="275">
        <f t="shared" si="57"/>
        <v>2874.4542384495958</v>
      </c>
      <c r="N131" s="275">
        <f t="shared" si="57"/>
        <v>2942.9843975915624</v>
      </c>
      <c r="O131" s="275">
        <f t="shared" si="57"/>
        <v>3016.8516739114061</v>
      </c>
      <c r="P131" s="275">
        <f t="shared" si="57"/>
        <v>3096.4778762739707</v>
      </c>
      <c r="Q131" s="275">
        <f t="shared" si="57"/>
        <v>3182.3181504022823</v>
      </c>
      <c r="R131" s="275">
        <f t="shared" si="57"/>
        <v>3274.8636135924785</v>
      </c>
      <c r="S131" s="275">
        <f t="shared" si="57"/>
        <v>3374.6441976584001</v>
      </c>
      <c r="T131" s="275">
        <f t="shared" si="57"/>
        <v>3482.2317165628824</v>
      </c>
      <c r="U131" s="275">
        <f t="shared" si="57"/>
        <v>3598.2431764934258</v>
      </c>
      <c r="V131" s="275">
        <f t="shared" si="57"/>
        <v>3723.3443475433751</v>
      </c>
      <c r="W131" s="275">
        <f t="shared" si="57"/>
        <v>3858.2536176741069</v>
      </c>
      <c r="X131" s="275">
        <f t="shared" si="57"/>
        <v>4003.7461512677496</v>
      </c>
      <c r="Y131" s="711"/>
    </row>
    <row r="132" spans="1:28">
      <c r="B132" s="72"/>
      <c r="E132" s="2"/>
      <c r="F132" s="2"/>
      <c r="G132" s="2"/>
      <c r="H132" s="2"/>
      <c r="I132" s="2"/>
      <c r="J132" s="2"/>
      <c r="K132" s="2"/>
      <c r="L132" s="2"/>
      <c r="M132" s="2"/>
      <c r="N132" s="2"/>
      <c r="O132" s="2"/>
      <c r="P132" s="2"/>
      <c r="Q132" s="2"/>
      <c r="R132" s="2"/>
      <c r="S132" s="2"/>
      <c r="T132" s="2"/>
      <c r="U132" s="2"/>
      <c r="V132" s="2"/>
      <c r="W132" s="2"/>
      <c r="X132" s="2"/>
      <c r="Y132" s="685"/>
    </row>
    <row r="133" spans="1:28">
      <c r="A133" s="123"/>
      <c r="B133" s="123"/>
      <c r="C133" s="123"/>
      <c r="D133" s="123"/>
      <c r="E133" s="123" t="s">
        <v>922</v>
      </c>
      <c r="F133" s="123"/>
      <c r="G133" s="123"/>
      <c r="H133" s="123"/>
      <c r="I133" s="123"/>
      <c r="J133" s="123"/>
      <c r="K133" s="123"/>
      <c r="L133" s="123"/>
      <c r="M133" s="123"/>
      <c r="N133" s="123"/>
      <c r="O133" s="123"/>
      <c r="P133" s="123"/>
      <c r="Q133" s="123"/>
      <c r="R133" s="123"/>
      <c r="S133" s="123"/>
      <c r="T133" s="123"/>
      <c r="U133" s="123"/>
      <c r="V133" s="123"/>
      <c r="W133" s="123"/>
      <c r="X133" s="123"/>
      <c r="Z133" s="685" t="s">
        <v>921</v>
      </c>
    </row>
    <row r="134" spans="1:28">
      <c r="A134" s="1" t="s">
        <v>910</v>
      </c>
      <c r="E134" s="718">
        <v>2012</v>
      </c>
      <c r="F134" s="718">
        <v>2013</v>
      </c>
      <c r="G134" s="718">
        <v>2014</v>
      </c>
      <c r="H134" s="718">
        <v>2015</v>
      </c>
      <c r="I134" s="718">
        <v>2016</v>
      </c>
      <c r="J134" s="718">
        <v>2017</v>
      </c>
      <c r="K134" s="718">
        <v>2018</v>
      </c>
      <c r="L134" s="718">
        <v>2019</v>
      </c>
      <c r="M134" s="718">
        <v>2020</v>
      </c>
      <c r="N134" s="718">
        <v>2021</v>
      </c>
      <c r="O134" s="718">
        <v>2022</v>
      </c>
      <c r="P134" s="718">
        <v>2023</v>
      </c>
      <c r="Q134" s="718">
        <v>2024</v>
      </c>
      <c r="R134" s="718">
        <v>2025</v>
      </c>
      <c r="S134" s="718">
        <v>2026</v>
      </c>
      <c r="T134" s="718">
        <v>2027</v>
      </c>
      <c r="U134" s="718">
        <v>2028</v>
      </c>
      <c r="V134" s="718">
        <v>2029</v>
      </c>
      <c r="W134" s="718">
        <v>2030</v>
      </c>
      <c r="X134" s="718">
        <v>2031</v>
      </c>
      <c r="Y134" s="717"/>
      <c r="Z134" s="674">
        <f>SUM(X135:X137)</f>
        <v>117279.86449351317</v>
      </c>
      <c r="AA134" s="1" t="s">
        <v>920</v>
      </c>
    </row>
    <row r="135" spans="1:28">
      <c r="A135" s="1" t="s">
        <v>909</v>
      </c>
      <c r="B135" s="72"/>
      <c r="E135" s="2">
        <f>J35*$B$117*(1-$B$119)</f>
        <v>45759.036202726522</v>
      </c>
      <c r="F135" s="2">
        <f t="shared" ref="F135:O137" si="58">K35*$B$117*(1-$B$119)*$B$30</f>
        <v>47981.827145310162</v>
      </c>
      <c r="G135" s="2">
        <f t="shared" si="58"/>
        <v>49133.390996797607</v>
      </c>
      <c r="H135" s="2">
        <f t="shared" si="58"/>
        <v>50312.592380720758</v>
      </c>
      <c r="I135" s="2">
        <f t="shared" si="58"/>
        <v>51520.094597858057</v>
      </c>
      <c r="J135" s="2">
        <f t="shared" si="58"/>
        <v>52756.576868206648</v>
      </c>
      <c r="K135" s="2">
        <f t="shared" si="58"/>
        <v>54022.734713043617</v>
      </c>
      <c r="L135" s="2">
        <f t="shared" si="58"/>
        <v>55319.280346156658</v>
      </c>
      <c r="M135" s="2">
        <f t="shared" si="58"/>
        <v>56646.94307446442</v>
      </c>
      <c r="N135" s="2">
        <f t="shared" si="58"/>
        <v>58006.469708251578</v>
      </c>
      <c r="O135" s="2">
        <f t="shared" si="58"/>
        <v>59398.62498124961</v>
      </c>
      <c r="P135" s="2">
        <f t="shared" ref="P135:X137" si="59">U35*$B$117*(1-$B$119)*$B$30</f>
        <v>60824.191980799602</v>
      </c>
      <c r="Q135" s="2">
        <f t="shared" si="59"/>
        <v>62283.972588338802</v>
      </c>
      <c r="R135" s="2">
        <f t="shared" si="59"/>
        <v>63778.78793045893</v>
      </c>
      <c r="S135" s="2">
        <f t="shared" si="59"/>
        <v>65309.478840789947</v>
      </c>
      <c r="T135" s="2">
        <f t="shared" si="59"/>
        <v>66876.906332968909</v>
      </c>
      <c r="U135" s="2">
        <f t="shared" si="59"/>
        <v>68481.952084960169</v>
      </c>
      <c r="V135" s="2">
        <f t="shared" si="59"/>
        <v>70125.5189349992</v>
      </c>
      <c r="W135" s="2">
        <f t="shared" si="59"/>
        <v>71808.531389439187</v>
      </c>
      <c r="X135" s="2">
        <f t="shared" si="59"/>
        <v>73531.936142785737</v>
      </c>
      <c r="Y135" s="685"/>
      <c r="Z135" s="9">
        <v>4</v>
      </c>
      <c r="AA135" s="1" t="s">
        <v>1262</v>
      </c>
    </row>
    <row r="136" spans="1:28">
      <c r="A136" s="1" t="s">
        <v>908</v>
      </c>
      <c r="B136" s="72"/>
      <c r="E136" s="2">
        <f>J36*$B$117*(1-$B$119)</f>
        <v>22351.759015607167</v>
      </c>
      <c r="F136" s="2">
        <f t="shared" si="58"/>
        <v>23437.518061549301</v>
      </c>
      <c r="G136" s="2">
        <f t="shared" si="58"/>
        <v>24000.018495026485</v>
      </c>
      <c r="H136" s="2">
        <f t="shared" si="58"/>
        <v>24576.01893890712</v>
      </c>
      <c r="I136" s="2">
        <f t="shared" si="58"/>
        <v>25165.843393440893</v>
      </c>
      <c r="J136" s="2">
        <f t="shared" si="58"/>
        <v>25769.823634883473</v>
      </c>
      <c r="K136" s="2">
        <f t="shared" si="58"/>
        <v>26388.299402120672</v>
      </c>
      <c r="L136" s="2">
        <f t="shared" si="58"/>
        <v>27021.618587771576</v>
      </c>
      <c r="M136" s="2">
        <f t="shared" si="58"/>
        <v>27670.137433878092</v>
      </c>
      <c r="N136" s="2">
        <f t="shared" si="58"/>
        <v>28334.220732291167</v>
      </c>
      <c r="O136" s="2">
        <f t="shared" si="58"/>
        <v>29014.242029866153</v>
      </c>
      <c r="P136" s="2">
        <f t="shared" si="59"/>
        <v>29710.583838582945</v>
      </c>
      <c r="Q136" s="2">
        <f t="shared" si="59"/>
        <v>30423.637850708936</v>
      </c>
      <c r="R136" s="2">
        <f t="shared" si="59"/>
        <v>31153.80515912595</v>
      </c>
      <c r="S136" s="2">
        <f t="shared" si="59"/>
        <v>31901.496482944978</v>
      </c>
      <c r="T136" s="2">
        <f t="shared" si="59"/>
        <v>32667.132398535654</v>
      </c>
      <c r="U136" s="2">
        <f t="shared" si="59"/>
        <v>33451.143576100512</v>
      </c>
      <c r="V136" s="2">
        <f t="shared" si="59"/>
        <v>34253.971021926925</v>
      </c>
      <c r="W136" s="2">
        <f t="shared" si="59"/>
        <v>35076.066326453176</v>
      </c>
      <c r="X136" s="2">
        <f t="shared" si="59"/>
        <v>35917.891918288042</v>
      </c>
      <c r="Y136" s="685"/>
      <c r="Z136" s="287">
        <f>AA137*2*AA138</f>
        <v>80</v>
      </c>
      <c r="AA136" s="1" t="s">
        <v>919</v>
      </c>
    </row>
    <row r="137" spans="1:28">
      <c r="A137" s="1" t="s">
        <v>907</v>
      </c>
      <c r="B137" s="72"/>
      <c r="E137" s="2">
        <f>J37*$B$117*(1-$B$119)</f>
        <v>4872.6436345279653</v>
      </c>
      <c r="F137" s="2">
        <f t="shared" si="58"/>
        <v>5109.3371717187965</v>
      </c>
      <c r="G137" s="2">
        <f t="shared" si="58"/>
        <v>5231.9612638400476</v>
      </c>
      <c r="H137" s="2">
        <f t="shared" si="58"/>
        <v>5357.5283341722088</v>
      </c>
      <c r="I137" s="2">
        <f t="shared" si="58"/>
        <v>5486.1090141923432</v>
      </c>
      <c r="J137" s="2">
        <f t="shared" si="58"/>
        <v>5617.7756305329594</v>
      </c>
      <c r="K137" s="2">
        <f t="shared" si="58"/>
        <v>5752.6022456657502</v>
      </c>
      <c r="L137" s="2">
        <f t="shared" si="58"/>
        <v>5890.6646995617284</v>
      </c>
      <c r="M137" s="2">
        <f t="shared" si="58"/>
        <v>6032.0406523512102</v>
      </c>
      <c r="N137" s="2">
        <f t="shared" si="58"/>
        <v>6176.8096280076388</v>
      </c>
      <c r="O137" s="2">
        <f t="shared" si="58"/>
        <v>6325.0530590798217</v>
      </c>
      <c r="P137" s="2">
        <f t="shared" si="59"/>
        <v>6476.8543324977363</v>
      </c>
      <c r="Q137" s="2">
        <f t="shared" si="59"/>
        <v>6632.2988364776838</v>
      </c>
      <c r="R137" s="2">
        <f t="shared" si="59"/>
        <v>6791.4740085531475</v>
      </c>
      <c r="S137" s="2">
        <f t="shared" si="59"/>
        <v>6954.469384758424</v>
      </c>
      <c r="T137" s="2">
        <f t="shared" si="59"/>
        <v>7121.3766499926251</v>
      </c>
      <c r="U137" s="2">
        <f t="shared" si="59"/>
        <v>7292.2896895924496</v>
      </c>
      <c r="V137" s="2">
        <f t="shared" si="59"/>
        <v>7467.3046421426679</v>
      </c>
      <c r="W137" s="2">
        <f t="shared" si="59"/>
        <v>7646.5199535540924</v>
      </c>
      <c r="X137" s="2">
        <f t="shared" si="59"/>
        <v>7830.0364324393904</v>
      </c>
      <c r="Y137" s="685"/>
      <c r="AA137" s="9">
        <v>2</v>
      </c>
      <c r="AB137" s="1" t="s">
        <v>918</v>
      </c>
    </row>
    <row r="138" spans="1:28">
      <c r="E138" s="2">
        <f>SUM(E135:E137)</f>
        <v>72983.438852861655</v>
      </c>
      <c r="F138" s="2">
        <f t="shared" ref="F138:K138" si="60">SUM(F135:F137)-SUM(F135:F137)*K27</f>
        <v>76528.682378578262</v>
      </c>
      <c r="G138" s="2">
        <f t="shared" si="60"/>
        <v>74447.102217880922</v>
      </c>
      <c r="H138" s="2">
        <f t="shared" si="60"/>
        <v>60184.604740350063</v>
      </c>
      <c r="I138" s="2">
        <f t="shared" si="60"/>
        <v>32868.818802196525</v>
      </c>
      <c r="J138" s="2">
        <f t="shared" si="60"/>
        <v>4207.2088066811557</v>
      </c>
      <c r="K138" s="2">
        <f t="shared" si="60"/>
        <v>0</v>
      </c>
      <c r="Y138" s="201"/>
      <c r="AA138" s="9">
        <v>20</v>
      </c>
      <c r="AB138" s="1" t="s">
        <v>1263</v>
      </c>
    </row>
    <row r="139" spans="1:28" ht="15" thickBot="1">
      <c r="A139" s="123"/>
      <c r="B139" s="123"/>
      <c r="C139" s="123"/>
      <c r="D139" s="123"/>
      <c r="E139" s="123" t="s">
        <v>916</v>
      </c>
      <c r="F139" s="123"/>
      <c r="G139" s="123"/>
      <c r="H139" s="123"/>
      <c r="I139" s="123"/>
      <c r="J139" s="123"/>
      <c r="K139" s="123"/>
      <c r="L139" s="123"/>
      <c r="M139" s="123"/>
      <c r="N139" s="123"/>
      <c r="O139" s="123"/>
      <c r="P139" s="123"/>
      <c r="Q139" s="123"/>
      <c r="R139" s="123"/>
      <c r="S139" s="123"/>
      <c r="T139" s="123"/>
      <c r="U139" s="123"/>
      <c r="V139" s="123"/>
      <c r="W139" s="123"/>
      <c r="X139" s="123"/>
      <c r="Y139" s="201"/>
      <c r="Z139" s="674">
        <f>Z134*Z135/Z136</f>
        <v>5863.9932246756589</v>
      </c>
      <c r="AA139" s="1" t="s">
        <v>915</v>
      </c>
    </row>
    <row r="140" spans="1:28" ht="29.5" thickBot="1">
      <c r="A140" s="1" t="s">
        <v>910</v>
      </c>
      <c r="B140" s="185"/>
      <c r="C140" s="185" t="s">
        <v>914</v>
      </c>
      <c r="D140" s="185" t="s">
        <v>913</v>
      </c>
      <c r="E140" s="718">
        <v>2012</v>
      </c>
      <c r="F140" s="718">
        <v>2013</v>
      </c>
      <c r="G140" s="718">
        <v>2014</v>
      </c>
      <c r="H140" s="718">
        <v>2015</v>
      </c>
      <c r="I140" s="718">
        <v>2016</v>
      </c>
      <c r="J140" s="718">
        <v>2017</v>
      </c>
      <c r="K140" s="718">
        <v>2018</v>
      </c>
      <c r="L140" s="718">
        <v>2019</v>
      </c>
      <c r="M140" s="718">
        <v>2020</v>
      </c>
      <c r="N140" s="718">
        <v>2021</v>
      </c>
      <c r="O140" s="718">
        <v>2022</v>
      </c>
      <c r="P140" s="718">
        <v>2023</v>
      </c>
      <c r="Q140" s="718">
        <v>2024</v>
      </c>
      <c r="R140" s="718">
        <v>2025</v>
      </c>
      <c r="S140" s="718">
        <v>2026</v>
      </c>
      <c r="T140" s="718">
        <v>2027</v>
      </c>
      <c r="U140" s="718">
        <v>2028</v>
      </c>
      <c r="V140" s="718">
        <v>2029</v>
      </c>
      <c r="W140" s="718">
        <v>2030</v>
      </c>
      <c r="X140" s="718">
        <v>2031</v>
      </c>
      <c r="Y140" s="717"/>
      <c r="Z140" s="716">
        <f>Z139*B117</f>
        <v>451.07640189812764</v>
      </c>
      <c r="AA140" s="282" t="s">
        <v>912</v>
      </c>
    </row>
    <row r="141" spans="1:28">
      <c r="A141" s="1" t="s">
        <v>909</v>
      </c>
      <c r="B141" s="72"/>
      <c r="C141" s="1">
        <v>2</v>
      </c>
      <c r="D141" s="1">
        <f>1-0.564</f>
        <v>0.43600000000000005</v>
      </c>
      <c r="E141" s="715">
        <f t="shared" ref="E141:N143" si="61">$B$112*$C141*$D141*$B$114*$B$118</f>
        <v>0.26683200000000001</v>
      </c>
      <c r="F141" s="715">
        <f t="shared" si="61"/>
        <v>0.26683200000000001</v>
      </c>
      <c r="G141" s="715">
        <f t="shared" si="61"/>
        <v>0.26683200000000001</v>
      </c>
      <c r="H141" s="715">
        <f t="shared" si="61"/>
        <v>0.26683200000000001</v>
      </c>
      <c r="I141" s="715">
        <f t="shared" si="61"/>
        <v>0.26683200000000001</v>
      </c>
      <c r="J141" s="715">
        <f t="shared" si="61"/>
        <v>0.26683200000000001</v>
      </c>
      <c r="K141" s="715">
        <f t="shared" si="61"/>
        <v>0.26683200000000001</v>
      </c>
      <c r="L141" s="715">
        <f t="shared" si="61"/>
        <v>0.26683200000000001</v>
      </c>
      <c r="M141" s="715">
        <f t="shared" si="61"/>
        <v>0.26683200000000001</v>
      </c>
      <c r="N141" s="715">
        <f t="shared" si="61"/>
        <v>0.26683200000000001</v>
      </c>
      <c r="O141" s="715">
        <f t="shared" ref="O141:X143" si="62">$B$112*$C141*$D141*$B$114*$B$118</f>
        <v>0.26683200000000001</v>
      </c>
      <c r="P141" s="715">
        <f t="shared" si="62"/>
        <v>0.26683200000000001</v>
      </c>
      <c r="Q141" s="715">
        <f t="shared" si="62"/>
        <v>0.26683200000000001</v>
      </c>
      <c r="R141" s="715">
        <f t="shared" si="62"/>
        <v>0.26683200000000001</v>
      </c>
      <c r="S141" s="715">
        <f t="shared" si="62"/>
        <v>0.26683200000000001</v>
      </c>
      <c r="T141" s="715">
        <f t="shared" si="62"/>
        <v>0.26683200000000001</v>
      </c>
      <c r="U141" s="715">
        <f t="shared" si="62"/>
        <v>0.26683200000000001</v>
      </c>
      <c r="V141" s="715">
        <f t="shared" si="62"/>
        <v>0.26683200000000001</v>
      </c>
      <c r="W141" s="715">
        <f t="shared" si="62"/>
        <v>0.26683200000000001</v>
      </c>
      <c r="X141" s="715">
        <f t="shared" si="62"/>
        <v>0.26683200000000001</v>
      </c>
      <c r="Y141" s="714"/>
    </row>
    <row r="142" spans="1:28">
      <c r="A142" s="1" t="s">
        <v>908</v>
      </c>
      <c r="B142" s="72"/>
      <c r="C142" s="1">
        <v>9.3000000000000007</v>
      </c>
      <c r="D142" s="1">
        <f>1-0.451</f>
        <v>0.54899999999999993</v>
      </c>
      <c r="E142" s="715">
        <f t="shared" si="61"/>
        <v>1.5623441999999998</v>
      </c>
      <c r="F142" s="715">
        <f t="shared" si="61"/>
        <v>1.5623441999999998</v>
      </c>
      <c r="G142" s="715">
        <f t="shared" si="61"/>
        <v>1.5623441999999998</v>
      </c>
      <c r="H142" s="715">
        <f t="shared" si="61"/>
        <v>1.5623441999999998</v>
      </c>
      <c r="I142" s="715">
        <f t="shared" si="61"/>
        <v>1.5623441999999998</v>
      </c>
      <c r="J142" s="715">
        <f t="shared" si="61"/>
        <v>1.5623441999999998</v>
      </c>
      <c r="K142" s="715">
        <f t="shared" si="61"/>
        <v>1.5623441999999998</v>
      </c>
      <c r="L142" s="715">
        <f t="shared" si="61"/>
        <v>1.5623441999999998</v>
      </c>
      <c r="M142" s="715">
        <f t="shared" si="61"/>
        <v>1.5623441999999998</v>
      </c>
      <c r="N142" s="715">
        <f t="shared" si="61"/>
        <v>1.5623441999999998</v>
      </c>
      <c r="O142" s="715">
        <f t="shared" si="62"/>
        <v>1.5623441999999998</v>
      </c>
      <c r="P142" s="715">
        <f t="shared" si="62"/>
        <v>1.5623441999999998</v>
      </c>
      <c r="Q142" s="715">
        <f t="shared" si="62"/>
        <v>1.5623441999999998</v>
      </c>
      <c r="R142" s="715">
        <f t="shared" si="62"/>
        <v>1.5623441999999998</v>
      </c>
      <c r="S142" s="715">
        <f t="shared" si="62"/>
        <v>1.5623441999999998</v>
      </c>
      <c r="T142" s="715">
        <f t="shared" si="62"/>
        <v>1.5623441999999998</v>
      </c>
      <c r="U142" s="715">
        <f t="shared" si="62"/>
        <v>1.5623441999999998</v>
      </c>
      <c r="V142" s="715">
        <f t="shared" si="62"/>
        <v>1.5623441999999998</v>
      </c>
      <c r="W142" s="715">
        <f t="shared" si="62"/>
        <v>1.5623441999999998</v>
      </c>
      <c r="X142" s="715">
        <f t="shared" si="62"/>
        <v>1.5623441999999998</v>
      </c>
      <c r="Y142" s="714"/>
    </row>
    <row r="143" spans="1:28">
      <c r="A143" s="1" t="s">
        <v>907</v>
      </c>
      <c r="B143" s="72"/>
      <c r="C143" s="1">
        <v>26.5</v>
      </c>
      <c r="D143" s="1">
        <f>1-0.7</f>
        <v>0.30000000000000004</v>
      </c>
      <c r="E143" s="715">
        <f t="shared" si="61"/>
        <v>2.4327000000000001</v>
      </c>
      <c r="F143" s="715">
        <f t="shared" si="61"/>
        <v>2.4327000000000001</v>
      </c>
      <c r="G143" s="715">
        <f t="shared" si="61"/>
        <v>2.4327000000000001</v>
      </c>
      <c r="H143" s="715">
        <f t="shared" si="61"/>
        <v>2.4327000000000001</v>
      </c>
      <c r="I143" s="715">
        <f t="shared" si="61"/>
        <v>2.4327000000000001</v>
      </c>
      <c r="J143" s="715">
        <f t="shared" si="61"/>
        <v>2.4327000000000001</v>
      </c>
      <c r="K143" s="715">
        <f t="shared" si="61"/>
        <v>2.4327000000000001</v>
      </c>
      <c r="L143" s="715">
        <f t="shared" si="61"/>
        <v>2.4327000000000001</v>
      </c>
      <c r="M143" s="715">
        <f t="shared" si="61"/>
        <v>2.4327000000000001</v>
      </c>
      <c r="N143" s="715">
        <f t="shared" si="61"/>
        <v>2.4327000000000001</v>
      </c>
      <c r="O143" s="715">
        <f t="shared" si="62"/>
        <v>2.4327000000000001</v>
      </c>
      <c r="P143" s="715">
        <f t="shared" si="62"/>
        <v>2.4327000000000001</v>
      </c>
      <c r="Q143" s="715">
        <f t="shared" si="62"/>
        <v>2.4327000000000001</v>
      </c>
      <c r="R143" s="715">
        <f t="shared" si="62"/>
        <v>2.4327000000000001</v>
      </c>
      <c r="S143" s="715">
        <f t="shared" si="62"/>
        <v>2.4327000000000001</v>
      </c>
      <c r="T143" s="715">
        <f t="shared" si="62"/>
        <v>2.4327000000000001</v>
      </c>
      <c r="U143" s="715">
        <f t="shared" si="62"/>
        <v>2.4327000000000001</v>
      </c>
      <c r="V143" s="715">
        <f t="shared" si="62"/>
        <v>2.4327000000000001</v>
      </c>
      <c r="W143" s="715">
        <f t="shared" si="62"/>
        <v>2.4327000000000001</v>
      </c>
      <c r="X143" s="715">
        <f t="shared" si="62"/>
        <v>2.4327000000000001</v>
      </c>
      <c r="Y143" s="714"/>
    </row>
    <row r="144" spans="1:28">
      <c r="Y144" s="201"/>
    </row>
    <row r="145" spans="1:25" s="6" customFormat="1">
      <c r="A145" s="123"/>
      <c r="B145" s="123"/>
      <c r="C145" s="123"/>
      <c r="D145" s="123" t="s">
        <v>911</v>
      </c>
      <c r="E145" s="123"/>
      <c r="F145" s="123"/>
      <c r="G145" s="123"/>
      <c r="H145" s="123"/>
      <c r="I145" s="123"/>
      <c r="J145" s="123"/>
      <c r="K145" s="123"/>
      <c r="L145" s="123"/>
      <c r="M145" s="123"/>
      <c r="N145" s="123"/>
      <c r="O145" s="123"/>
      <c r="P145" s="123"/>
      <c r="Q145" s="123"/>
      <c r="R145" s="123"/>
      <c r="S145" s="123"/>
      <c r="T145" s="123"/>
      <c r="U145" s="123"/>
      <c r="V145" s="123"/>
      <c r="W145" s="123"/>
      <c r="X145" s="123"/>
      <c r="Y145" s="201"/>
    </row>
    <row r="146" spans="1:25" s="6" customFormat="1">
      <c r="A146" s="1" t="s">
        <v>910</v>
      </c>
      <c r="Y146" s="201"/>
    </row>
    <row r="147" spans="1:25" s="6" customFormat="1">
      <c r="A147" s="1" t="s">
        <v>909</v>
      </c>
      <c r="B147" s="709"/>
      <c r="E147" s="708">
        <f t="shared" ref="E147:X147" si="63">E135*E141</f>
        <v>12209.975148045924</v>
      </c>
      <c r="F147" s="708">
        <f t="shared" si="63"/>
        <v>12803.086900837401</v>
      </c>
      <c r="G147" s="708">
        <f t="shared" si="63"/>
        <v>13110.360986457499</v>
      </c>
      <c r="H147" s="708">
        <f t="shared" si="63"/>
        <v>13425.009650132482</v>
      </c>
      <c r="I147" s="708">
        <f t="shared" si="63"/>
        <v>13747.209881735662</v>
      </c>
      <c r="J147" s="708">
        <f t="shared" si="63"/>
        <v>14077.142918897318</v>
      </c>
      <c r="K147" s="708">
        <f t="shared" si="63"/>
        <v>14414.994348950855</v>
      </c>
      <c r="L147" s="708">
        <f t="shared" si="63"/>
        <v>14760.954213325675</v>
      </c>
      <c r="M147" s="708">
        <f t="shared" si="63"/>
        <v>15115.217114445491</v>
      </c>
      <c r="N147" s="708">
        <f t="shared" si="63"/>
        <v>15477.982325192186</v>
      </c>
      <c r="O147" s="708">
        <f t="shared" si="63"/>
        <v>15849.453900996798</v>
      </c>
      <c r="P147" s="708">
        <f t="shared" si="63"/>
        <v>16229.840794620721</v>
      </c>
      <c r="Q147" s="708">
        <f t="shared" si="63"/>
        <v>16619.356973691622</v>
      </c>
      <c r="R147" s="708">
        <f t="shared" si="63"/>
        <v>17018.221541060218</v>
      </c>
      <c r="S147" s="708">
        <f t="shared" si="63"/>
        <v>17426.658858045663</v>
      </c>
      <c r="T147" s="708">
        <f t="shared" si="63"/>
        <v>17844.898670638762</v>
      </c>
      <c r="U147" s="708">
        <f t="shared" si="63"/>
        <v>18273.176238734093</v>
      </c>
      <c r="V147" s="708">
        <f t="shared" si="63"/>
        <v>18711.732468463706</v>
      </c>
      <c r="W147" s="708">
        <f t="shared" si="63"/>
        <v>19160.814047706837</v>
      </c>
      <c r="X147" s="708">
        <f t="shared" si="63"/>
        <v>19620.673584851804</v>
      </c>
      <c r="Y147" s="685"/>
    </row>
    <row r="148" spans="1:25" s="6" customFormat="1">
      <c r="A148" s="1" t="s">
        <v>908</v>
      </c>
      <c r="B148" s="709"/>
      <c r="E148" s="708">
        <f t="shared" ref="E148:X148" si="64">E136*E142</f>
        <v>34921.141057831563</v>
      </c>
      <c r="F148" s="708">
        <f t="shared" si="64"/>
        <v>36617.470405856788</v>
      </c>
      <c r="G148" s="708">
        <f t="shared" si="64"/>
        <v>37496.289695597356</v>
      </c>
      <c r="H148" s="708">
        <f t="shared" si="64"/>
        <v>38396.200648291691</v>
      </c>
      <c r="I148" s="708">
        <f t="shared" si="64"/>
        <v>39317.709463850697</v>
      </c>
      <c r="J148" s="708">
        <f t="shared" si="64"/>
        <v>40261.334490983107</v>
      </c>
      <c r="K148" s="708">
        <f t="shared" si="64"/>
        <v>41227.606518766697</v>
      </c>
      <c r="L148" s="708">
        <f t="shared" si="64"/>
        <v>42217.069075217107</v>
      </c>
      <c r="M148" s="708">
        <f t="shared" si="64"/>
        <v>43230.278733022315</v>
      </c>
      <c r="N148" s="708">
        <f t="shared" si="64"/>
        <v>44267.805422614852</v>
      </c>
      <c r="O148" s="708">
        <f t="shared" si="64"/>
        <v>45330.232752757605</v>
      </c>
      <c r="P148" s="708">
        <f t="shared" si="64"/>
        <v>46418.158338823792</v>
      </c>
      <c r="Q148" s="708">
        <f t="shared" si="64"/>
        <v>47532.194138955565</v>
      </c>
      <c r="R148" s="708">
        <f t="shared" si="64"/>
        <v>48672.966798290501</v>
      </c>
      <c r="S148" s="708">
        <f t="shared" si="64"/>
        <v>49841.118001449482</v>
      </c>
      <c r="T148" s="708">
        <f t="shared" si="64"/>
        <v>51037.304833484261</v>
      </c>
      <c r="U148" s="708">
        <f t="shared" si="64"/>
        <v>52262.200149487886</v>
      </c>
      <c r="V148" s="708">
        <f t="shared" si="64"/>
        <v>53516.492953075598</v>
      </c>
      <c r="W148" s="708">
        <f t="shared" si="64"/>
        <v>54800.88878394942</v>
      </c>
      <c r="X148" s="708">
        <f t="shared" si="64"/>
        <v>56116.110114764189</v>
      </c>
      <c r="Y148" s="685"/>
    </row>
    <row r="149" spans="1:25" s="6" customFormat="1">
      <c r="A149" s="1" t="s">
        <v>907</v>
      </c>
      <c r="B149" s="709"/>
      <c r="E149" s="713">
        <f t="shared" ref="E149:X149" si="65">E137*E143</f>
        <v>11853.680169716181</v>
      </c>
      <c r="F149" s="713">
        <f>F137*F143</f>
        <v>12429.484537640317</v>
      </c>
      <c r="G149" s="713">
        <f t="shared" si="65"/>
        <v>12727.792166543684</v>
      </c>
      <c r="H149" s="713">
        <f t="shared" si="65"/>
        <v>13033.259178540733</v>
      </c>
      <c r="I149" s="713">
        <f t="shared" si="65"/>
        <v>13346.057398825715</v>
      </c>
      <c r="J149" s="713">
        <f t="shared" si="65"/>
        <v>13666.362776397531</v>
      </c>
      <c r="K149" s="713">
        <f t="shared" si="65"/>
        <v>13994.355483031071</v>
      </c>
      <c r="L149" s="713">
        <f t="shared" si="65"/>
        <v>14330.220014623817</v>
      </c>
      <c r="M149" s="713">
        <f t="shared" si="65"/>
        <v>14674.145294974789</v>
      </c>
      <c r="N149" s="713">
        <f t="shared" si="65"/>
        <v>15026.324782054184</v>
      </c>
      <c r="O149" s="713">
        <f t="shared" si="65"/>
        <v>15386.956576823482</v>
      </c>
      <c r="P149" s="713">
        <f t="shared" si="65"/>
        <v>15756.243534667245</v>
      </c>
      <c r="Q149" s="713">
        <f t="shared" si="65"/>
        <v>16134.393379499263</v>
      </c>
      <c r="R149" s="713">
        <f t="shared" si="65"/>
        <v>16521.618820607244</v>
      </c>
      <c r="S149" s="713">
        <f t="shared" si="65"/>
        <v>16918.137672301818</v>
      </c>
      <c r="T149" s="713">
        <f t="shared" si="65"/>
        <v>17324.172976437061</v>
      </c>
      <c r="U149" s="713">
        <f t="shared" si="65"/>
        <v>17739.953127871551</v>
      </c>
      <c r="V149" s="713">
        <f t="shared" si="65"/>
        <v>18165.712002940469</v>
      </c>
      <c r="W149" s="713">
        <f t="shared" si="65"/>
        <v>18601.689091011041</v>
      </c>
      <c r="X149" s="713">
        <f t="shared" si="65"/>
        <v>19048.129629195304</v>
      </c>
      <c r="Y149" s="685"/>
    </row>
    <row r="150" spans="1:25" s="707" customFormat="1">
      <c r="A150" s="707" t="s">
        <v>133</v>
      </c>
      <c r="E150" s="712">
        <f t="shared" ref="E150:X150" si="66">SUM(E147:E149)</f>
        <v>58984.796375593665</v>
      </c>
      <c r="F150" s="712">
        <f t="shared" si="66"/>
        <v>61850.041844334504</v>
      </c>
      <c r="G150" s="712">
        <f t="shared" si="66"/>
        <v>63334.442848598541</v>
      </c>
      <c r="H150" s="712">
        <f t="shared" si="66"/>
        <v>64854.469476964907</v>
      </c>
      <c r="I150" s="712">
        <f t="shared" si="66"/>
        <v>66410.976744412066</v>
      </c>
      <c r="J150" s="712">
        <f t="shared" si="66"/>
        <v>68004.840186277957</v>
      </c>
      <c r="K150" s="712">
        <f t="shared" si="66"/>
        <v>69636.956350748631</v>
      </c>
      <c r="L150" s="712">
        <f t="shared" si="66"/>
        <v>71308.243303166601</v>
      </c>
      <c r="M150" s="712">
        <f t="shared" si="66"/>
        <v>73019.64114244259</v>
      </c>
      <c r="N150" s="712">
        <f t="shared" si="66"/>
        <v>74772.112529861217</v>
      </c>
      <c r="O150" s="712">
        <f t="shared" si="66"/>
        <v>76566.643230577887</v>
      </c>
      <c r="P150" s="712">
        <f t="shared" si="66"/>
        <v>78404.242668111765</v>
      </c>
      <c r="Q150" s="712">
        <f t="shared" si="66"/>
        <v>80285.944492146446</v>
      </c>
      <c r="R150" s="712">
        <f t="shared" si="66"/>
        <v>82212.807159957956</v>
      </c>
      <c r="S150" s="712">
        <f t="shared" si="66"/>
        <v>84185.914531796967</v>
      </c>
      <c r="T150" s="712">
        <f t="shared" si="66"/>
        <v>86206.37648056008</v>
      </c>
      <c r="U150" s="712">
        <f t="shared" si="66"/>
        <v>88275.329516093538</v>
      </c>
      <c r="V150" s="712">
        <f t="shared" si="66"/>
        <v>90393.93742447978</v>
      </c>
      <c r="W150" s="712">
        <f t="shared" si="66"/>
        <v>92563.391922667302</v>
      </c>
      <c r="X150" s="712">
        <f t="shared" si="66"/>
        <v>94784.913328811293</v>
      </c>
      <c r="Y150" s="711"/>
    </row>
    <row r="151" spans="1:25" s="6" customFormat="1">
      <c r="Y151" s="201"/>
    </row>
    <row r="152" spans="1:25" s="6" customFormat="1"/>
    <row r="153" spans="1:25" s="6" customFormat="1"/>
    <row r="154" spans="1:25" s="6" customFormat="1">
      <c r="B154" s="709"/>
      <c r="E154" s="710"/>
      <c r="F154" s="708"/>
      <c r="G154" s="708"/>
      <c r="H154" s="708"/>
      <c r="I154" s="708"/>
      <c r="J154" s="708"/>
      <c r="K154" s="708"/>
      <c r="L154" s="708"/>
      <c r="M154" s="708"/>
      <c r="N154" s="708"/>
      <c r="O154" s="708"/>
      <c r="P154" s="708"/>
      <c r="Q154" s="708"/>
      <c r="R154" s="708"/>
      <c r="S154" s="708"/>
      <c r="T154" s="708"/>
      <c r="U154" s="708"/>
      <c r="V154" s="708"/>
      <c r="W154" s="708"/>
      <c r="X154" s="708"/>
      <c r="Y154" s="708"/>
    </row>
    <row r="155" spans="1:25" s="6" customFormat="1">
      <c r="B155" s="709"/>
      <c r="E155" s="710"/>
      <c r="F155" s="708"/>
      <c r="G155" s="708"/>
      <c r="H155" s="708"/>
      <c r="I155" s="708"/>
      <c r="J155" s="708"/>
      <c r="K155" s="708"/>
      <c r="L155" s="708"/>
      <c r="M155" s="708"/>
      <c r="N155" s="708"/>
      <c r="O155" s="708"/>
      <c r="P155" s="708"/>
      <c r="Q155" s="708"/>
      <c r="R155" s="708"/>
      <c r="S155" s="708"/>
      <c r="T155" s="708"/>
      <c r="U155" s="708"/>
      <c r="V155" s="708"/>
      <c r="W155" s="708"/>
      <c r="X155" s="708"/>
      <c r="Y155" s="708"/>
    </row>
    <row r="156" spans="1:25" s="6" customFormat="1">
      <c r="B156" s="709"/>
      <c r="E156" s="710"/>
      <c r="F156" s="708"/>
      <c r="G156" s="708"/>
      <c r="H156" s="708"/>
      <c r="I156" s="708"/>
      <c r="J156" s="708"/>
      <c r="K156" s="708"/>
      <c r="L156" s="708"/>
      <c r="M156" s="708"/>
      <c r="N156" s="708"/>
      <c r="O156" s="708"/>
      <c r="P156" s="708"/>
      <c r="Q156" s="708"/>
      <c r="R156" s="708"/>
      <c r="S156" s="708"/>
      <c r="T156" s="708"/>
      <c r="U156" s="708"/>
      <c r="V156" s="708"/>
      <c r="W156" s="708"/>
      <c r="X156" s="708"/>
      <c r="Y156" s="708"/>
    </row>
    <row r="157" spans="1:25" s="6" customFormat="1"/>
    <row r="158" spans="1:25" s="6" customFormat="1"/>
    <row r="159" spans="1:25" s="6" customFormat="1"/>
    <row r="160" spans="1:25" s="6" customFormat="1">
      <c r="B160" s="709"/>
      <c r="E160" s="710"/>
      <c r="F160" s="708"/>
      <c r="G160" s="708"/>
      <c r="H160" s="708"/>
      <c r="I160" s="708"/>
      <c r="J160" s="708"/>
      <c r="K160" s="708"/>
      <c r="L160" s="708"/>
      <c r="M160" s="708"/>
      <c r="N160" s="708"/>
      <c r="O160" s="708"/>
      <c r="P160" s="708"/>
      <c r="Q160" s="708"/>
      <c r="R160" s="708"/>
      <c r="S160" s="708"/>
      <c r="T160" s="708"/>
      <c r="U160" s="708"/>
      <c r="V160" s="708"/>
      <c r="W160" s="708"/>
      <c r="X160" s="708"/>
      <c r="Y160" s="708"/>
    </row>
    <row r="161" spans="2:25" s="6" customFormat="1">
      <c r="B161" s="709"/>
      <c r="E161" s="710"/>
      <c r="F161" s="708"/>
      <c r="G161" s="708"/>
      <c r="H161" s="708"/>
      <c r="I161" s="708"/>
      <c r="J161" s="708"/>
      <c r="K161" s="708"/>
      <c r="L161" s="708"/>
      <c r="M161" s="708"/>
      <c r="N161" s="708"/>
      <c r="O161" s="708"/>
      <c r="P161" s="708"/>
      <c r="Q161" s="708"/>
      <c r="R161" s="708"/>
      <c r="S161" s="708"/>
      <c r="T161" s="708"/>
      <c r="U161" s="708"/>
      <c r="V161" s="708"/>
      <c r="W161" s="708"/>
      <c r="X161" s="708"/>
      <c r="Y161" s="708"/>
    </row>
    <row r="162" spans="2:25" s="6" customFormat="1">
      <c r="B162" s="709"/>
      <c r="E162" s="710"/>
      <c r="F162" s="708"/>
      <c r="G162" s="708"/>
      <c r="H162" s="708"/>
      <c r="I162" s="708"/>
      <c r="J162" s="708"/>
      <c r="K162" s="708"/>
      <c r="L162" s="708"/>
      <c r="M162" s="708"/>
      <c r="N162" s="708"/>
      <c r="O162" s="708"/>
      <c r="P162" s="708"/>
      <c r="Q162" s="708"/>
      <c r="R162" s="708"/>
      <c r="S162" s="708"/>
      <c r="T162" s="708"/>
      <c r="U162" s="708"/>
      <c r="V162" s="708"/>
      <c r="W162" s="708"/>
      <c r="X162" s="708"/>
      <c r="Y162" s="708"/>
    </row>
    <row r="163" spans="2:25" s="6" customFormat="1"/>
    <row r="164" spans="2:25" s="6" customFormat="1"/>
    <row r="165" spans="2:25" s="6" customFormat="1"/>
    <row r="166" spans="2:25" s="6" customFormat="1">
      <c r="B166" s="709"/>
      <c r="E166" s="708"/>
      <c r="F166" s="708"/>
      <c r="G166" s="708"/>
      <c r="H166" s="708"/>
      <c r="I166" s="708"/>
      <c r="J166" s="708"/>
      <c r="K166" s="708"/>
      <c r="L166" s="708"/>
      <c r="M166" s="708"/>
      <c r="N166" s="708"/>
      <c r="O166" s="708"/>
      <c r="P166" s="708"/>
      <c r="Q166" s="708"/>
      <c r="R166" s="708"/>
      <c r="S166" s="708"/>
      <c r="T166" s="708"/>
      <c r="U166" s="708"/>
      <c r="V166" s="708"/>
      <c r="W166" s="708"/>
      <c r="X166" s="708"/>
      <c r="Y166" s="708"/>
    </row>
    <row r="167" spans="2:25" s="6" customFormat="1">
      <c r="B167" s="709"/>
      <c r="E167" s="708"/>
      <c r="F167" s="708"/>
      <c r="G167" s="708"/>
      <c r="H167" s="708"/>
      <c r="I167" s="708"/>
      <c r="J167" s="708"/>
      <c r="K167" s="708"/>
      <c r="L167" s="708"/>
      <c r="M167" s="708"/>
      <c r="N167" s="708"/>
      <c r="O167" s="708"/>
      <c r="P167" s="708"/>
      <c r="Q167" s="708"/>
      <c r="R167" s="708"/>
      <c r="S167" s="708"/>
      <c r="T167" s="708"/>
      <c r="U167" s="708"/>
      <c r="V167" s="708"/>
      <c r="W167" s="708"/>
      <c r="X167" s="708"/>
      <c r="Y167" s="708"/>
    </row>
    <row r="168" spans="2:25" s="6" customFormat="1">
      <c r="B168" s="709"/>
      <c r="E168" s="708"/>
      <c r="F168" s="708"/>
      <c r="G168" s="708"/>
      <c r="H168" s="708"/>
      <c r="I168" s="708"/>
      <c r="J168" s="708"/>
      <c r="K168" s="708"/>
      <c r="L168" s="708"/>
      <c r="M168" s="708"/>
      <c r="N168" s="708"/>
      <c r="O168" s="708"/>
      <c r="P168" s="708"/>
      <c r="Q168" s="708"/>
      <c r="R168" s="708"/>
      <c r="S168" s="708"/>
      <c r="T168" s="708"/>
      <c r="U168" s="708"/>
      <c r="V168" s="708"/>
      <c r="W168" s="708"/>
      <c r="X168" s="708"/>
      <c r="Y168" s="708"/>
    </row>
    <row r="169" spans="2:25" s="6" customFormat="1"/>
    <row r="170" spans="2:25" s="6" customFormat="1"/>
    <row r="171" spans="2:25" s="6" customFormat="1"/>
  </sheetData>
  <mergeCells count="1">
    <mergeCell ref="H67:N6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C56"/>
  <sheetViews>
    <sheetView topLeftCell="C1" workbookViewId="0">
      <selection activeCell="C1" sqref="C1"/>
    </sheetView>
  </sheetViews>
  <sheetFormatPr defaultColWidth="9.1796875" defaultRowHeight="14.5"/>
  <cols>
    <col min="1" max="1" width="38.81640625" style="1" customWidth="1"/>
    <col min="2" max="2" width="107.26953125" style="1" bestFit="1" customWidth="1"/>
    <col min="3" max="3" width="223.81640625" style="1" bestFit="1" customWidth="1"/>
    <col min="4" max="16384" width="9.1796875" style="1"/>
  </cols>
  <sheetData>
    <row r="1" spans="1:3">
      <c r="B1" s="1182"/>
      <c r="C1" s="1319" t="s">
        <v>1764</v>
      </c>
    </row>
    <row r="2" spans="1:3" s="1066" customFormat="1" ht="18.5">
      <c r="A2" s="124" t="s">
        <v>1645</v>
      </c>
      <c r="B2" s="1137"/>
      <c r="C2" s="1137"/>
    </row>
    <row r="3" spans="1:3" s="1066" customFormat="1"/>
    <row r="4" spans="1:3" s="3" customFormat="1">
      <c r="A4" s="1183" t="s">
        <v>1664</v>
      </c>
      <c r="B4" s="159" t="s">
        <v>246</v>
      </c>
      <c r="C4" s="3" t="s">
        <v>1665</v>
      </c>
    </row>
    <row r="5" spans="1:3">
      <c r="A5" s="1184" t="s">
        <v>247</v>
      </c>
      <c r="B5" s="154" t="s">
        <v>248</v>
      </c>
    </row>
    <row r="6" spans="1:3">
      <c r="A6" s="1138" t="s">
        <v>249</v>
      </c>
      <c r="B6" s="6" t="s">
        <v>250</v>
      </c>
    </row>
    <row r="7" spans="1:3">
      <c r="A7" s="1138" t="s">
        <v>251</v>
      </c>
      <c r="B7" s="6" t="s">
        <v>252</v>
      </c>
    </row>
    <row r="8" spans="1:3">
      <c r="A8" s="1138" t="s">
        <v>253</v>
      </c>
      <c r="B8" s="6" t="s">
        <v>254</v>
      </c>
    </row>
    <row r="9" spans="1:3">
      <c r="A9" s="1138" t="s">
        <v>255</v>
      </c>
      <c r="B9" s="1" t="s">
        <v>256</v>
      </c>
    </row>
    <row r="10" spans="1:3">
      <c r="A10" s="1138" t="s">
        <v>257</v>
      </c>
      <c r="B10" s="1" t="s">
        <v>258</v>
      </c>
    </row>
    <row r="11" spans="1:3">
      <c r="A11" s="1138" t="s">
        <v>259</v>
      </c>
      <c r="B11" s="1" t="s">
        <v>260</v>
      </c>
    </row>
    <row r="12" spans="1:3">
      <c r="A12" s="1138" t="s">
        <v>261</v>
      </c>
      <c r="B12" s="1" t="s">
        <v>262</v>
      </c>
    </row>
    <row r="13" spans="1:3">
      <c r="A13" s="1138" t="s">
        <v>263</v>
      </c>
      <c r="B13" s="1" t="s">
        <v>264</v>
      </c>
    </row>
    <row r="14" spans="1:3">
      <c r="A14" s="1138" t="s">
        <v>265</v>
      </c>
      <c r="B14" s="1" t="s">
        <v>266</v>
      </c>
    </row>
    <row r="15" spans="1:3">
      <c r="A15" s="1138" t="s">
        <v>267</v>
      </c>
      <c r="B15" s="1" t="s">
        <v>268</v>
      </c>
    </row>
    <row r="16" spans="1:3">
      <c r="A16" s="1138" t="s">
        <v>269</v>
      </c>
      <c r="B16" s="1" t="s">
        <v>270</v>
      </c>
    </row>
    <row r="17" spans="1:3">
      <c r="A17" s="1138" t="s">
        <v>271</v>
      </c>
      <c r="B17" s="1" t="s">
        <v>272</v>
      </c>
    </row>
    <row r="18" spans="1:3">
      <c r="A18" s="1138" t="s">
        <v>1648</v>
      </c>
      <c r="B18" s="1137" t="s">
        <v>1649</v>
      </c>
    </row>
    <row r="19" spans="1:3">
      <c r="A19" s="1138" t="s">
        <v>273</v>
      </c>
      <c r="B19" s="1" t="s">
        <v>274</v>
      </c>
    </row>
    <row r="20" spans="1:3">
      <c r="A20" s="1138" t="s">
        <v>275</v>
      </c>
      <c r="B20" s="1" t="s">
        <v>276</v>
      </c>
    </row>
    <row r="21" spans="1:3">
      <c r="A21" s="1138" t="s">
        <v>277</v>
      </c>
      <c r="B21" s="1" t="s">
        <v>278</v>
      </c>
      <c r="C21" s="1" t="s">
        <v>348</v>
      </c>
    </row>
    <row r="22" spans="1:3" s="1137" customFormat="1">
      <c r="A22" s="1138" t="s">
        <v>279</v>
      </c>
      <c r="B22" s="1" t="s">
        <v>280</v>
      </c>
    </row>
    <row r="23" spans="1:3">
      <c r="A23" s="1138" t="s">
        <v>1647</v>
      </c>
      <c r="B23" s="1138" t="s">
        <v>1643</v>
      </c>
    </row>
    <row r="24" spans="1:3">
      <c r="A24" s="1138" t="s">
        <v>281</v>
      </c>
      <c r="B24" s="1" t="s">
        <v>282</v>
      </c>
    </row>
    <row r="25" spans="1:3">
      <c r="A25" s="1138" t="s">
        <v>283</v>
      </c>
      <c r="B25" s="1" t="s">
        <v>284</v>
      </c>
      <c r="C25" s="1" t="s">
        <v>349</v>
      </c>
    </row>
    <row r="26" spans="1:3">
      <c r="A26" s="1138" t="s">
        <v>285</v>
      </c>
      <c r="B26" s="1" t="s">
        <v>286</v>
      </c>
      <c r="C26" s="1" t="s">
        <v>348</v>
      </c>
    </row>
    <row r="27" spans="1:3">
      <c r="A27" s="1138" t="s">
        <v>287</v>
      </c>
      <c r="B27" s="1" t="s">
        <v>288</v>
      </c>
    </row>
    <row r="28" spans="1:3">
      <c r="A28" s="1138" t="s">
        <v>289</v>
      </c>
      <c r="B28" s="1" t="s">
        <v>290</v>
      </c>
    </row>
    <row r="29" spans="1:3">
      <c r="A29" s="1138" t="s">
        <v>291</v>
      </c>
      <c r="B29" s="1" t="s">
        <v>292</v>
      </c>
    </row>
    <row r="30" spans="1:3">
      <c r="A30" s="1138" t="s">
        <v>293</v>
      </c>
      <c r="B30" s="1" t="s">
        <v>294</v>
      </c>
    </row>
    <row r="31" spans="1:3">
      <c r="A31" s="1138" t="s">
        <v>295</v>
      </c>
      <c r="B31" s="1" t="s">
        <v>296</v>
      </c>
    </row>
    <row r="32" spans="1:3">
      <c r="A32" s="1138" t="s">
        <v>297</v>
      </c>
      <c r="B32" s="1" t="s">
        <v>298</v>
      </c>
    </row>
    <row r="33" spans="1:3">
      <c r="A33" s="1" t="s">
        <v>299</v>
      </c>
      <c r="B33" s="1" t="s">
        <v>300</v>
      </c>
    </row>
    <row r="34" spans="1:3">
      <c r="A34" s="1" t="s">
        <v>301</v>
      </c>
      <c r="B34" s="1" t="s">
        <v>302</v>
      </c>
    </row>
    <row r="35" spans="1:3">
      <c r="A35" s="1" t="s">
        <v>303</v>
      </c>
      <c r="B35" s="1" t="s">
        <v>304</v>
      </c>
    </row>
    <row r="36" spans="1:3">
      <c r="A36" s="1" t="s">
        <v>305</v>
      </c>
      <c r="B36" s="1" t="s">
        <v>306</v>
      </c>
    </row>
    <row r="37" spans="1:3">
      <c r="A37" s="1" t="s">
        <v>307</v>
      </c>
      <c r="B37" s="1" t="s">
        <v>308</v>
      </c>
      <c r="C37" s="1" t="s">
        <v>350</v>
      </c>
    </row>
    <row r="38" spans="1:3">
      <c r="A38" s="1" t="s">
        <v>309</v>
      </c>
      <c r="B38" s="1" t="s">
        <v>310</v>
      </c>
      <c r="C38" s="1" t="s">
        <v>351</v>
      </c>
    </row>
    <row r="39" spans="1:3">
      <c r="A39" s="1" t="s">
        <v>219</v>
      </c>
      <c r="B39" s="1" t="s">
        <v>311</v>
      </c>
    </row>
    <row r="40" spans="1:3">
      <c r="A40" s="1" t="s">
        <v>312</v>
      </c>
      <c r="B40" s="1" t="s">
        <v>304</v>
      </c>
    </row>
    <row r="41" spans="1:3">
      <c r="A41" s="1" t="s">
        <v>313</v>
      </c>
      <c r="B41" s="1" t="s">
        <v>314</v>
      </c>
    </row>
    <row r="42" spans="1:3">
      <c r="B42" s="1" t="s">
        <v>315</v>
      </c>
    </row>
    <row r="43" spans="1:3">
      <c r="B43" s="1" t="s">
        <v>316</v>
      </c>
    </row>
    <row r="44" spans="1:3" s="1137" customFormat="1"/>
    <row r="45" spans="1:3" s="1137" customFormat="1">
      <c r="A45" s="856" t="s">
        <v>317</v>
      </c>
    </row>
    <row r="46" spans="1:3" s="1137" customFormat="1">
      <c r="A46" s="1137" t="s">
        <v>318</v>
      </c>
      <c r="B46" s="1137" t="s">
        <v>319</v>
      </c>
    </row>
    <row r="47" spans="1:3" s="1137" customFormat="1">
      <c r="A47" s="1137" t="s">
        <v>320</v>
      </c>
      <c r="B47" s="1137" t="s">
        <v>321</v>
      </c>
    </row>
    <row r="48" spans="1:3" s="1137" customFormat="1">
      <c r="A48" s="1137" t="s">
        <v>322</v>
      </c>
      <c r="B48" s="1137" t="s">
        <v>323</v>
      </c>
    </row>
    <row r="49" spans="1:2" s="1137" customFormat="1"/>
    <row r="50" spans="1:2" s="1066" customFormat="1">
      <c r="A50" s="1138" t="s">
        <v>1644</v>
      </c>
      <c r="B50" s="1"/>
    </row>
    <row r="51" spans="1:2">
      <c r="B51" s="1066"/>
    </row>
    <row r="52" spans="1:2" s="1137" customFormat="1">
      <c r="A52" s="1066" t="s">
        <v>1666</v>
      </c>
    </row>
    <row r="53" spans="1:2">
      <c r="B53" s="1138"/>
    </row>
    <row r="54" spans="1:2">
      <c r="A54" s="1075"/>
    </row>
    <row r="56" spans="1:2">
      <c r="A56" s="856"/>
    </row>
  </sheetData>
  <pageMargins left="0.25" right="0.25" top="0.75" bottom="0.75" header="0.3" footer="0.3"/>
  <pageSetup scale="4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pageSetUpPr autoPageBreaks="0"/>
  </sheetPr>
  <dimension ref="A2:CJ192"/>
  <sheetViews>
    <sheetView zoomScale="80" zoomScaleNormal="80" workbookViewId="0">
      <pane xSplit="1" ySplit="9" topLeftCell="B10" activePane="bottomRight" state="frozen"/>
      <selection pane="topRight" activeCell="B1" sqref="B1"/>
      <selection pane="bottomLeft" activeCell="A9" sqref="A9"/>
      <selection pane="bottomRight" activeCell="D2" sqref="D2"/>
    </sheetView>
  </sheetViews>
  <sheetFormatPr defaultColWidth="6.7265625" defaultRowHeight="14.5"/>
  <cols>
    <col min="1" max="1" width="3.7265625" style="248" bestFit="1" customWidth="1"/>
    <col min="2" max="2" width="14.453125" style="248" customWidth="1"/>
    <col min="3" max="3" width="24.1796875" style="248" bestFit="1" customWidth="1"/>
    <col min="4" max="4" width="24.54296875" style="248" bestFit="1" customWidth="1"/>
    <col min="5" max="5" width="24.54296875" style="248" customWidth="1"/>
    <col min="6" max="6" width="14" style="248" customWidth="1"/>
    <col min="7" max="7" width="10.7265625" style="248" customWidth="1"/>
    <col min="8" max="8" width="12.26953125" style="824" bestFit="1" customWidth="1"/>
    <col min="9" max="9" width="13" style="825" bestFit="1" customWidth="1"/>
    <col min="10" max="10" width="7" style="825" bestFit="1" customWidth="1"/>
    <col min="11" max="11" width="10.81640625" style="824" bestFit="1" customWidth="1"/>
    <col min="12" max="12" width="11" style="248" bestFit="1" customWidth="1"/>
    <col min="13" max="13" width="16.81640625" style="248" customWidth="1"/>
    <col min="14" max="14" width="11.26953125" style="821" customWidth="1"/>
    <col min="15" max="15" width="13.81640625" style="823" customWidth="1"/>
    <col min="16" max="16" width="14.453125" style="821" customWidth="1"/>
    <col min="17" max="18" width="17.26953125" style="821" customWidth="1"/>
    <col min="19" max="19" width="18.1796875" style="821" customWidth="1"/>
    <col min="20" max="20" width="18.7265625" style="248" customWidth="1"/>
    <col min="21" max="21" width="20" style="820" customWidth="1"/>
    <col min="22" max="31" width="14" style="248" customWidth="1"/>
    <col min="32" max="32" width="10.453125" style="820" customWidth="1"/>
    <col min="33" max="33" width="9.81640625" style="248" customWidth="1"/>
    <col min="34" max="34" width="12.453125" style="248" customWidth="1"/>
    <col min="35" max="35" width="11.81640625" style="821" customWidth="1"/>
    <col min="36" max="36" width="17.26953125" style="820" customWidth="1"/>
    <col min="37" max="37" width="13.7265625" style="820" customWidth="1"/>
    <col min="38" max="38" width="9.1796875" style="248" customWidth="1"/>
    <col min="39" max="39" width="8.81640625" style="820" customWidth="1"/>
    <col min="40" max="40" width="9.54296875" style="248" customWidth="1"/>
    <col min="41" max="41" width="12.453125" style="820" customWidth="1"/>
    <col min="42" max="42" width="8.7265625" style="248" customWidth="1"/>
    <col min="43" max="44" width="9.26953125" style="248" customWidth="1"/>
    <col min="45" max="45" width="6.7265625" style="248"/>
    <col min="46" max="46" width="9.453125" style="248" customWidth="1"/>
    <col min="47" max="47" width="6.7265625" style="248"/>
    <col min="48" max="48" width="8.1796875" style="822" customWidth="1"/>
    <col min="49" max="49" width="9.1796875" style="822" customWidth="1"/>
    <col min="50" max="50" width="10.453125" style="822" customWidth="1"/>
    <col min="51" max="51" width="6.7265625" style="822"/>
    <col min="52" max="52" width="9.54296875" style="822" customWidth="1"/>
    <col min="53" max="53" width="6.7265625" style="822"/>
    <col min="54" max="56" width="9.1796875" style="821" customWidth="1"/>
    <col min="57" max="57" width="10.81640625" style="821" customWidth="1"/>
    <col min="58" max="59" width="9.1796875" style="821" customWidth="1"/>
    <col min="60" max="64" width="13" style="514" customWidth="1"/>
    <col min="65" max="65" width="13" style="248" customWidth="1"/>
    <col min="66" max="77" width="10.54296875" style="514" customWidth="1"/>
    <col min="78" max="78" width="13.7265625" style="820" customWidth="1"/>
    <col min="79" max="79" width="12" style="820" customWidth="1"/>
    <col min="80" max="80" width="13.26953125" style="514" customWidth="1"/>
    <col min="81" max="81" width="11" style="820" customWidth="1"/>
    <col min="82" max="86" width="10.26953125" style="820" customWidth="1"/>
    <col min="87" max="16384" width="6.7265625" style="248"/>
  </cols>
  <sheetData>
    <row r="2" spans="1:87" ht="21">
      <c r="A2" s="1408" t="s">
        <v>730</v>
      </c>
      <c r="B2" s="1408"/>
      <c r="C2" s="1408"/>
      <c r="I2" s="1073"/>
      <c r="CH2" s="1180" t="s">
        <v>1719</v>
      </c>
    </row>
    <row r="3" spans="1:87" ht="21">
      <c r="A3" s="504" t="s">
        <v>786</v>
      </c>
      <c r="B3" s="504"/>
      <c r="C3" s="504"/>
      <c r="D3" s="872"/>
      <c r="E3" s="872"/>
      <c r="F3" s="872"/>
      <c r="G3" s="872"/>
      <c r="H3" s="872"/>
      <c r="I3" s="248"/>
      <c r="J3" s="248"/>
      <c r="K3" s="248"/>
      <c r="L3" s="872"/>
      <c r="M3" s="872"/>
      <c r="CG3" s="248"/>
    </row>
    <row r="4" spans="1:87">
      <c r="B4" s="872"/>
      <c r="C4" s="872"/>
      <c r="D4" s="872"/>
      <c r="E4" s="872"/>
      <c r="F4" s="872"/>
      <c r="G4" s="872"/>
      <c r="H4" s="872"/>
      <c r="I4" s="878"/>
      <c r="J4" s="878"/>
      <c r="K4" s="873"/>
      <c r="L4" s="872"/>
      <c r="M4" s="872"/>
    </row>
    <row r="5" spans="1:87">
      <c r="A5" s="877" t="s">
        <v>986</v>
      </c>
      <c r="B5" s="877"/>
      <c r="C5" s="877"/>
      <c r="D5" s="877"/>
      <c r="E5" s="877"/>
      <c r="F5" s="872"/>
      <c r="G5" s="872"/>
      <c r="H5" s="248"/>
      <c r="I5" s="248"/>
      <c r="J5" s="248"/>
      <c r="K5" s="874"/>
      <c r="M5" s="872"/>
    </row>
    <row r="6" spans="1:87">
      <c r="A6" s="876" t="s">
        <v>1236</v>
      </c>
      <c r="B6" s="876"/>
      <c r="C6" s="876"/>
      <c r="D6" s="876"/>
      <c r="E6" s="876"/>
      <c r="F6" s="871"/>
      <c r="G6" s="871"/>
      <c r="H6" s="871"/>
      <c r="I6" s="875"/>
      <c r="J6" s="875"/>
      <c r="K6" s="874"/>
      <c r="L6" s="873"/>
      <c r="M6" s="872"/>
    </row>
    <row r="7" spans="1:87">
      <c r="H7" s="248"/>
      <c r="I7" s="248"/>
      <c r="J7" s="248"/>
      <c r="K7" s="871"/>
      <c r="L7" s="871"/>
      <c r="M7" s="871"/>
    </row>
    <row r="8" spans="1:87" s="509" customFormat="1">
      <c r="A8" s="870"/>
      <c r="B8" s="870"/>
      <c r="C8" s="870"/>
      <c r="D8" s="870"/>
      <c r="E8" s="1409" t="s">
        <v>741</v>
      </c>
      <c r="F8" s="1409"/>
      <c r="G8" s="1409"/>
      <c r="H8" s="1409"/>
      <c r="I8" s="1409"/>
      <c r="J8" s="1409"/>
      <c r="K8" s="1409"/>
      <c r="L8" s="1409"/>
      <c r="M8" s="1409"/>
      <c r="N8" s="1410" t="s">
        <v>1235</v>
      </c>
      <c r="O8" s="1410"/>
      <c r="P8" s="1410"/>
      <c r="Q8" s="1410"/>
      <c r="R8" s="1410"/>
      <c r="S8" s="1410"/>
      <c r="T8" s="1411" t="s">
        <v>585</v>
      </c>
      <c r="U8" s="1411"/>
      <c r="V8" s="1411"/>
      <c r="W8" s="1411"/>
      <c r="X8" s="1411"/>
      <c r="Y8" s="1411"/>
      <c r="Z8" s="1411"/>
      <c r="AA8" s="1411"/>
      <c r="AB8" s="1411"/>
      <c r="AC8" s="1411"/>
      <c r="AD8" s="1411"/>
      <c r="AE8" s="1411"/>
      <c r="AF8" s="1412" t="s">
        <v>1234</v>
      </c>
      <c r="AG8" s="1412"/>
      <c r="AH8" s="1412"/>
      <c r="AI8" s="1407" t="s">
        <v>1233</v>
      </c>
      <c r="AJ8" s="1407"/>
      <c r="AK8" s="1407"/>
      <c r="AL8" s="1415" t="s">
        <v>1232</v>
      </c>
      <c r="AM8" s="1415"/>
      <c r="AN8" s="1415"/>
      <c r="AO8" s="1415"/>
      <c r="AP8" s="1416" t="s">
        <v>1231</v>
      </c>
      <c r="AQ8" s="1416"/>
      <c r="AR8" s="1416"/>
      <c r="AS8" s="1416"/>
      <c r="AT8" s="1416"/>
      <c r="AU8" s="1416"/>
      <c r="AV8" s="1417" t="s">
        <v>1230</v>
      </c>
      <c r="AW8" s="1417"/>
      <c r="AX8" s="1417"/>
      <c r="AY8" s="1417"/>
      <c r="AZ8" s="1417"/>
      <c r="BA8" s="1417"/>
      <c r="BB8" s="1410" t="s">
        <v>1229</v>
      </c>
      <c r="BC8" s="1410"/>
      <c r="BD8" s="1410"/>
      <c r="BE8" s="1410"/>
      <c r="BF8" s="1410"/>
      <c r="BG8" s="1410"/>
      <c r="BH8" s="1416" t="s">
        <v>1228</v>
      </c>
      <c r="BI8" s="1416"/>
      <c r="BJ8" s="1416"/>
      <c r="BK8" s="1416"/>
      <c r="BL8" s="1416"/>
      <c r="BM8" s="1416"/>
      <c r="BN8" s="1418" t="s">
        <v>1227</v>
      </c>
      <c r="BO8" s="1418"/>
      <c r="BP8" s="1418"/>
      <c r="BQ8" s="1418"/>
      <c r="BR8" s="1418"/>
      <c r="BS8" s="1418"/>
      <c r="BT8" s="1413" t="s">
        <v>1226</v>
      </c>
      <c r="BU8" s="1413"/>
      <c r="BV8" s="1413"/>
      <c r="BW8" s="1413"/>
      <c r="BX8" s="1413"/>
      <c r="BY8" s="1413"/>
      <c r="BZ8" s="1414" t="s">
        <v>1225</v>
      </c>
      <c r="CA8" s="1414"/>
      <c r="CB8" s="1414"/>
      <c r="CC8" s="1414"/>
      <c r="CD8" s="1414"/>
      <c r="CE8" s="1414"/>
      <c r="CF8" s="1414"/>
      <c r="CG8" s="1414"/>
      <c r="CH8" s="1414"/>
    </row>
    <row r="9" spans="1:87" s="862" customFormat="1" ht="87.5" thickBot="1">
      <c r="A9" s="865" t="s">
        <v>1224</v>
      </c>
      <c r="B9" s="865" t="s">
        <v>1223</v>
      </c>
      <c r="C9" s="865" t="s">
        <v>1222</v>
      </c>
      <c r="D9" s="865" t="s">
        <v>1221</v>
      </c>
      <c r="E9" s="865" t="s">
        <v>1220</v>
      </c>
      <c r="F9" s="865"/>
      <c r="G9" s="865" t="s">
        <v>1219</v>
      </c>
      <c r="H9" s="868"/>
      <c r="I9" s="869" t="s">
        <v>1218</v>
      </c>
      <c r="J9" s="869" t="s">
        <v>1217</v>
      </c>
      <c r="K9" s="868" t="s">
        <v>653</v>
      </c>
      <c r="L9" s="865" t="s">
        <v>1216</v>
      </c>
      <c r="M9" s="865" t="s">
        <v>1215</v>
      </c>
      <c r="N9" s="866" t="s">
        <v>1214</v>
      </c>
      <c r="O9" s="867" t="s">
        <v>1213</v>
      </c>
      <c r="P9" s="866" t="s">
        <v>1212</v>
      </c>
      <c r="Q9" s="866" t="s">
        <v>1211</v>
      </c>
      <c r="R9" s="866" t="s">
        <v>1210</v>
      </c>
      <c r="S9" s="866" t="s">
        <v>1209</v>
      </c>
      <c r="T9" s="865" t="s">
        <v>1208</v>
      </c>
      <c r="U9" s="863" t="s">
        <v>1207</v>
      </c>
      <c r="V9" s="865" t="s">
        <v>1206</v>
      </c>
      <c r="W9" s="865" t="s">
        <v>1205</v>
      </c>
      <c r="X9" s="865" t="s">
        <v>1204</v>
      </c>
      <c r="Y9" s="865" t="s">
        <v>1203</v>
      </c>
      <c r="Z9" s="865" t="s">
        <v>1202</v>
      </c>
      <c r="AA9" s="865" t="s">
        <v>1201</v>
      </c>
      <c r="AB9" s="865" t="s">
        <v>1200</v>
      </c>
      <c r="AC9" s="865" t="s">
        <v>1199</v>
      </c>
      <c r="AD9" s="865" t="s">
        <v>1198</v>
      </c>
      <c r="AE9" s="865" t="s">
        <v>1197</v>
      </c>
      <c r="AF9" s="863" t="s">
        <v>1196</v>
      </c>
      <c r="AG9" s="865" t="s">
        <v>1195</v>
      </c>
      <c r="AH9" s="865" t="s">
        <v>1194</v>
      </c>
      <c r="AI9" s="866" t="s">
        <v>1193</v>
      </c>
      <c r="AJ9" s="863" t="s">
        <v>1192</v>
      </c>
      <c r="AK9" s="863" t="s">
        <v>1191</v>
      </c>
      <c r="AL9" s="865" t="s">
        <v>1190</v>
      </c>
      <c r="AM9" s="863" t="s">
        <v>1189</v>
      </c>
      <c r="AN9" s="865" t="s">
        <v>1188</v>
      </c>
      <c r="AO9" s="863" t="s">
        <v>1187</v>
      </c>
      <c r="AP9" s="865" t="s">
        <v>1180</v>
      </c>
      <c r="AQ9" s="865" t="s">
        <v>1179</v>
      </c>
      <c r="AR9" s="865" t="s">
        <v>1178</v>
      </c>
      <c r="AS9" s="865" t="s">
        <v>1177</v>
      </c>
      <c r="AT9" s="865" t="s">
        <v>1176</v>
      </c>
      <c r="AU9" s="865" t="s">
        <v>173</v>
      </c>
      <c r="AV9" s="865" t="s">
        <v>1180</v>
      </c>
      <c r="AW9" s="865" t="s">
        <v>1179</v>
      </c>
      <c r="AX9" s="865" t="s">
        <v>1178</v>
      </c>
      <c r="AY9" s="865" t="s">
        <v>1177</v>
      </c>
      <c r="AZ9" s="865" t="s">
        <v>1176</v>
      </c>
      <c r="BA9" s="865" t="s">
        <v>173</v>
      </c>
      <c r="BB9" s="866" t="s">
        <v>1180</v>
      </c>
      <c r="BC9" s="866" t="s">
        <v>1179</v>
      </c>
      <c r="BD9" s="866" t="s">
        <v>1178</v>
      </c>
      <c r="BE9" s="866" t="s">
        <v>1177</v>
      </c>
      <c r="BF9" s="866" t="s">
        <v>1176</v>
      </c>
      <c r="BG9" s="866" t="s">
        <v>173</v>
      </c>
      <c r="BH9" s="864" t="s">
        <v>1186</v>
      </c>
      <c r="BI9" s="864" t="s">
        <v>1185</v>
      </c>
      <c r="BJ9" s="864" t="s">
        <v>1184</v>
      </c>
      <c r="BK9" s="864" t="s">
        <v>1183</v>
      </c>
      <c r="BL9" s="864" t="s">
        <v>1182</v>
      </c>
      <c r="BM9" s="865" t="s">
        <v>1181</v>
      </c>
      <c r="BN9" s="864" t="s">
        <v>1180</v>
      </c>
      <c r="BO9" s="864" t="s">
        <v>1179</v>
      </c>
      <c r="BP9" s="864" t="s">
        <v>1178</v>
      </c>
      <c r="BQ9" s="864" t="s">
        <v>1177</v>
      </c>
      <c r="BR9" s="864" t="s">
        <v>1176</v>
      </c>
      <c r="BS9" s="864" t="s">
        <v>173</v>
      </c>
      <c r="BT9" s="864" t="s">
        <v>1175</v>
      </c>
      <c r="BU9" s="864" t="s">
        <v>1174</v>
      </c>
      <c r="BV9" s="864" t="s">
        <v>1173</v>
      </c>
      <c r="BW9" s="864" t="s">
        <v>1172</v>
      </c>
      <c r="BX9" s="864" t="s">
        <v>1171</v>
      </c>
      <c r="BY9" s="864" t="s">
        <v>1170</v>
      </c>
      <c r="BZ9" s="863" t="s">
        <v>1169</v>
      </c>
      <c r="CA9" s="863" t="s">
        <v>1168</v>
      </c>
      <c r="CB9" s="864" t="s">
        <v>1167</v>
      </c>
      <c r="CC9" s="863" t="s">
        <v>1166</v>
      </c>
      <c r="CD9" s="863" t="s">
        <v>1165</v>
      </c>
      <c r="CE9" s="863" t="s">
        <v>1164</v>
      </c>
      <c r="CF9" s="863" t="s">
        <v>1163</v>
      </c>
      <c r="CG9" s="863" t="s">
        <v>1162</v>
      </c>
      <c r="CH9" s="863" t="s">
        <v>1161</v>
      </c>
      <c r="CI9" s="1188"/>
    </row>
    <row r="10" spans="1:87" s="822" customFormat="1" ht="16.5" customHeight="1" thickTop="1">
      <c r="A10" s="861">
        <v>1</v>
      </c>
      <c r="B10" s="861"/>
      <c r="C10" s="861" t="s">
        <v>79</v>
      </c>
      <c r="D10" s="1" t="s">
        <v>1133</v>
      </c>
      <c r="E10" s="102">
        <v>32000</v>
      </c>
      <c r="F10" s="855"/>
      <c r="G10" s="850">
        <f t="shared" ref="G10:G34" si="0">F10/E10</f>
        <v>0</v>
      </c>
      <c r="H10" s="849"/>
      <c r="I10" s="848"/>
      <c r="J10" s="848"/>
      <c r="K10" s="847"/>
      <c r="L10" s="841">
        <v>6</v>
      </c>
      <c r="M10" s="846">
        <f t="shared" ref="M10:M34" si="1">F10/L10</f>
        <v>0</v>
      </c>
      <c r="N10" s="860" t="s">
        <v>1160</v>
      </c>
      <c r="O10" s="849" t="s">
        <v>1159</v>
      </c>
      <c r="P10" s="844" t="e">
        <f>(N10/F10)</f>
        <v>#VALUE!</v>
      </c>
      <c r="Q10" s="860" t="s">
        <v>1158</v>
      </c>
      <c r="R10" s="844" t="e">
        <f t="shared" ref="R10:R34" si="2">Q10/8</f>
        <v>#VALUE!</v>
      </c>
      <c r="S10" s="844" t="s">
        <v>1157</v>
      </c>
      <c r="T10" s="841" t="s">
        <v>1156</v>
      </c>
      <c r="U10" s="843">
        <v>0.10100000000000001</v>
      </c>
      <c r="V10" s="822" t="e">
        <f t="shared" ref="V10:V34" si="3">T10*U10</f>
        <v>#VALUE!</v>
      </c>
      <c r="AF10" s="857" t="s">
        <v>1155</v>
      </c>
      <c r="AG10" s="841" t="s">
        <v>1154</v>
      </c>
      <c r="AH10" s="841" t="s">
        <v>1153</v>
      </c>
      <c r="AI10" s="860" t="s">
        <v>1152</v>
      </c>
      <c r="AJ10" s="857" t="s">
        <v>224</v>
      </c>
      <c r="AK10" s="857" t="s">
        <v>224</v>
      </c>
      <c r="AL10" s="841" t="s">
        <v>1151</v>
      </c>
      <c r="AM10" s="857" t="s">
        <v>1150</v>
      </c>
      <c r="AN10" s="841" t="s">
        <v>1149</v>
      </c>
      <c r="AO10" s="857" t="s">
        <v>1148</v>
      </c>
      <c r="AP10" s="841" t="s">
        <v>1147</v>
      </c>
      <c r="AQ10" s="841" t="s">
        <v>1147</v>
      </c>
      <c r="AR10" s="841" t="s">
        <v>1147</v>
      </c>
      <c r="AS10" s="841" t="s">
        <v>1147</v>
      </c>
      <c r="AT10" s="841" t="s">
        <v>1147</v>
      </c>
      <c r="AU10" s="841" t="s">
        <v>1147</v>
      </c>
      <c r="AV10" s="841" t="s">
        <v>1146</v>
      </c>
      <c r="AW10" s="841" t="s">
        <v>1146</v>
      </c>
      <c r="AX10" s="841" t="s">
        <v>1146</v>
      </c>
      <c r="AY10" s="841" t="s">
        <v>1146</v>
      </c>
      <c r="AZ10" s="841" t="s">
        <v>1146</v>
      </c>
      <c r="BA10" s="841" t="s">
        <v>1146</v>
      </c>
      <c r="BB10" s="860" t="s">
        <v>1145</v>
      </c>
      <c r="BC10" s="860" t="s">
        <v>1145</v>
      </c>
      <c r="BD10" s="860" t="s">
        <v>1145</v>
      </c>
      <c r="BE10" s="860" t="s">
        <v>1145</v>
      </c>
      <c r="BF10" s="860" t="s">
        <v>1145</v>
      </c>
      <c r="BG10" s="860" t="s">
        <v>1145</v>
      </c>
      <c r="BH10" s="839" t="e">
        <f t="shared" ref="BH10:BH34" si="4">BN10*AV10*L10/20</f>
        <v>#VALUE!</v>
      </c>
      <c r="BI10" s="839" t="e">
        <f t="shared" ref="BI10:BI34" si="5">BO10*AW10*L10/20</f>
        <v>#VALUE!</v>
      </c>
      <c r="BJ10" s="839" t="e">
        <f t="shared" ref="BJ10:BJ34" si="6">BP10*AX10*HB10/20</f>
        <v>#VALUE!</v>
      </c>
      <c r="BK10" s="839" t="e">
        <f t="shared" ref="BK10:BK34" si="7">BQ10*AY10*L10/20</f>
        <v>#VALUE!</v>
      </c>
      <c r="BL10" s="839" t="e">
        <f t="shared" ref="BL10:BL34" si="8">BR10*AZ10*L10/20</f>
        <v>#VALUE!</v>
      </c>
      <c r="BM10" s="839" t="e">
        <f t="shared" ref="BM10:BM34" si="9">BS10*BA10*L10/20</f>
        <v>#VALUE!</v>
      </c>
      <c r="BN10" s="858" t="s">
        <v>1144</v>
      </c>
      <c r="BO10" s="858" t="s">
        <v>1144</v>
      </c>
      <c r="BP10" s="858" t="s">
        <v>1144</v>
      </c>
      <c r="BQ10" s="858" t="s">
        <v>1144</v>
      </c>
      <c r="BR10" s="858" t="s">
        <v>1144</v>
      </c>
      <c r="BS10" s="858" t="s">
        <v>1144</v>
      </c>
      <c r="BT10" s="858"/>
      <c r="BU10" s="858"/>
      <c r="BV10" s="858"/>
      <c r="BW10" s="858"/>
      <c r="BX10" s="858"/>
      <c r="BY10" s="858"/>
      <c r="BZ10" s="857" t="s">
        <v>224</v>
      </c>
      <c r="CA10" s="859">
        <v>0.26</v>
      </c>
      <c r="CB10" s="858" t="s">
        <v>1143</v>
      </c>
      <c r="CC10" s="857" t="s">
        <v>224</v>
      </c>
      <c r="CD10" s="857" t="s">
        <v>224</v>
      </c>
      <c r="CE10" s="857" t="s">
        <v>224</v>
      </c>
      <c r="CF10" s="857" t="s">
        <v>224</v>
      </c>
      <c r="CG10" s="857" t="s">
        <v>224</v>
      </c>
      <c r="CH10" s="857" t="s">
        <v>224</v>
      </c>
    </row>
    <row r="11" spans="1:87">
      <c r="A11" s="852">
        <v>2</v>
      </c>
      <c r="B11" s="852"/>
      <c r="C11" s="852" t="s">
        <v>757</v>
      </c>
      <c r="D11" s="856" t="s">
        <v>1133</v>
      </c>
      <c r="E11" s="102">
        <v>16000</v>
      </c>
      <c r="F11" s="855"/>
      <c r="G11" s="850">
        <f t="shared" si="0"/>
        <v>0</v>
      </c>
      <c r="H11" s="849"/>
      <c r="I11" s="848"/>
      <c r="J11" s="848"/>
      <c r="K11" s="847"/>
      <c r="L11" s="841">
        <v>6</v>
      </c>
      <c r="M11" s="846">
        <f t="shared" si="1"/>
        <v>0</v>
      </c>
      <c r="N11" s="840"/>
      <c r="O11" s="845"/>
      <c r="P11" s="844" t="e">
        <f t="shared" ref="P11:P34" si="10">(N11/F11)*1000</f>
        <v>#DIV/0!</v>
      </c>
      <c r="Q11" s="840"/>
      <c r="R11" s="844">
        <f t="shared" si="2"/>
        <v>0</v>
      </c>
      <c r="T11" s="842"/>
      <c r="U11" s="843">
        <v>0.10100000000000001</v>
      </c>
      <c r="V11" s="822">
        <f t="shared" si="3"/>
        <v>0</v>
      </c>
      <c r="W11" s="822"/>
      <c r="X11" s="822"/>
      <c r="Y11" s="822"/>
      <c r="Z11" s="822"/>
      <c r="AA11" s="822"/>
      <c r="AB11" s="822"/>
      <c r="AC11" s="822"/>
      <c r="AD11" s="822"/>
      <c r="AE11" s="822"/>
      <c r="AF11" s="837"/>
      <c r="AG11" s="842"/>
      <c r="AH11" s="842"/>
      <c r="AI11" s="840"/>
      <c r="AJ11" s="837"/>
      <c r="AK11" s="837"/>
      <c r="AL11" s="842"/>
      <c r="AM11" s="837"/>
      <c r="AN11" s="842"/>
      <c r="AO11" s="837"/>
      <c r="AP11" s="842"/>
      <c r="AQ11" s="842"/>
      <c r="AR11" s="842"/>
      <c r="AS11" s="842"/>
      <c r="AT11" s="842"/>
      <c r="AU11" s="842"/>
      <c r="AV11" s="841"/>
      <c r="AW11" s="841"/>
      <c r="AX11" s="841"/>
      <c r="AY11" s="841"/>
      <c r="AZ11" s="841"/>
      <c r="BA11" s="841"/>
      <c r="BB11" s="840"/>
      <c r="BC11" s="840"/>
      <c r="BD11" s="840"/>
      <c r="BE11" s="840"/>
      <c r="BF11" s="840"/>
      <c r="BG11" s="840"/>
      <c r="BH11" s="839">
        <f t="shared" si="4"/>
        <v>0</v>
      </c>
      <c r="BI11" s="839">
        <f t="shared" si="5"/>
        <v>0</v>
      </c>
      <c r="BJ11" s="839">
        <f t="shared" si="6"/>
        <v>0</v>
      </c>
      <c r="BK11" s="839">
        <f t="shared" si="7"/>
        <v>0</v>
      </c>
      <c r="BL11" s="839">
        <f t="shared" si="8"/>
        <v>0</v>
      </c>
      <c r="BM11" s="839">
        <f t="shared" si="9"/>
        <v>0</v>
      </c>
      <c r="BN11" s="838"/>
      <c r="BO11" s="838"/>
      <c r="BP11" s="838"/>
      <c r="BQ11" s="838"/>
      <c r="BR11" s="838"/>
      <c r="BS11" s="838"/>
      <c r="BT11" s="838"/>
      <c r="BU11" s="838"/>
      <c r="BV11" s="838"/>
      <c r="BW11" s="838"/>
      <c r="BX11" s="838"/>
      <c r="BY11" s="838"/>
      <c r="BZ11" s="837"/>
      <c r="CA11" s="522"/>
      <c r="CB11" s="838"/>
      <c r="CC11" s="837"/>
      <c r="CD11" s="837"/>
      <c r="CE11" s="837"/>
      <c r="CF11" s="837"/>
      <c r="CG11" s="837"/>
      <c r="CH11" s="837"/>
    </row>
    <row r="12" spans="1:87">
      <c r="A12" s="852">
        <v>3</v>
      </c>
      <c r="B12" s="852"/>
      <c r="C12" s="852" t="s">
        <v>81</v>
      </c>
      <c r="D12" s="1" t="s">
        <v>1133</v>
      </c>
      <c r="E12" s="102">
        <v>27000</v>
      </c>
      <c r="F12" s="855"/>
      <c r="G12" s="850">
        <f t="shared" si="0"/>
        <v>0</v>
      </c>
      <c r="H12" s="849"/>
      <c r="I12" s="848"/>
      <c r="J12" s="848"/>
      <c r="K12" s="847"/>
      <c r="L12" s="841">
        <v>6</v>
      </c>
      <c r="M12" s="846">
        <f t="shared" si="1"/>
        <v>0</v>
      </c>
      <c r="N12" s="840"/>
      <c r="O12" s="845"/>
      <c r="P12" s="844" t="e">
        <f t="shared" si="10"/>
        <v>#DIV/0!</v>
      </c>
      <c r="Q12" s="840"/>
      <c r="R12" s="844">
        <f t="shared" si="2"/>
        <v>0</v>
      </c>
      <c r="T12" s="842"/>
      <c r="U12" s="843">
        <v>0.10100000000000001</v>
      </c>
      <c r="V12" s="822">
        <f t="shared" si="3"/>
        <v>0</v>
      </c>
      <c r="W12" s="822"/>
      <c r="X12" s="822"/>
      <c r="Y12" s="822"/>
      <c r="Z12" s="822"/>
      <c r="AA12" s="822"/>
      <c r="AB12" s="822"/>
      <c r="AC12" s="822"/>
      <c r="AD12" s="822"/>
      <c r="AE12" s="822"/>
      <c r="AF12" s="837"/>
      <c r="AG12" s="842"/>
      <c r="AH12" s="842"/>
      <c r="AI12" s="840"/>
      <c r="AJ12" s="837"/>
      <c r="AK12" s="837"/>
      <c r="AL12" s="842"/>
      <c r="AM12" s="837"/>
      <c r="AN12" s="842"/>
      <c r="AO12" s="837"/>
      <c r="AP12" s="842"/>
      <c r="AQ12" s="842"/>
      <c r="AR12" s="842"/>
      <c r="AS12" s="842"/>
      <c r="AT12" s="842"/>
      <c r="AU12" s="842"/>
      <c r="AV12" s="841"/>
      <c r="AW12" s="841"/>
      <c r="AX12" s="841"/>
      <c r="AY12" s="841"/>
      <c r="AZ12" s="841"/>
      <c r="BA12" s="841"/>
      <c r="BB12" s="840"/>
      <c r="BC12" s="840"/>
      <c r="BD12" s="840"/>
      <c r="BE12" s="840"/>
      <c r="BF12" s="840"/>
      <c r="BG12" s="840"/>
      <c r="BH12" s="839">
        <f t="shared" si="4"/>
        <v>0</v>
      </c>
      <c r="BI12" s="839">
        <f t="shared" si="5"/>
        <v>0</v>
      </c>
      <c r="BJ12" s="839">
        <f t="shared" si="6"/>
        <v>0</v>
      </c>
      <c r="BK12" s="839">
        <f t="shared" si="7"/>
        <v>0</v>
      </c>
      <c r="BL12" s="839">
        <f t="shared" si="8"/>
        <v>0</v>
      </c>
      <c r="BM12" s="839">
        <f t="shared" si="9"/>
        <v>0</v>
      </c>
      <c r="BN12" s="838"/>
      <c r="BO12" s="838"/>
      <c r="BP12" s="838"/>
      <c r="BQ12" s="838"/>
      <c r="BR12" s="838"/>
      <c r="BS12" s="838"/>
      <c r="BT12" s="838"/>
      <c r="BU12" s="838"/>
      <c r="BV12" s="838"/>
      <c r="BW12" s="838"/>
      <c r="BX12" s="838"/>
      <c r="BY12" s="838"/>
      <c r="BZ12" s="837"/>
      <c r="CA12" s="522"/>
      <c r="CB12" s="838"/>
      <c r="CC12" s="837"/>
      <c r="CD12" s="837"/>
      <c r="CE12" s="837"/>
      <c r="CF12" s="837"/>
      <c r="CG12" s="837"/>
      <c r="CH12" s="837"/>
    </row>
    <row r="13" spans="1:87">
      <c r="A13" s="852">
        <v>4</v>
      </c>
      <c r="B13" s="852"/>
      <c r="C13" s="852" t="s">
        <v>86</v>
      </c>
      <c r="D13" s="1" t="s">
        <v>1142</v>
      </c>
      <c r="E13" s="102">
        <v>70000</v>
      </c>
      <c r="F13" s="855"/>
      <c r="G13" s="850">
        <f t="shared" si="0"/>
        <v>0</v>
      </c>
      <c r="H13" s="849"/>
      <c r="I13" s="848"/>
      <c r="J13" s="848"/>
      <c r="K13" s="847"/>
      <c r="L13" s="841">
        <v>6</v>
      </c>
      <c r="M13" s="846">
        <f t="shared" si="1"/>
        <v>0</v>
      </c>
      <c r="N13" s="840"/>
      <c r="O13" s="845"/>
      <c r="P13" s="844" t="e">
        <f t="shared" si="10"/>
        <v>#DIV/0!</v>
      </c>
      <c r="Q13" s="840"/>
      <c r="R13" s="844">
        <f t="shared" si="2"/>
        <v>0</v>
      </c>
      <c r="T13" s="842"/>
      <c r="U13" s="843">
        <v>0.10100000000000001</v>
      </c>
      <c r="V13" s="822">
        <f t="shared" si="3"/>
        <v>0</v>
      </c>
      <c r="W13" s="822"/>
      <c r="X13" s="822"/>
      <c r="Y13" s="822"/>
      <c r="Z13" s="822"/>
      <c r="AA13" s="822"/>
      <c r="AB13" s="822"/>
      <c r="AC13" s="822"/>
      <c r="AD13" s="822"/>
      <c r="AE13" s="822"/>
      <c r="AF13" s="837"/>
      <c r="AG13" s="842"/>
      <c r="AH13" s="842"/>
      <c r="AI13" s="840"/>
      <c r="AJ13" s="837"/>
      <c r="AK13" s="837"/>
      <c r="AL13" s="842"/>
      <c r="AM13" s="837"/>
      <c r="AN13" s="842"/>
      <c r="AO13" s="837"/>
      <c r="AP13" s="842"/>
      <c r="AQ13" s="842"/>
      <c r="AR13" s="842"/>
      <c r="AS13" s="842"/>
      <c r="AT13" s="842"/>
      <c r="AU13" s="842"/>
      <c r="AV13" s="841"/>
      <c r="AW13" s="841"/>
      <c r="AX13" s="841"/>
      <c r="AY13" s="841"/>
      <c r="AZ13" s="841"/>
      <c r="BA13" s="841"/>
      <c r="BB13" s="840"/>
      <c r="BC13" s="840"/>
      <c r="BD13" s="840"/>
      <c r="BE13" s="840"/>
      <c r="BF13" s="840"/>
      <c r="BG13" s="840"/>
      <c r="BH13" s="839">
        <f t="shared" si="4"/>
        <v>0</v>
      </c>
      <c r="BI13" s="839">
        <f t="shared" si="5"/>
        <v>0</v>
      </c>
      <c r="BJ13" s="839">
        <f t="shared" si="6"/>
        <v>0</v>
      </c>
      <c r="BK13" s="839">
        <f t="shared" si="7"/>
        <v>0</v>
      </c>
      <c r="BL13" s="839">
        <f t="shared" si="8"/>
        <v>0</v>
      </c>
      <c r="BM13" s="839">
        <f t="shared" si="9"/>
        <v>0</v>
      </c>
      <c r="BN13" s="838"/>
      <c r="BO13" s="838"/>
      <c r="BP13" s="838"/>
      <c r="BQ13" s="838"/>
      <c r="BR13" s="838"/>
      <c r="BS13" s="838"/>
      <c r="BT13" s="838"/>
      <c r="BU13" s="838"/>
      <c r="BV13" s="838"/>
      <c r="BW13" s="838"/>
      <c r="BX13" s="838"/>
      <c r="BY13" s="838"/>
      <c r="BZ13" s="837"/>
      <c r="CA13" s="522"/>
      <c r="CB13" s="838"/>
      <c r="CC13" s="837"/>
      <c r="CD13" s="837"/>
      <c r="CE13" s="837"/>
      <c r="CF13" s="837"/>
      <c r="CG13" s="837"/>
      <c r="CH13" s="837"/>
    </row>
    <row r="14" spans="1:87">
      <c r="A14" s="852">
        <v>5</v>
      </c>
      <c r="B14" s="852"/>
      <c r="C14" s="852" t="s">
        <v>501</v>
      </c>
      <c r="D14" s="1" t="s">
        <v>1141</v>
      </c>
      <c r="E14" s="102">
        <v>13000</v>
      </c>
      <c r="F14" s="855"/>
      <c r="G14" s="850">
        <f t="shared" si="0"/>
        <v>0</v>
      </c>
      <c r="H14" s="849"/>
      <c r="I14" s="848"/>
      <c r="J14" s="848"/>
      <c r="K14" s="847"/>
      <c r="L14" s="841">
        <v>6</v>
      </c>
      <c r="M14" s="846">
        <f t="shared" si="1"/>
        <v>0</v>
      </c>
      <c r="N14" s="840"/>
      <c r="O14" s="845"/>
      <c r="P14" s="844" t="e">
        <f t="shared" si="10"/>
        <v>#DIV/0!</v>
      </c>
      <c r="Q14" s="840"/>
      <c r="R14" s="844">
        <f t="shared" si="2"/>
        <v>0</v>
      </c>
      <c r="T14" s="842"/>
      <c r="U14" s="843">
        <v>0.10100000000000001</v>
      </c>
      <c r="V14" s="822">
        <f t="shared" si="3"/>
        <v>0</v>
      </c>
      <c r="W14" s="822"/>
      <c r="X14" s="822"/>
      <c r="Y14" s="822"/>
      <c r="Z14" s="822"/>
      <c r="AA14" s="822"/>
      <c r="AB14" s="822"/>
      <c r="AC14" s="822"/>
      <c r="AD14" s="822"/>
      <c r="AE14" s="822"/>
      <c r="AF14" s="837"/>
      <c r="AG14" s="842"/>
      <c r="AH14" s="842"/>
      <c r="AI14" s="840"/>
      <c r="AJ14" s="837"/>
      <c r="AK14" s="837"/>
      <c r="AL14" s="842"/>
      <c r="AM14" s="837"/>
      <c r="AN14" s="842"/>
      <c r="AO14" s="837"/>
      <c r="AP14" s="842"/>
      <c r="AQ14" s="842"/>
      <c r="AR14" s="842"/>
      <c r="AS14" s="842"/>
      <c r="AT14" s="842"/>
      <c r="AU14" s="842"/>
      <c r="AV14" s="841"/>
      <c r="AW14" s="841"/>
      <c r="AX14" s="841"/>
      <c r="AY14" s="841"/>
      <c r="AZ14" s="841"/>
      <c r="BA14" s="841"/>
      <c r="BB14" s="840"/>
      <c r="BC14" s="840"/>
      <c r="BD14" s="840"/>
      <c r="BE14" s="840"/>
      <c r="BF14" s="840"/>
      <c r="BG14" s="840"/>
      <c r="BH14" s="839">
        <f t="shared" si="4"/>
        <v>0</v>
      </c>
      <c r="BI14" s="839">
        <f t="shared" si="5"/>
        <v>0</v>
      </c>
      <c r="BJ14" s="839">
        <f t="shared" si="6"/>
        <v>0</v>
      </c>
      <c r="BK14" s="839">
        <f t="shared" si="7"/>
        <v>0</v>
      </c>
      <c r="BL14" s="839">
        <f t="shared" si="8"/>
        <v>0</v>
      </c>
      <c r="BM14" s="839">
        <f t="shared" si="9"/>
        <v>0</v>
      </c>
      <c r="BN14" s="838"/>
      <c r="BO14" s="838"/>
      <c r="BP14" s="838"/>
      <c r="BQ14" s="838"/>
      <c r="BR14" s="838"/>
      <c r="BS14" s="838"/>
      <c r="BT14" s="838"/>
      <c r="BU14" s="838"/>
      <c r="BV14" s="838"/>
      <c r="BW14" s="838"/>
      <c r="BX14" s="838"/>
      <c r="BY14" s="838"/>
      <c r="BZ14" s="837"/>
      <c r="CA14" s="522"/>
      <c r="CB14" s="838"/>
      <c r="CC14" s="837"/>
      <c r="CD14" s="837"/>
      <c r="CE14" s="837"/>
      <c r="CF14" s="837"/>
      <c r="CG14" s="837"/>
      <c r="CH14" s="837"/>
    </row>
    <row r="15" spans="1:87">
      <c r="A15" s="852">
        <v>6</v>
      </c>
      <c r="B15" s="852"/>
      <c r="C15" s="852" t="s">
        <v>756</v>
      </c>
      <c r="D15" s="856" t="s">
        <v>1133</v>
      </c>
      <c r="E15" s="102">
        <v>80000</v>
      </c>
      <c r="F15" s="855"/>
      <c r="G15" s="850">
        <f t="shared" si="0"/>
        <v>0</v>
      </c>
      <c r="H15" s="849"/>
      <c r="I15" s="848"/>
      <c r="J15" s="848"/>
      <c r="K15" s="847"/>
      <c r="L15" s="841">
        <v>6</v>
      </c>
      <c r="M15" s="846">
        <f t="shared" si="1"/>
        <v>0</v>
      </c>
      <c r="N15" s="840"/>
      <c r="O15" s="845"/>
      <c r="P15" s="844" t="e">
        <f t="shared" si="10"/>
        <v>#DIV/0!</v>
      </c>
      <c r="Q15" s="840"/>
      <c r="R15" s="844">
        <f t="shared" si="2"/>
        <v>0</v>
      </c>
      <c r="T15" s="842"/>
      <c r="U15" s="843">
        <v>0.10100000000000001</v>
      </c>
      <c r="V15" s="822">
        <f t="shared" si="3"/>
        <v>0</v>
      </c>
      <c r="W15" s="822"/>
      <c r="X15" s="822"/>
      <c r="Y15" s="822"/>
      <c r="Z15" s="822"/>
      <c r="AA15" s="822"/>
      <c r="AB15" s="822"/>
      <c r="AC15" s="822"/>
      <c r="AD15" s="822"/>
      <c r="AE15" s="822"/>
      <c r="AF15" s="837"/>
      <c r="AG15" s="842"/>
      <c r="AH15" s="842"/>
      <c r="AI15" s="840"/>
      <c r="AJ15" s="837"/>
      <c r="AK15" s="837"/>
      <c r="AL15" s="842"/>
      <c r="AM15" s="837"/>
      <c r="AN15" s="842"/>
      <c r="AO15" s="837"/>
      <c r="AP15" s="842"/>
      <c r="AQ15" s="842"/>
      <c r="AR15" s="842"/>
      <c r="AS15" s="842"/>
      <c r="AT15" s="842"/>
      <c r="AU15" s="842"/>
      <c r="AV15" s="841"/>
      <c r="AW15" s="841"/>
      <c r="AX15" s="841"/>
      <c r="AY15" s="841"/>
      <c r="AZ15" s="841"/>
      <c r="BA15" s="841"/>
      <c r="BB15" s="840"/>
      <c r="BC15" s="840"/>
      <c r="BD15" s="840"/>
      <c r="BE15" s="840"/>
      <c r="BF15" s="840"/>
      <c r="BG15" s="840"/>
      <c r="BH15" s="839">
        <f t="shared" si="4"/>
        <v>0</v>
      </c>
      <c r="BI15" s="839">
        <f t="shared" si="5"/>
        <v>0</v>
      </c>
      <c r="BJ15" s="839">
        <f t="shared" si="6"/>
        <v>0</v>
      </c>
      <c r="BK15" s="839">
        <f t="shared" si="7"/>
        <v>0</v>
      </c>
      <c r="BL15" s="839">
        <f t="shared" si="8"/>
        <v>0</v>
      </c>
      <c r="BM15" s="839">
        <f t="shared" si="9"/>
        <v>0</v>
      </c>
      <c r="BN15" s="838"/>
      <c r="BO15" s="838"/>
      <c r="BP15" s="838"/>
      <c r="BQ15" s="838"/>
      <c r="BR15" s="838"/>
      <c r="BS15" s="838"/>
      <c r="BT15" s="838"/>
      <c r="BU15" s="838"/>
      <c r="BV15" s="838"/>
      <c r="BW15" s="838"/>
      <c r="BX15" s="838"/>
      <c r="BY15" s="838"/>
      <c r="BZ15" s="837"/>
      <c r="CA15" s="522"/>
      <c r="CB15" s="838"/>
      <c r="CC15" s="837"/>
      <c r="CD15" s="837"/>
      <c r="CE15" s="837"/>
      <c r="CF15" s="837"/>
      <c r="CG15" s="837"/>
      <c r="CH15" s="837"/>
    </row>
    <row r="16" spans="1:87">
      <c r="A16" s="852">
        <v>7</v>
      </c>
      <c r="B16" s="852"/>
      <c r="C16" s="852" t="s">
        <v>755</v>
      </c>
      <c r="D16" s="856" t="s">
        <v>1133</v>
      </c>
      <c r="E16" s="102">
        <v>26000</v>
      </c>
      <c r="F16" s="855"/>
      <c r="G16" s="850">
        <f t="shared" si="0"/>
        <v>0</v>
      </c>
      <c r="H16" s="849"/>
      <c r="I16" s="848"/>
      <c r="J16" s="848"/>
      <c r="K16" s="847"/>
      <c r="L16" s="841">
        <v>6</v>
      </c>
      <c r="M16" s="846">
        <f t="shared" si="1"/>
        <v>0</v>
      </c>
      <c r="N16" s="840"/>
      <c r="O16" s="845"/>
      <c r="P16" s="844" t="e">
        <f t="shared" si="10"/>
        <v>#DIV/0!</v>
      </c>
      <c r="Q16" s="840"/>
      <c r="R16" s="844">
        <f t="shared" si="2"/>
        <v>0</v>
      </c>
      <c r="T16" s="842"/>
      <c r="U16" s="843">
        <v>0.10100000000000001</v>
      </c>
      <c r="V16" s="822">
        <f t="shared" si="3"/>
        <v>0</v>
      </c>
      <c r="W16" s="822"/>
      <c r="X16" s="822"/>
      <c r="Y16" s="822"/>
      <c r="Z16" s="822"/>
      <c r="AA16" s="822"/>
      <c r="AB16" s="822"/>
      <c r="AC16" s="822"/>
      <c r="AD16" s="822"/>
      <c r="AE16" s="822"/>
      <c r="AF16" s="837"/>
      <c r="AG16" s="842"/>
      <c r="AH16" s="842"/>
      <c r="AI16" s="840"/>
      <c r="AJ16" s="837"/>
      <c r="AK16" s="837"/>
      <c r="AL16" s="842"/>
      <c r="AM16" s="837"/>
      <c r="AN16" s="842"/>
      <c r="AO16" s="837"/>
      <c r="AP16" s="842"/>
      <c r="AQ16" s="842"/>
      <c r="AR16" s="842"/>
      <c r="AS16" s="842"/>
      <c r="AT16" s="842"/>
      <c r="AU16" s="842"/>
      <c r="AV16" s="841"/>
      <c r="AW16" s="841"/>
      <c r="AX16" s="841"/>
      <c r="AY16" s="841"/>
      <c r="AZ16" s="841"/>
      <c r="BA16" s="841"/>
      <c r="BB16" s="840"/>
      <c r="BC16" s="840"/>
      <c r="BD16" s="840"/>
      <c r="BE16" s="840"/>
      <c r="BF16" s="840"/>
      <c r="BG16" s="840"/>
      <c r="BH16" s="839">
        <f t="shared" si="4"/>
        <v>0</v>
      </c>
      <c r="BI16" s="839">
        <f t="shared" si="5"/>
        <v>0</v>
      </c>
      <c r="BJ16" s="839">
        <f t="shared" si="6"/>
        <v>0</v>
      </c>
      <c r="BK16" s="839">
        <f t="shared" si="7"/>
        <v>0</v>
      </c>
      <c r="BL16" s="839">
        <f t="shared" si="8"/>
        <v>0</v>
      </c>
      <c r="BM16" s="839">
        <f t="shared" si="9"/>
        <v>0</v>
      </c>
      <c r="BN16" s="838"/>
      <c r="BO16" s="838"/>
      <c r="BP16" s="838"/>
      <c r="BQ16" s="838"/>
      <c r="BR16" s="838"/>
      <c r="BS16" s="838"/>
      <c r="BT16" s="838"/>
      <c r="BU16" s="838"/>
      <c r="BV16" s="838"/>
      <c r="BW16" s="838"/>
      <c r="BX16" s="838"/>
      <c r="BY16" s="838"/>
      <c r="BZ16" s="837"/>
      <c r="CA16" s="522"/>
      <c r="CB16" s="838"/>
      <c r="CC16" s="837"/>
      <c r="CD16" s="837"/>
      <c r="CE16" s="837"/>
      <c r="CF16" s="837"/>
      <c r="CG16" s="837"/>
      <c r="CH16" s="837"/>
    </row>
    <row r="17" spans="1:86">
      <c r="A17" s="852">
        <v>8</v>
      </c>
      <c r="B17" s="852"/>
      <c r="C17" s="852" t="s">
        <v>50</v>
      </c>
      <c r="D17" s="1" t="s">
        <v>1140</v>
      </c>
      <c r="E17" s="102">
        <v>244000</v>
      </c>
      <c r="F17" s="855"/>
      <c r="G17" s="850">
        <f t="shared" si="0"/>
        <v>0</v>
      </c>
      <c r="H17" s="849"/>
      <c r="I17" s="848"/>
      <c r="J17" s="848"/>
      <c r="K17" s="847"/>
      <c r="L17" s="841">
        <v>6</v>
      </c>
      <c r="M17" s="846">
        <f t="shared" si="1"/>
        <v>0</v>
      </c>
      <c r="N17" s="840"/>
      <c r="O17" s="845"/>
      <c r="P17" s="844" t="e">
        <f t="shared" si="10"/>
        <v>#DIV/0!</v>
      </c>
      <c r="Q17" s="840"/>
      <c r="R17" s="844">
        <f t="shared" si="2"/>
        <v>0</v>
      </c>
      <c r="T17" s="842"/>
      <c r="U17" s="843">
        <v>0.10100000000000001</v>
      </c>
      <c r="V17" s="822">
        <f t="shared" si="3"/>
        <v>0</v>
      </c>
      <c r="W17" s="822"/>
      <c r="X17" s="822"/>
      <c r="Y17" s="822"/>
      <c r="Z17" s="822"/>
      <c r="AA17" s="822"/>
      <c r="AB17" s="822"/>
      <c r="AC17" s="822"/>
      <c r="AD17" s="822"/>
      <c r="AE17" s="822"/>
      <c r="AF17" s="837"/>
      <c r="AG17" s="842"/>
      <c r="AH17" s="842"/>
      <c r="AI17" s="840"/>
      <c r="AJ17" s="837"/>
      <c r="AK17" s="837"/>
      <c r="AL17" s="842"/>
      <c r="AM17" s="837"/>
      <c r="AN17" s="842"/>
      <c r="AO17" s="837"/>
      <c r="AP17" s="842"/>
      <c r="AQ17" s="842"/>
      <c r="AR17" s="842"/>
      <c r="AS17" s="842"/>
      <c r="AT17" s="842"/>
      <c r="AU17" s="842"/>
      <c r="AV17" s="841"/>
      <c r="AW17" s="841"/>
      <c r="AX17" s="841"/>
      <c r="AY17" s="841"/>
      <c r="AZ17" s="841"/>
      <c r="BA17" s="841"/>
      <c r="BB17" s="840"/>
      <c r="BC17" s="840"/>
      <c r="BD17" s="840"/>
      <c r="BE17" s="840"/>
      <c r="BF17" s="840"/>
      <c r="BG17" s="840"/>
      <c r="BH17" s="839">
        <f t="shared" si="4"/>
        <v>0</v>
      </c>
      <c r="BI17" s="839">
        <f t="shared" si="5"/>
        <v>0</v>
      </c>
      <c r="BJ17" s="839">
        <f t="shared" si="6"/>
        <v>0</v>
      </c>
      <c r="BK17" s="839">
        <f t="shared" si="7"/>
        <v>0</v>
      </c>
      <c r="BL17" s="839">
        <f t="shared" si="8"/>
        <v>0</v>
      </c>
      <c r="BM17" s="839">
        <f t="shared" si="9"/>
        <v>0</v>
      </c>
      <c r="BN17" s="838"/>
      <c r="BO17" s="838"/>
      <c r="BP17" s="838"/>
      <c r="BQ17" s="838"/>
      <c r="BR17" s="838"/>
      <c r="BS17" s="838"/>
      <c r="BT17" s="838"/>
      <c r="BU17" s="838"/>
      <c r="BV17" s="838"/>
      <c r="BW17" s="838"/>
      <c r="BX17" s="838"/>
      <c r="BY17" s="838"/>
      <c r="BZ17" s="837"/>
      <c r="CA17" s="522"/>
      <c r="CB17" s="838"/>
      <c r="CC17" s="837"/>
      <c r="CD17" s="837"/>
      <c r="CE17" s="837"/>
      <c r="CF17" s="837"/>
      <c r="CG17" s="837"/>
      <c r="CH17" s="837"/>
    </row>
    <row r="18" spans="1:86">
      <c r="A18" s="852">
        <v>9</v>
      </c>
      <c r="B18" s="852"/>
      <c r="C18" s="852" t="s">
        <v>759</v>
      </c>
      <c r="D18" s="852" t="s">
        <v>1132</v>
      </c>
      <c r="E18" s="102">
        <v>100000</v>
      </c>
      <c r="F18" s="855"/>
      <c r="G18" s="850">
        <f t="shared" si="0"/>
        <v>0</v>
      </c>
      <c r="H18" s="849"/>
      <c r="I18" s="848"/>
      <c r="J18" s="848"/>
      <c r="K18" s="847"/>
      <c r="L18" s="841">
        <v>6</v>
      </c>
      <c r="M18" s="846">
        <f t="shared" si="1"/>
        <v>0</v>
      </c>
      <c r="N18" s="840"/>
      <c r="O18" s="845"/>
      <c r="P18" s="844" t="e">
        <f t="shared" si="10"/>
        <v>#DIV/0!</v>
      </c>
      <c r="Q18" s="840"/>
      <c r="R18" s="844">
        <f t="shared" si="2"/>
        <v>0</v>
      </c>
      <c r="T18" s="842"/>
      <c r="U18" s="843">
        <v>0.10100000000000001</v>
      </c>
      <c r="V18" s="822">
        <f t="shared" si="3"/>
        <v>0</v>
      </c>
      <c r="W18" s="822"/>
      <c r="X18" s="822"/>
      <c r="Y18" s="822"/>
      <c r="Z18" s="822"/>
      <c r="AA18" s="822"/>
      <c r="AB18" s="822"/>
      <c r="AC18" s="822"/>
      <c r="AD18" s="822"/>
      <c r="AE18" s="822"/>
      <c r="AF18" s="837"/>
      <c r="AG18" s="842"/>
      <c r="AH18" s="842"/>
      <c r="AI18" s="840"/>
      <c r="AJ18" s="837"/>
      <c r="AK18" s="837"/>
      <c r="AL18" s="842"/>
      <c r="AM18" s="837"/>
      <c r="AN18" s="842"/>
      <c r="AO18" s="837"/>
      <c r="AP18" s="842"/>
      <c r="AQ18" s="842"/>
      <c r="AR18" s="842"/>
      <c r="AS18" s="842"/>
      <c r="AT18" s="842"/>
      <c r="AU18" s="842"/>
      <c r="AV18" s="841"/>
      <c r="AW18" s="841"/>
      <c r="AX18" s="841"/>
      <c r="AY18" s="841"/>
      <c r="AZ18" s="841"/>
      <c r="BA18" s="841"/>
      <c r="BB18" s="840"/>
      <c r="BC18" s="840"/>
      <c r="BD18" s="840"/>
      <c r="BE18" s="840"/>
      <c r="BF18" s="840"/>
      <c r="BG18" s="840"/>
      <c r="BH18" s="839">
        <f t="shared" si="4"/>
        <v>0</v>
      </c>
      <c r="BI18" s="839">
        <f t="shared" si="5"/>
        <v>0</v>
      </c>
      <c r="BJ18" s="839">
        <f t="shared" si="6"/>
        <v>0</v>
      </c>
      <c r="BK18" s="839">
        <f t="shared" si="7"/>
        <v>0</v>
      </c>
      <c r="BL18" s="839">
        <f t="shared" si="8"/>
        <v>0</v>
      </c>
      <c r="BM18" s="839">
        <f t="shared" si="9"/>
        <v>0</v>
      </c>
      <c r="BN18" s="838"/>
      <c r="BO18" s="838"/>
      <c r="BP18" s="838"/>
      <c r="BQ18" s="838"/>
      <c r="BR18" s="838"/>
      <c r="BS18" s="838"/>
      <c r="BT18" s="838"/>
      <c r="BU18" s="838"/>
      <c r="BV18" s="838"/>
      <c r="BW18" s="838"/>
      <c r="BX18" s="838"/>
      <c r="BY18" s="838"/>
      <c r="BZ18" s="837"/>
      <c r="CA18" s="522"/>
      <c r="CB18" s="838"/>
      <c r="CC18" s="837"/>
      <c r="CD18" s="837"/>
      <c r="CE18" s="837"/>
      <c r="CF18" s="837"/>
      <c r="CG18" s="837"/>
      <c r="CH18" s="837"/>
    </row>
    <row r="19" spans="1:86">
      <c r="A19" s="852">
        <v>10</v>
      </c>
      <c r="B19" s="852"/>
      <c r="C19" s="852" t="s">
        <v>493</v>
      </c>
      <c r="D19" s="852" t="s">
        <v>1133</v>
      </c>
      <c r="E19" s="102">
        <v>37000</v>
      </c>
      <c r="F19" s="855"/>
      <c r="G19" s="850">
        <f t="shared" si="0"/>
        <v>0</v>
      </c>
      <c r="H19" s="849"/>
      <c r="I19" s="848"/>
      <c r="J19" s="848"/>
      <c r="K19" s="847"/>
      <c r="L19" s="841">
        <v>6</v>
      </c>
      <c r="M19" s="846">
        <f t="shared" si="1"/>
        <v>0</v>
      </c>
      <c r="N19" s="840"/>
      <c r="O19" s="845"/>
      <c r="P19" s="844" t="e">
        <f t="shared" si="10"/>
        <v>#DIV/0!</v>
      </c>
      <c r="Q19" s="840"/>
      <c r="R19" s="844">
        <f t="shared" si="2"/>
        <v>0</v>
      </c>
      <c r="T19" s="842"/>
      <c r="U19" s="843">
        <v>0.10100000000000001</v>
      </c>
      <c r="V19" s="822">
        <f t="shared" si="3"/>
        <v>0</v>
      </c>
      <c r="W19" s="822"/>
      <c r="X19" s="822"/>
      <c r="Y19" s="822"/>
      <c r="Z19" s="822"/>
      <c r="AA19" s="822"/>
      <c r="AB19" s="822"/>
      <c r="AC19" s="822"/>
      <c r="AD19" s="822"/>
      <c r="AE19" s="822"/>
      <c r="AF19" s="837"/>
      <c r="AG19" s="842"/>
      <c r="AH19" s="842"/>
      <c r="AI19" s="840"/>
      <c r="AJ19" s="837"/>
      <c r="AK19" s="837"/>
      <c r="AL19" s="842"/>
      <c r="AM19" s="837"/>
      <c r="AN19" s="842"/>
      <c r="AO19" s="837"/>
      <c r="AP19" s="842"/>
      <c r="AQ19" s="842"/>
      <c r="AR19" s="842"/>
      <c r="AS19" s="842"/>
      <c r="AT19" s="842"/>
      <c r="AU19" s="842"/>
      <c r="AV19" s="841"/>
      <c r="AW19" s="841"/>
      <c r="AX19" s="841"/>
      <c r="AY19" s="841"/>
      <c r="AZ19" s="841"/>
      <c r="BA19" s="841"/>
      <c r="BB19" s="840"/>
      <c r="BC19" s="840"/>
      <c r="BD19" s="840"/>
      <c r="BE19" s="840"/>
      <c r="BF19" s="840"/>
      <c r="BG19" s="840"/>
      <c r="BH19" s="839">
        <f t="shared" si="4"/>
        <v>0</v>
      </c>
      <c r="BI19" s="839">
        <f t="shared" si="5"/>
        <v>0</v>
      </c>
      <c r="BJ19" s="839">
        <f t="shared" si="6"/>
        <v>0</v>
      </c>
      <c r="BK19" s="839">
        <f t="shared" si="7"/>
        <v>0</v>
      </c>
      <c r="BL19" s="839">
        <f t="shared" si="8"/>
        <v>0</v>
      </c>
      <c r="BM19" s="839">
        <f t="shared" si="9"/>
        <v>0</v>
      </c>
      <c r="BN19" s="838"/>
      <c r="BO19" s="838"/>
      <c r="BP19" s="838"/>
      <c r="BQ19" s="838"/>
      <c r="BR19" s="838"/>
      <c r="BS19" s="838"/>
      <c r="BT19" s="838"/>
      <c r="BU19" s="838"/>
      <c r="BV19" s="838"/>
      <c r="BW19" s="838"/>
      <c r="BX19" s="838"/>
      <c r="BY19" s="838"/>
      <c r="BZ19" s="837"/>
      <c r="CA19" s="522"/>
      <c r="CB19" s="838"/>
      <c r="CC19" s="837"/>
      <c r="CD19" s="837"/>
      <c r="CE19" s="837"/>
      <c r="CF19" s="837"/>
      <c r="CG19" s="837"/>
      <c r="CH19" s="837"/>
    </row>
    <row r="20" spans="1:86">
      <c r="A20" s="852">
        <v>11</v>
      </c>
      <c r="B20" s="852"/>
      <c r="C20" s="852" t="s">
        <v>762</v>
      </c>
      <c r="D20" s="852" t="s">
        <v>1131</v>
      </c>
      <c r="E20" s="102">
        <v>83000</v>
      </c>
      <c r="F20" s="855"/>
      <c r="G20" s="850">
        <f t="shared" si="0"/>
        <v>0</v>
      </c>
      <c r="H20" s="849"/>
      <c r="I20" s="848"/>
      <c r="J20" s="848"/>
      <c r="K20" s="847"/>
      <c r="L20" s="841">
        <v>6</v>
      </c>
      <c r="M20" s="846">
        <f t="shared" si="1"/>
        <v>0</v>
      </c>
      <c r="N20" s="840"/>
      <c r="O20" s="845"/>
      <c r="P20" s="844" t="e">
        <f t="shared" si="10"/>
        <v>#DIV/0!</v>
      </c>
      <c r="Q20" s="840"/>
      <c r="R20" s="844">
        <f t="shared" si="2"/>
        <v>0</v>
      </c>
      <c r="T20" s="842"/>
      <c r="U20" s="843">
        <v>0.10100000000000001</v>
      </c>
      <c r="V20" s="822">
        <f t="shared" si="3"/>
        <v>0</v>
      </c>
      <c r="W20" s="822"/>
      <c r="X20" s="822"/>
      <c r="Y20" s="822"/>
      <c r="Z20" s="822"/>
      <c r="AA20" s="822"/>
      <c r="AB20" s="822"/>
      <c r="AC20" s="822"/>
      <c r="AD20" s="822"/>
      <c r="AE20" s="822"/>
      <c r="AF20" s="837"/>
      <c r="AG20" s="842"/>
      <c r="AH20" s="842"/>
      <c r="AI20" s="840"/>
      <c r="AJ20" s="837"/>
      <c r="AK20" s="837"/>
      <c r="AL20" s="842"/>
      <c r="AM20" s="837"/>
      <c r="AN20" s="842"/>
      <c r="AO20" s="837"/>
      <c r="AP20" s="842"/>
      <c r="AQ20" s="842"/>
      <c r="AR20" s="842"/>
      <c r="AS20" s="842"/>
      <c r="AT20" s="842"/>
      <c r="AU20" s="842"/>
      <c r="AV20" s="841"/>
      <c r="AW20" s="841"/>
      <c r="AX20" s="841"/>
      <c r="AY20" s="841"/>
      <c r="AZ20" s="841"/>
      <c r="BA20" s="841"/>
      <c r="BB20" s="840"/>
      <c r="BC20" s="840"/>
      <c r="BD20" s="840"/>
      <c r="BE20" s="840"/>
      <c r="BF20" s="840"/>
      <c r="BG20" s="840"/>
      <c r="BH20" s="839">
        <f t="shared" si="4"/>
        <v>0</v>
      </c>
      <c r="BI20" s="839">
        <f t="shared" si="5"/>
        <v>0</v>
      </c>
      <c r="BJ20" s="839">
        <f t="shared" si="6"/>
        <v>0</v>
      </c>
      <c r="BK20" s="839">
        <f t="shared" si="7"/>
        <v>0</v>
      </c>
      <c r="BL20" s="839">
        <f t="shared" si="8"/>
        <v>0</v>
      </c>
      <c r="BM20" s="839">
        <f t="shared" si="9"/>
        <v>0</v>
      </c>
      <c r="BN20" s="838"/>
      <c r="BO20" s="838"/>
      <c r="BP20" s="838"/>
      <c r="BQ20" s="838"/>
      <c r="BR20" s="838"/>
      <c r="BS20" s="838"/>
      <c r="BT20" s="838"/>
      <c r="BU20" s="838"/>
      <c r="BV20" s="838"/>
      <c r="BW20" s="838"/>
      <c r="BX20" s="838"/>
      <c r="BY20" s="838"/>
      <c r="BZ20" s="837"/>
      <c r="CA20" s="522"/>
      <c r="CB20" s="838"/>
      <c r="CC20" s="837"/>
      <c r="CD20" s="837"/>
      <c r="CE20" s="837"/>
      <c r="CF20" s="837"/>
      <c r="CG20" s="837"/>
      <c r="CH20" s="837"/>
    </row>
    <row r="21" spans="1:86">
      <c r="A21" s="852">
        <v>12</v>
      </c>
      <c r="B21" s="852"/>
      <c r="C21" s="852" t="s">
        <v>760</v>
      </c>
      <c r="D21" s="852" t="s">
        <v>1133</v>
      </c>
      <c r="E21" s="102">
        <v>16000</v>
      </c>
      <c r="F21" s="855"/>
      <c r="G21" s="850">
        <f t="shared" si="0"/>
        <v>0</v>
      </c>
      <c r="H21" s="849"/>
      <c r="I21" s="848"/>
      <c r="J21" s="848"/>
      <c r="K21" s="847"/>
      <c r="L21" s="841">
        <v>6</v>
      </c>
      <c r="M21" s="846">
        <f t="shared" si="1"/>
        <v>0</v>
      </c>
      <c r="N21" s="840"/>
      <c r="O21" s="845"/>
      <c r="P21" s="844" t="e">
        <f t="shared" si="10"/>
        <v>#DIV/0!</v>
      </c>
      <c r="Q21" s="840"/>
      <c r="R21" s="844">
        <f t="shared" si="2"/>
        <v>0</v>
      </c>
      <c r="T21" s="842"/>
      <c r="U21" s="843">
        <v>0.10100000000000001</v>
      </c>
      <c r="V21" s="822">
        <f t="shared" si="3"/>
        <v>0</v>
      </c>
      <c r="W21" s="822"/>
      <c r="X21" s="822"/>
      <c r="Y21" s="822"/>
      <c r="Z21" s="822"/>
      <c r="AA21" s="822"/>
      <c r="AB21" s="822"/>
      <c r="AC21" s="822"/>
      <c r="AD21" s="822"/>
      <c r="AE21" s="822"/>
      <c r="AF21" s="837"/>
      <c r="AG21" s="842"/>
      <c r="AH21" s="842"/>
      <c r="AI21" s="840"/>
      <c r="AJ21" s="837"/>
      <c r="AK21" s="837"/>
      <c r="AL21" s="842"/>
      <c r="AM21" s="837"/>
      <c r="AN21" s="842"/>
      <c r="AO21" s="837"/>
      <c r="AP21" s="842"/>
      <c r="AQ21" s="842"/>
      <c r="AR21" s="842"/>
      <c r="AS21" s="842"/>
      <c r="AT21" s="842"/>
      <c r="AU21" s="842"/>
      <c r="AV21" s="841"/>
      <c r="AW21" s="841"/>
      <c r="AX21" s="841"/>
      <c r="AY21" s="841"/>
      <c r="AZ21" s="841"/>
      <c r="BA21" s="841"/>
      <c r="BB21" s="840"/>
      <c r="BC21" s="840"/>
      <c r="BD21" s="840"/>
      <c r="BE21" s="840"/>
      <c r="BF21" s="840"/>
      <c r="BG21" s="840"/>
      <c r="BH21" s="839">
        <f t="shared" si="4"/>
        <v>0</v>
      </c>
      <c r="BI21" s="839">
        <f t="shared" si="5"/>
        <v>0</v>
      </c>
      <c r="BJ21" s="839">
        <f t="shared" si="6"/>
        <v>0</v>
      </c>
      <c r="BK21" s="839">
        <f t="shared" si="7"/>
        <v>0</v>
      </c>
      <c r="BL21" s="839">
        <f t="shared" si="8"/>
        <v>0</v>
      </c>
      <c r="BM21" s="839">
        <f t="shared" si="9"/>
        <v>0</v>
      </c>
      <c r="BN21" s="838"/>
      <c r="BO21" s="838"/>
      <c r="BP21" s="838"/>
      <c r="BQ21" s="838"/>
      <c r="BR21" s="838"/>
      <c r="BS21" s="838"/>
      <c r="BT21" s="838"/>
      <c r="BU21" s="838"/>
      <c r="BV21" s="838"/>
      <c r="BW21" s="838"/>
      <c r="BX21" s="838"/>
      <c r="BY21" s="838"/>
      <c r="BZ21" s="837"/>
      <c r="CA21" s="522"/>
      <c r="CB21" s="838"/>
      <c r="CC21" s="837"/>
      <c r="CD21" s="837"/>
      <c r="CE21" s="837"/>
      <c r="CF21" s="837"/>
      <c r="CG21" s="837"/>
      <c r="CH21" s="837"/>
    </row>
    <row r="22" spans="1:86">
      <c r="A22" s="852">
        <v>13</v>
      </c>
      <c r="B22" s="852"/>
      <c r="C22" s="853" t="s">
        <v>1139</v>
      </c>
      <c r="D22" s="852" t="s">
        <v>1133</v>
      </c>
      <c r="E22" s="102">
        <v>23000</v>
      </c>
      <c r="F22" s="851"/>
      <c r="G22" s="850">
        <f t="shared" si="0"/>
        <v>0</v>
      </c>
      <c r="H22" s="849"/>
      <c r="I22" s="848"/>
      <c r="J22" s="848"/>
      <c r="K22" s="847"/>
      <c r="L22" s="841">
        <v>6</v>
      </c>
      <c r="M22" s="846">
        <f t="shared" si="1"/>
        <v>0</v>
      </c>
      <c r="N22" s="840"/>
      <c r="O22" s="845"/>
      <c r="P22" s="844" t="e">
        <f t="shared" si="10"/>
        <v>#DIV/0!</v>
      </c>
      <c r="Q22" s="840"/>
      <c r="R22" s="844">
        <f t="shared" si="2"/>
        <v>0</v>
      </c>
      <c r="T22" s="842"/>
      <c r="U22" s="843">
        <v>0.10100000000000001</v>
      </c>
      <c r="V22" s="822">
        <f t="shared" si="3"/>
        <v>0</v>
      </c>
      <c r="W22" s="822"/>
      <c r="X22" s="822"/>
      <c r="Y22" s="822"/>
      <c r="Z22" s="822"/>
      <c r="AA22" s="822"/>
      <c r="AB22" s="822"/>
      <c r="AC22" s="822"/>
      <c r="AD22" s="822"/>
      <c r="AE22" s="822"/>
      <c r="AF22" s="837"/>
      <c r="AG22" s="842"/>
      <c r="AH22" s="842"/>
      <c r="AI22" s="840"/>
      <c r="AJ22" s="837"/>
      <c r="AK22" s="837"/>
      <c r="AL22" s="842"/>
      <c r="AM22" s="837"/>
      <c r="AN22" s="842"/>
      <c r="AO22" s="837"/>
      <c r="AP22" s="842"/>
      <c r="AQ22" s="842"/>
      <c r="AR22" s="842"/>
      <c r="AS22" s="842"/>
      <c r="AT22" s="842"/>
      <c r="AU22" s="842"/>
      <c r="AV22" s="841"/>
      <c r="AW22" s="841"/>
      <c r="AX22" s="841"/>
      <c r="AY22" s="841"/>
      <c r="AZ22" s="841"/>
      <c r="BA22" s="841"/>
      <c r="BB22" s="840"/>
      <c r="BC22" s="840"/>
      <c r="BD22" s="840"/>
      <c r="BE22" s="840"/>
      <c r="BF22" s="840"/>
      <c r="BG22" s="840"/>
      <c r="BH22" s="839">
        <f t="shared" si="4"/>
        <v>0</v>
      </c>
      <c r="BI22" s="839">
        <f t="shared" si="5"/>
        <v>0</v>
      </c>
      <c r="BJ22" s="839">
        <f t="shared" si="6"/>
        <v>0</v>
      </c>
      <c r="BK22" s="839">
        <f t="shared" si="7"/>
        <v>0</v>
      </c>
      <c r="BL22" s="839">
        <f t="shared" si="8"/>
        <v>0</v>
      </c>
      <c r="BM22" s="839">
        <f t="shared" si="9"/>
        <v>0</v>
      </c>
      <c r="BN22" s="838"/>
      <c r="BO22" s="838"/>
      <c r="BP22" s="838"/>
      <c r="BQ22" s="838"/>
      <c r="BR22" s="838"/>
      <c r="BS22" s="838"/>
      <c r="BT22" s="838"/>
      <c r="BU22" s="838"/>
      <c r="BV22" s="838"/>
      <c r="BW22" s="838"/>
      <c r="BX22" s="838"/>
      <c r="BY22" s="838"/>
      <c r="BZ22" s="837"/>
      <c r="CA22" s="522"/>
      <c r="CB22" s="838"/>
      <c r="CC22" s="837"/>
      <c r="CD22" s="837"/>
      <c r="CE22" s="837"/>
      <c r="CF22" s="837"/>
      <c r="CG22" s="837"/>
      <c r="CH22" s="837"/>
    </row>
    <row r="23" spans="1:86">
      <c r="A23" s="852">
        <v>14</v>
      </c>
      <c r="B23" s="852"/>
      <c r="C23" s="853" t="s">
        <v>88</v>
      </c>
      <c r="D23" s="852" t="s">
        <v>1133</v>
      </c>
      <c r="E23" s="102">
        <v>6900</v>
      </c>
      <c r="F23" s="851"/>
      <c r="G23" s="850">
        <f t="shared" si="0"/>
        <v>0</v>
      </c>
      <c r="H23" s="849"/>
      <c r="I23" s="848"/>
      <c r="J23" s="848"/>
      <c r="K23" s="847"/>
      <c r="L23" s="841">
        <v>6</v>
      </c>
      <c r="M23" s="846">
        <f t="shared" si="1"/>
        <v>0</v>
      </c>
      <c r="N23" s="840"/>
      <c r="O23" s="845"/>
      <c r="P23" s="844" t="e">
        <f t="shared" si="10"/>
        <v>#DIV/0!</v>
      </c>
      <c r="Q23" s="840"/>
      <c r="R23" s="844">
        <f t="shared" si="2"/>
        <v>0</v>
      </c>
      <c r="T23" s="842"/>
      <c r="U23" s="843">
        <v>0.10100000000000001</v>
      </c>
      <c r="V23" s="822">
        <f t="shared" si="3"/>
        <v>0</v>
      </c>
      <c r="W23" s="822"/>
      <c r="X23" s="822"/>
      <c r="Y23" s="822"/>
      <c r="Z23" s="822"/>
      <c r="AA23" s="822"/>
      <c r="AB23" s="822"/>
      <c r="AC23" s="822"/>
      <c r="AD23" s="822"/>
      <c r="AE23" s="822"/>
      <c r="AF23" s="837"/>
      <c r="AG23" s="842"/>
      <c r="AH23" s="842"/>
      <c r="AI23" s="840"/>
      <c r="AJ23" s="837"/>
      <c r="AK23" s="837"/>
      <c r="AL23" s="842"/>
      <c r="AM23" s="837"/>
      <c r="AN23" s="842"/>
      <c r="AO23" s="837"/>
      <c r="AP23" s="842"/>
      <c r="AQ23" s="842"/>
      <c r="AR23" s="842"/>
      <c r="AS23" s="842"/>
      <c r="AT23" s="842"/>
      <c r="AU23" s="842"/>
      <c r="AV23" s="841"/>
      <c r="AW23" s="841"/>
      <c r="AX23" s="841"/>
      <c r="AY23" s="841"/>
      <c r="AZ23" s="841"/>
      <c r="BA23" s="841"/>
      <c r="BB23" s="840"/>
      <c r="BC23" s="840"/>
      <c r="BD23" s="840"/>
      <c r="BE23" s="840"/>
      <c r="BF23" s="840"/>
      <c r="BG23" s="840"/>
      <c r="BH23" s="839">
        <f t="shared" si="4"/>
        <v>0</v>
      </c>
      <c r="BI23" s="839">
        <f t="shared" si="5"/>
        <v>0</v>
      </c>
      <c r="BJ23" s="839">
        <f t="shared" si="6"/>
        <v>0</v>
      </c>
      <c r="BK23" s="839">
        <f t="shared" si="7"/>
        <v>0</v>
      </c>
      <c r="BL23" s="839">
        <f t="shared" si="8"/>
        <v>0</v>
      </c>
      <c r="BM23" s="839">
        <f t="shared" si="9"/>
        <v>0</v>
      </c>
      <c r="BN23" s="838"/>
      <c r="BO23" s="838"/>
      <c r="BP23" s="838"/>
      <c r="BQ23" s="838"/>
      <c r="BR23" s="838"/>
      <c r="BS23" s="838"/>
      <c r="BT23" s="838"/>
      <c r="BU23" s="838"/>
      <c r="BV23" s="838"/>
      <c r="BW23" s="838"/>
      <c r="BX23" s="838"/>
      <c r="BY23" s="838"/>
      <c r="BZ23" s="837"/>
      <c r="CA23" s="522"/>
      <c r="CB23" s="838"/>
      <c r="CC23" s="837"/>
      <c r="CD23" s="837"/>
      <c r="CE23" s="837"/>
      <c r="CF23" s="837"/>
      <c r="CG23" s="837"/>
      <c r="CH23" s="837"/>
    </row>
    <row r="24" spans="1:86">
      <c r="A24" s="852">
        <v>15</v>
      </c>
      <c r="B24" s="852"/>
      <c r="C24" s="852" t="s">
        <v>520</v>
      </c>
      <c r="D24" s="854" t="s">
        <v>1133</v>
      </c>
      <c r="E24" s="102">
        <v>39000</v>
      </c>
      <c r="F24" s="851"/>
      <c r="G24" s="850">
        <f t="shared" si="0"/>
        <v>0</v>
      </c>
      <c r="H24" s="849"/>
      <c r="I24" s="848"/>
      <c r="J24" s="848"/>
      <c r="K24" s="847"/>
      <c r="L24" s="841">
        <v>6</v>
      </c>
      <c r="M24" s="846">
        <f t="shared" si="1"/>
        <v>0</v>
      </c>
      <c r="N24" s="840"/>
      <c r="O24" s="845"/>
      <c r="P24" s="844" t="e">
        <f t="shared" si="10"/>
        <v>#DIV/0!</v>
      </c>
      <c r="Q24" s="840"/>
      <c r="R24" s="844">
        <f t="shared" si="2"/>
        <v>0</v>
      </c>
      <c r="T24" s="842"/>
      <c r="U24" s="843">
        <v>0.10100000000000001</v>
      </c>
      <c r="V24" s="822">
        <f t="shared" si="3"/>
        <v>0</v>
      </c>
      <c r="W24" s="822"/>
      <c r="X24" s="822"/>
      <c r="Y24" s="822"/>
      <c r="Z24" s="822"/>
      <c r="AA24" s="822"/>
      <c r="AB24" s="822"/>
      <c r="AC24" s="822"/>
      <c r="AD24" s="822"/>
      <c r="AE24" s="822"/>
      <c r="AF24" s="837"/>
      <c r="AG24" s="842"/>
      <c r="AH24" s="842"/>
      <c r="AI24" s="840"/>
      <c r="AJ24" s="837"/>
      <c r="AK24" s="837"/>
      <c r="AL24" s="842"/>
      <c r="AM24" s="837"/>
      <c r="AN24" s="842"/>
      <c r="AO24" s="837"/>
      <c r="AP24" s="842"/>
      <c r="AQ24" s="842"/>
      <c r="AR24" s="842"/>
      <c r="AS24" s="842"/>
      <c r="AT24" s="842"/>
      <c r="AU24" s="842"/>
      <c r="AV24" s="841"/>
      <c r="AW24" s="841"/>
      <c r="AX24" s="841"/>
      <c r="AY24" s="841"/>
      <c r="AZ24" s="841"/>
      <c r="BA24" s="841"/>
      <c r="BB24" s="840"/>
      <c r="BC24" s="840"/>
      <c r="BD24" s="840"/>
      <c r="BE24" s="840"/>
      <c r="BF24" s="840"/>
      <c r="BG24" s="840"/>
      <c r="BH24" s="839">
        <f t="shared" si="4"/>
        <v>0</v>
      </c>
      <c r="BI24" s="839">
        <f t="shared" si="5"/>
        <v>0</v>
      </c>
      <c r="BJ24" s="839">
        <f t="shared" si="6"/>
        <v>0</v>
      </c>
      <c r="BK24" s="839">
        <f t="shared" si="7"/>
        <v>0</v>
      </c>
      <c r="BL24" s="839">
        <f t="shared" si="8"/>
        <v>0</v>
      </c>
      <c r="BM24" s="839">
        <f t="shared" si="9"/>
        <v>0</v>
      </c>
      <c r="BN24" s="838"/>
      <c r="BO24" s="838"/>
      <c r="BP24" s="838"/>
      <c r="BQ24" s="838"/>
      <c r="BR24" s="838"/>
      <c r="BS24" s="838"/>
      <c r="BT24" s="838"/>
      <c r="BU24" s="838"/>
      <c r="BV24" s="838"/>
      <c r="BW24" s="838"/>
      <c r="BX24" s="838"/>
      <c r="BY24" s="838"/>
      <c r="BZ24" s="837"/>
      <c r="CA24" s="522"/>
      <c r="CB24" s="838"/>
      <c r="CC24" s="837"/>
      <c r="CD24" s="837"/>
      <c r="CE24" s="837"/>
      <c r="CF24" s="837"/>
      <c r="CG24" s="837"/>
      <c r="CH24" s="837"/>
    </row>
    <row r="25" spans="1:86">
      <c r="A25" s="852">
        <v>16</v>
      </c>
      <c r="B25" s="852"/>
      <c r="C25" s="853" t="s">
        <v>1138</v>
      </c>
      <c r="D25" s="852" t="s">
        <v>1133</v>
      </c>
      <c r="E25" s="102">
        <v>13000</v>
      </c>
      <c r="F25" s="851"/>
      <c r="G25" s="850">
        <f t="shared" si="0"/>
        <v>0</v>
      </c>
      <c r="H25" s="849"/>
      <c r="I25" s="848"/>
      <c r="J25" s="848"/>
      <c r="K25" s="847"/>
      <c r="L25" s="841">
        <v>6</v>
      </c>
      <c r="M25" s="846">
        <f t="shared" si="1"/>
        <v>0</v>
      </c>
      <c r="N25" s="840"/>
      <c r="O25" s="845"/>
      <c r="P25" s="844" t="e">
        <f t="shared" si="10"/>
        <v>#DIV/0!</v>
      </c>
      <c r="Q25" s="840"/>
      <c r="R25" s="844">
        <f t="shared" si="2"/>
        <v>0</v>
      </c>
      <c r="T25" s="842"/>
      <c r="U25" s="843">
        <v>0.10100000000000001</v>
      </c>
      <c r="V25" s="822">
        <f t="shared" si="3"/>
        <v>0</v>
      </c>
      <c r="W25" s="822"/>
      <c r="X25" s="822"/>
      <c r="Y25" s="822"/>
      <c r="Z25" s="822"/>
      <c r="AA25" s="822"/>
      <c r="AB25" s="822"/>
      <c r="AC25" s="822"/>
      <c r="AD25" s="822"/>
      <c r="AE25" s="822"/>
      <c r="AF25" s="837"/>
      <c r="AG25" s="842"/>
      <c r="AH25" s="842"/>
      <c r="AI25" s="840"/>
      <c r="AJ25" s="837"/>
      <c r="AK25" s="837"/>
      <c r="AL25" s="842"/>
      <c r="AM25" s="837"/>
      <c r="AN25" s="842"/>
      <c r="AO25" s="837"/>
      <c r="AP25" s="842"/>
      <c r="AQ25" s="842"/>
      <c r="AR25" s="842"/>
      <c r="AS25" s="842"/>
      <c r="AT25" s="842"/>
      <c r="AU25" s="842"/>
      <c r="AV25" s="841"/>
      <c r="AW25" s="841"/>
      <c r="AX25" s="841"/>
      <c r="AY25" s="841"/>
      <c r="AZ25" s="841"/>
      <c r="BA25" s="841"/>
      <c r="BB25" s="840"/>
      <c r="BC25" s="840"/>
      <c r="BD25" s="840"/>
      <c r="BE25" s="840"/>
      <c r="BF25" s="840"/>
      <c r="BG25" s="840"/>
      <c r="BH25" s="839">
        <f t="shared" si="4"/>
        <v>0</v>
      </c>
      <c r="BI25" s="839">
        <f t="shared" si="5"/>
        <v>0</v>
      </c>
      <c r="BJ25" s="839">
        <f t="shared" si="6"/>
        <v>0</v>
      </c>
      <c r="BK25" s="839">
        <f t="shared" si="7"/>
        <v>0</v>
      </c>
      <c r="BL25" s="839">
        <f t="shared" si="8"/>
        <v>0</v>
      </c>
      <c r="BM25" s="839">
        <f t="shared" si="9"/>
        <v>0</v>
      </c>
      <c r="BN25" s="838"/>
      <c r="BO25" s="838"/>
      <c r="BP25" s="838"/>
      <c r="BQ25" s="838"/>
      <c r="BR25" s="838"/>
      <c r="BS25" s="838"/>
      <c r="BT25" s="838"/>
      <c r="BU25" s="838"/>
      <c r="BV25" s="838"/>
      <c r="BW25" s="838"/>
      <c r="BX25" s="838"/>
      <c r="BY25" s="838"/>
      <c r="BZ25" s="837"/>
      <c r="CA25" s="522"/>
      <c r="CB25" s="838"/>
      <c r="CC25" s="837"/>
      <c r="CD25" s="837"/>
      <c r="CE25" s="837"/>
      <c r="CF25" s="837"/>
      <c r="CG25" s="837"/>
      <c r="CH25" s="837"/>
    </row>
    <row r="26" spans="1:86">
      <c r="A26" s="852">
        <v>17</v>
      </c>
      <c r="B26" s="852"/>
      <c r="C26" s="537" t="s">
        <v>761</v>
      </c>
      <c r="D26" s="854" t="s">
        <v>1132</v>
      </c>
      <c r="E26" s="102">
        <v>26000</v>
      </c>
      <c r="F26" s="851"/>
      <c r="G26" s="850">
        <f t="shared" si="0"/>
        <v>0</v>
      </c>
      <c r="H26" s="849"/>
      <c r="I26" s="848"/>
      <c r="J26" s="848"/>
      <c r="K26" s="847"/>
      <c r="L26" s="841">
        <v>6</v>
      </c>
      <c r="M26" s="846">
        <f t="shared" si="1"/>
        <v>0</v>
      </c>
      <c r="N26" s="840"/>
      <c r="O26" s="845"/>
      <c r="P26" s="844" t="e">
        <f t="shared" si="10"/>
        <v>#DIV/0!</v>
      </c>
      <c r="Q26" s="840"/>
      <c r="R26" s="844">
        <f t="shared" si="2"/>
        <v>0</v>
      </c>
      <c r="T26" s="842"/>
      <c r="U26" s="843">
        <v>0.10100000000000001</v>
      </c>
      <c r="V26" s="822">
        <f t="shared" si="3"/>
        <v>0</v>
      </c>
      <c r="W26" s="822"/>
      <c r="X26" s="822"/>
      <c r="Y26" s="822"/>
      <c r="Z26" s="822"/>
      <c r="AA26" s="822"/>
      <c r="AB26" s="822"/>
      <c r="AC26" s="822"/>
      <c r="AD26" s="822"/>
      <c r="AE26" s="822"/>
      <c r="AF26" s="837"/>
      <c r="AG26" s="842"/>
      <c r="AH26" s="842"/>
      <c r="AI26" s="840"/>
      <c r="AJ26" s="837"/>
      <c r="AK26" s="837"/>
      <c r="AL26" s="842"/>
      <c r="AM26" s="837"/>
      <c r="AN26" s="842"/>
      <c r="AO26" s="837"/>
      <c r="AP26" s="842"/>
      <c r="AQ26" s="842"/>
      <c r="AR26" s="842"/>
      <c r="AS26" s="842"/>
      <c r="AT26" s="842"/>
      <c r="AU26" s="842"/>
      <c r="AV26" s="841"/>
      <c r="AW26" s="841"/>
      <c r="AX26" s="841"/>
      <c r="AY26" s="841"/>
      <c r="AZ26" s="841"/>
      <c r="BA26" s="841"/>
      <c r="BB26" s="840"/>
      <c r="BC26" s="840"/>
      <c r="BD26" s="840"/>
      <c r="BE26" s="840"/>
      <c r="BF26" s="840"/>
      <c r="BG26" s="840"/>
      <c r="BH26" s="839">
        <f t="shared" si="4"/>
        <v>0</v>
      </c>
      <c r="BI26" s="839">
        <f t="shared" si="5"/>
        <v>0</v>
      </c>
      <c r="BJ26" s="839">
        <f t="shared" si="6"/>
        <v>0</v>
      </c>
      <c r="BK26" s="839">
        <f t="shared" si="7"/>
        <v>0</v>
      </c>
      <c r="BL26" s="839">
        <f t="shared" si="8"/>
        <v>0</v>
      </c>
      <c r="BM26" s="839">
        <f t="shared" si="9"/>
        <v>0</v>
      </c>
      <c r="BN26" s="838"/>
      <c r="BO26" s="838"/>
      <c r="BP26" s="838"/>
      <c r="BQ26" s="838"/>
      <c r="BR26" s="838"/>
      <c r="BS26" s="838"/>
      <c r="BT26" s="838"/>
      <c r="BU26" s="838"/>
      <c r="BV26" s="838"/>
      <c r="BW26" s="838"/>
      <c r="BX26" s="838"/>
      <c r="BY26" s="838"/>
      <c r="BZ26" s="837"/>
      <c r="CA26" s="522"/>
      <c r="CB26" s="838"/>
      <c r="CC26" s="837"/>
      <c r="CD26" s="837"/>
      <c r="CE26" s="837"/>
      <c r="CF26" s="837"/>
      <c r="CG26" s="837"/>
      <c r="CH26" s="837"/>
    </row>
    <row r="27" spans="1:86">
      <c r="A27" s="852">
        <v>18</v>
      </c>
      <c r="B27" s="852"/>
      <c r="C27" s="853" t="s">
        <v>1137</v>
      </c>
      <c r="D27" s="852" t="s">
        <v>1136</v>
      </c>
      <c r="E27" s="102">
        <v>17000</v>
      </c>
      <c r="F27" s="851"/>
      <c r="G27" s="850">
        <f t="shared" si="0"/>
        <v>0</v>
      </c>
      <c r="H27" s="849"/>
      <c r="I27" s="848"/>
      <c r="J27" s="848"/>
      <c r="K27" s="847"/>
      <c r="L27" s="841">
        <v>6</v>
      </c>
      <c r="M27" s="846">
        <f t="shared" si="1"/>
        <v>0</v>
      </c>
      <c r="N27" s="840"/>
      <c r="O27" s="845"/>
      <c r="P27" s="844" t="e">
        <f t="shared" si="10"/>
        <v>#DIV/0!</v>
      </c>
      <c r="Q27" s="840"/>
      <c r="R27" s="844">
        <f t="shared" si="2"/>
        <v>0</v>
      </c>
      <c r="T27" s="842"/>
      <c r="U27" s="843">
        <v>0.10100000000000001</v>
      </c>
      <c r="V27" s="822">
        <f t="shared" si="3"/>
        <v>0</v>
      </c>
      <c r="W27" s="822"/>
      <c r="X27" s="822"/>
      <c r="Y27" s="822"/>
      <c r="Z27" s="822"/>
      <c r="AA27" s="822"/>
      <c r="AB27" s="822"/>
      <c r="AC27" s="822"/>
      <c r="AD27" s="822"/>
      <c r="AE27" s="822"/>
      <c r="AF27" s="837"/>
      <c r="AG27" s="842"/>
      <c r="AH27" s="842"/>
      <c r="AI27" s="840"/>
      <c r="AJ27" s="837"/>
      <c r="AK27" s="837"/>
      <c r="AL27" s="842"/>
      <c r="AM27" s="837"/>
      <c r="AN27" s="842"/>
      <c r="AO27" s="837"/>
      <c r="AP27" s="842"/>
      <c r="AQ27" s="842"/>
      <c r="AR27" s="842"/>
      <c r="AS27" s="842"/>
      <c r="AT27" s="842"/>
      <c r="AU27" s="842"/>
      <c r="AV27" s="841"/>
      <c r="AW27" s="841"/>
      <c r="AX27" s="841"/>
      <c r="AY27" s="841"/>
      <c r="AZ27" s="841"/>
      <c r="BA27" s="841"/>
      <c r="BB27" s="840"/>
      <c r="BC27" s="840"/>
      <c r="BD27" s="840"/>
      <c r="BE27" s="840"/>
      <c r="BF27" s="840"/>
      <c r="BG27" s="840"/>
      <c r="BH27" s="839">
        <f t="shared" si="4"/>
        <v>0</v>
      </c>
      <c r="BI27" s="839">
        <f t="shared" si="5"/>
        <v>0</v>
      </c>
      <c r="BJ27" s="839">
        <f t="shared" si="6"/>
        <v>0</v>
      </c>
      <c r="BK27" s="839">
        <f t="shared" si="7"/>
        <v>0</v>
      </c>
      <c r="BL27" s="839">
        <f t="shared" si="8"/>
        <v>0</v>
      </c>
      <c r="BM27" s="839">
        <f t="shared" si="9"/>
        <v>0</v>
      </c>
      <c r="BN27" s="838"/>
      <c r="BO27" s="838"/>
      <c r="BP27" s="838"/>
      <c r="BQ27" s="838"/>
      <c r="BR27" s="838"/>
      <c r="BS27" s="838"/>
      <c r="BT27" s="838"/>
      <c r="BU27" s="838"/>
      <c r="BV27" s="838"/>
      <c r="BW27" s="838"/>
      <c r="BX27" s="838"/>
      <c r="BY27" s="838"/>
      <c r="BZ27" s="837"/>
      <c r="CA27" s="522"/>
      <c r="CB27" s="838"/>
      <c r="CC27" s="837"/>
      <c r="CD27" s="837"/>
      <c r="CE27" s="837"/>
      <c r="CF27" s="837"/>
      <c r="CG27" s="837"/>
      <c r="CH27" s="837"/>
    </row>
    <row r="28" spans="1:86">
      <c r="A28" s="852">
        <v>19</v>
      </c>
      <c r="B28" s="852"/>
      <c r="C28" s="537" t="s">
        <v>758</v>
      </c>
      <c r="D28" s="854" t="s">
        <v>1132</v>
      </c>
      <c r="E28" s="102">
        <v>29000</v>
      </c>
      <c r="F28" s="851"/>
      <c r="G28" s="850">
        <f t="shared" si="0"/>
        <v>0</v>
      </c>
      <c r="H28" s="849"/>
      <c r="I28" s="848"/>
      <c r="J28" s="848"/>
      <c r="K28" s="847"/>
      <c r="L28" s="841">
        <v>6</v>
      </c>
      <c r="M28" s="846">
        <f t="shared" si="1"/>
        <v>0</v>
      </c>
      <c r="N28" s="840"/>
      <c r="O28" s="845"/>
      <c r="P28" s="844" t="e">
        <f t="shared" si="10"/>
        <v>#DIV/0!</v>
      </c>
      <c r="Q28" s="840"/>
      <c r="R28" s="844">
        <f t="shared" si="2"/>
        <v>0</v>
      </c>
      <c r="T28" s="842"/>
      <c r="U28" s="843">
        <v>0.10100000000000001</v>
      </c>
      <c r="V28" s="822">
        <f t="shared" si="3"/>
        <v>0</v>
      </c>
      <c r="W28" s="822"/>
      <c r="X28" s="822"/>
      <c r="Y28" s="822"/>
      <c r="Z28" s="822"/>
      <c r="AA28" s="822"/>
      <c r="AB28" s="822"/>
      <c r="AC28" s="822"/>
      <c r="AD28" s="822"/>
      <c r="AE28" s="822"/>
      <c r="AF28" s="837"/>
      <c r="AG28" s="842"/>
      <c r="AH28" s="842"/>
      <c r="AI28" s="840"/>
      <c r="AJ28" s="837"/>
      <c r="AK28" s="837"/>
      <c r="AL28" s="842"/>
      <c r="AM28" s="837"/>
      <c r="AN28" s="842"/>
      <c r="AO28" s="837"/>
      <c r="AP28" s="842"/>
      <c r="AQ28" s="842"/>
      <c r="AR28" s="842"/>
      <c r="AS28" s="842"/>
      <c r="AT28" s="842"/>
      <c r="AU28" s="842"/>
      <c r="AV28" s="841"/>
      <c r="AW28" s="841"/>
      <c r="AX28" s="841"/>
      <c r="AY28" s="841"/>
      <c r="AZ28" s="841"/>
      <c r="BA28" s="841"/>
      <c r="BB28" s="840"/>
      <c r="BC28" s="840"/>
      <c r="BD28" s="840"/>
      <c r="BE28" s="840"/>
      <c r="BF28" s="840"/>
      <c r="BG28" s="840"/>
      <c r="BH28" s="839">
        <f t="shared" si="4"/>
        <v>0</v>
      </c>
      <c r="BI28" s="839">
        <f t="shared" si="5"/>
        <v>0</v>
      </c>
      <c r="BJ28" s="839">
        <f t="shared" si="6"/>
        <v>0</v>
      </c>
      <c r="BK28" s="839">
        <f t="shared" si="7"/>
        <v>0</v>
      </c>
      <c r="BL28" s="839">
        <f t="shared" si="8"/>
        <v>0</v>
      </c>
      <c r="BM28" s="839">
        <f t="shared" si="9"/>
        <v>0</v>
      </c>
      <c r="BN28" s="838"/>
      <c r="BO28" s="838"/>
      <c r="BP28" s="838"/>
      <c r="BQ28" s="838"/>
      <c r="BR28" s="838"/>
      <c r="BS28" s="838"/>
      <c r="BT28" s="838"/>
      <c r="BU28" s="838"/>
      <c r="BV28" s="838"/>
      <c r="BW28" s="838"/>
      <c r="BX28" s="838"/>
      <c r="BY28" s="838"/>
      <c r="BZ28" s="837"/>
      <c r="CA28" s="522"/>
      <c r="CB28" s="838"/>
      <c r="CC28" s="837"/>
      <c r="CD28" s="837"/>
      <c r="CE28" s="837"/>
      <c r="CF28" s="837"/>
      <c r="CG28" s="837"/>
      <c r="CH28" s="837"/>
    </row>
    <row r="29" spans="1:86">
      <c r="A29" s="852">
        <v>20</v>
      </c>
      <c r="B29" s="852"/>
      <c r="C29" s="853" t="s">
        <v>1135</v>
      </c>
      <c r="D29" s="852" t="s">
        <v>1132</v>
      </c>
      <c r="E29" s="102">
        <v>15000</v>
      </c>
      <c r="F29" s="851"/>
      <c r="G29" s="850">
        <f t="shared" si="0"/>
        <v>0</v>
      </c>
      <c r="H29" s="849"/>
      <c r="I29" s="848"/>
      <c r="J29" s="848"/>
      <c r="K29" s="847"/>
      <c r="L29" s="841">
        <v>6</v>
      </c>
      <c r="M29" s="846">
        <f t="shared" si="1"/>
        <v>0</v>
      </c>
      <c r="N29" s="840"/>
      <c r="O29" s="845"/>
      <c r="P29" s="844" t="e">
        <f t="shared" si="10"/>
        <v>#DIV/0!</v>
      </c>
      <c r="Q29" s="840"/>
      <c r="R29" s="844">
        <f t="shared" si="2"/>
        <v>0</v>
      </c>
      <c r="T29" s="842"/>
      <c r="U29" s="843">
        <v>0.10100000000000001</v>
      </c>
      <c r="V29" s="822">
        <f t="shared" si="3"/>
        <v>0</v>
      </c>
      <c r="W29" s="822"/>
      <c r="X29" s="822"/>
      <c r="Y29" s="822"/>
      <c r="Z29" s="822"/>
      <c r="AA29" s="822"/>
      <c r="AB29" s="822"/>
      <c r="AC29" s="822"/>
      <c r="AD29" s="822"/>
      <c r="AE29" s="822"/>
      <c r="AF29" s="837"/>
      <c r="AG29" s="842"/>
      <c r="AH29" s="842"/>
      <c r="AI29" s="840"/>
      <c r="AJ29" s="837"/>
      <c r="AK29" s="837"/>
      <c r="AL29" s="842"/>
      <c r="AM29" s="837"/>
      <c r="AN29" s="842"/>
      <c r="AO29" s="837"/>
      <c r="AP29" s="842"/>
      <c r="AQ29" s="842"/>
      <c r="AR29" s="842"/>
      <c r="AS29" s="842"/>
      <c r="AT29" s="842"/>
      <c r="AU29" s="842"/>
      <c r="AV29" s="841"/>
      <c r="AW29" s="841"/>
      <c r="AX29" s="841"/>
      <c r="AY29" s="841"/>
      <c r="AZ29" s="841"/>
      <c r="BA29" s="841"/>
      <c r="BB29" s="840"/>
      <c r="BC29" s="840"/>
      <c r="BD29" s="840"/>
      <c r="BE29" s="840"/>
      <c r="BF29" s="840"/>
      <c r="BG29" s="840"/>
      <c r="BH29" s="839">
        <f t="shared" si="4"/>
        <v>0</v>
      </c>
      <c r="BI29" s="839">
        <f t="shared" si="5"/>
        <v>0</v>
      </c>
      <c r="BJ29" s="839">
        <f t="shared" si="6"/>
        <v>0</v>
      </c>
      <c r="BK29" s="839">
        <f t="shared" si="7"/>
        <v>0</v>
      </c>
      <c r="BL29" s="839">
        <f t="shared" si="8"/>
        <v>0</v>
      </c>
      <c r="BM29" s="839">
        <f t="shared" si="9"/>
        <v>0</v>
      </c>
      <c r="BN29" s="838"/>
      <c r="BO29" s="838"/>
      <c r="BP29" s="838"/>
      <c r="BQ29" s="838"/>
      <c r="BR29" s="838"/>
      <c r="BS29" s="838"/>
      <c r="BT29" s="838"/>
      <c r="BU29" s="838"/>
      <c r="BV29" s="838"/>
      <c r="BW29" s="838"/>
      <c r="BX29" s="838"/>
      <c r="BY29" s="838"/>
      <c r="BZ29" s="837"/>
      <c r="CA29" s="522"/>
      <c r="CB29" s="838"/>
      <c r="CC29" s="837"/>
      <c r="CD29" s="837"/>
      <c r="CE29" s="837"/>
      <c r="CF29" s="837"/>
      <c r="CG29" s="837"/>
      <c r="CH29" s="837"/>
    </row>
    <row r="30" spans="1:86">
      <c r="A30" s="852">
        <v>21</v>
      </c>
      <c r="B30" s="852"/>
      <c r="C30" s="853" t="s">
        <v>1134</v>
      </c>
      <c r="D30" s="852" t="s">
        <v>1133</v>
      </c>
      <c r="E30" s="102">
        <v>18000</v>
      </c>
      <c r="F30" s="851"/>
      <c r="G30" s="850">
        <f t="shared" si="0"/>
        <v>0</v>
      </c>
      <c r="H30" s="849"/>
      <c r="I30" s="848"/>
      <c r="J30" s="848"/>
      <c r="K30" s="847"/>
      <c r="L30" s="841">
        <v>6</v>
      </c>
      <c r="M30" s="846">
        <f t="shared" si="1"/>
        <v>0</v>
      </c>
      <c r="N30" s="840"/>
      <c r="O30" s="845"/>
      <c r="P30" s="844" t="e">
        <f t="shared" si="10"/>
        <v>#DIV/0!</v>
      </c>
      <c r="Q30" s="840"/>
      <c r="R30" s="844">
        <f t="shared" si="2"/>
        <v>0</v>
      </c>
      <c r="T30" s="842"/>
      <c r="U30" s="843">
        <v>0.10100000000000001</v>
      </c>
      <c r="V30" s="822">
        <f t="shared" si="3"/>
        <v>0</v>
      </c>
      <c r="W30" s="822"/>
      <c r="X30" s="822"/>
      <c r="Y30" s="822"/>
      <c r="Z30" s="822"/>
      <c r="AA30" s="822"/>
      <c r="AB30" s="822"/>
      <c r="AC30" s="822"/>
      <c r="AD30" s="822"/>
      <c r="AE30" s="822"/>
      <c r="AF30" s="837"/>
      <c r="AG30" s="842"/>
      <c r="AH30" s="842"/>
      <c r="AI30" s="840"/>
      <c r="AJ30" s="837"/>
      <c r="AK30" s="837"/>
      <c r="AL30" s="842"/>
      <c r="AM30" s="837"/>
      <c r="AN30" s="842"/>
      <c r="AO30" s="837"/>
      <c r="AP30" s="842"/>
      <c r="AQ30" s="842"/>
      <c r="AR30" s="842"/>
      <c r="AS30" s="842"/>
      <c r="AT30" s="842"/>
      <c r="AU30" s="842"/>
      <c r="AV30" s="841"/>
      <c r="AW30" s="841"/>
      <c r="AX30" s="841"/>
      <c r="AY30" s="841"/>
      <c r="AZ30" s="841"/>
      <c r="BA30" s="841"/>
      <c r="BB30" s="840"/>
      <c r="BC30" s="840"/>
      <c r="BD30" s="840"/>
      <c r="BE30" s="840"/>
      <c r="BF30" s="840"/>
      <c r="BG30" s="840"/>
      <c r="BH30" s="839">
        <f t="shared" si="4"/>
        <v>0</v>
      </c>
      <c r="BI30" s="839">
        <f t="shared" si="5"/>
        <v>0</v>
      </c>
      <c r="BJ30" s="839">
        <f t="shared" si="6"/>
        <v>0</v>
      </c>
      <c r="BK30" s="839">
        <f t="shared" si="7"/>
        <v>0</v>
      </c>
      <c r="BL30" s="839">
        <f t="shared" si="8"/>
        <v>0</v>
      </c>
      <c r="BM30" s="839">
        <f t="shared" si="9"/>
        <v>0</v>
      </c>
      <c r="BN30" s="838"/>
      <c r="BO30" s="838"/>
      <c r="BP30" s="838"/>
      <c r="BQ30" s="838"/>
      <c r="BR30" s="838"/>
      <c r="BS30" s="838"/>
      <c r="BT30" s="838"/>
      <c r="BU30" s="838"/>
      <c r="BV30" s="838"/>
      <c r="BW30" s="838"/>
      <c r="BX30" s="838"/>
      <c r="BY30" s="838"/>
      <c r="BZ30" s="837"/>
      <c r="CA30" s="522"/>
      <c r="CB30" s="838"/>
      <c r="CC30" s="837"/>
      <c r="CD30" s="837"/>
      <c r="CE30" s="837"/>
      <c r="CF30" s="837"/>
      <c r="CG30" s="837"/>
      <c r="CH30" s="837"/>
    </row>
    <row r="31" spans="1:86">
      <c r="A31" s="852">
        <v>22</v>
      </c>
      <c r="B31" s="852"/>
      <c r="C31" s="853" t="s">
        <v>87</v>
      </c>
      <c r="D31" s="854" t="s">
        <v>1133</v>
      </c>
      <c r="E31" s="102">
        <v>46000</v>
      </c>
      <c r="F31" s="851"/>
      <c r="G31" s="850">
        <f t="shared" si="0"/>
        <v>0</v>
      </c>
      <c r="H31" s="849"/>
      <c r="I31" s="848"/>
      <c r="J31" s="848"/>
      <c r="K31" s="847"/>
      <c r="L31" s="841">
        <v>6</v>
      </c>
      <c r="M31" s="846">
        <f t="shared" si="1"/>
        <v>0</v>
      </c>
      <c r="N31" s="840"/>
      <c r="O31" s="845"/>
      <c r="P31" s="844" t="e">
        <f t="shared" si="10"/>
        <v>#DIV/0!</v>
      </c>
      <c r="Q31" s="840"/>
      <c r="R31" s="844">
        <f t="shared" si="2"/>
        <v>0</v>
      </c>
      <c r="T31" s="842"/>
      <c r="U31" s="843">
        <v>0.10100000000000001</v>
      </c>
      <c r="V31" s="822">
        <f t="shared" si="3"/>
        <v>0</v>
      </c>
      <c r="W31" s="822"/>
      <c r="X31" s="822"/>
      <c r="Y31" s="822"/>
      <c r="Z31" s="822"/>
      <c r="AA31" s="822"/>
      <c r="AB31" s="822"/>
      <c r="AC31" s="822"/>
      <c r="AD31" s="822"/>
      <c r="AE31" s="822"/>
      <c r="AF31" s="837"/>
      <c r="AG31" s="842"/>
      <c r="AH31" s="842"/>
      <c r="AI31" s="840"/>
      <c r="AJ31" s="837"/>
      <c r="AK31" s="837"/>
      <c r="AL31" s="842"/>
      <c r="AM31" s="837"/>
      <c r="AN31" s="842"/>
      <c r="AO31" s="837"/>
      <c r="AP31" s="842"/>
      <c r="AQ31" s="842"/>
      <c r="AR31" s="842"/>
      <c r="AS31" s="842"/>
      <c r="AT31" s="842"/>
      <c r="AU31" s="842"/>
      <c r="AV31" s="841"/>
      <c r="AW31" s="841"/>
      <c r="AX31" s="841"/>
      <c r="AY31" s="841"/>
      <c r="AZ31" s="841"/>
      <c r="BA31" s="841"/>
      <c r="BB31" s="840"/>
      <c r="BC31" s="840"/>
      <c r="BD31" s="840"/>
      <c r="BE31" s="840"/>
      <c r="BF31" s="840"/>
      <c r="BG31" s="840"/>
      <c r="BH31" s="839">
        <f t="shared" si="4"/>
        <v>0</v>
      </c>
      <c r="BI31" s="839">
        <f t="shared" si="5"/>
        <v>0</v>
      </c>
      <c r="BJ31" s="839">
        <f t="shared" si="6"/>
        <v>0</v>
      </c>
      <c r="BK31" s="839">
        <f t="shared" si="7"/>
        <v>0</v>
      </c>
      <c r="BL31" s="839">
        <f t="shared" si="8"/>
        <v>0</v>
      </c>
      <c r="BM31" s="839">
        <f t="shared" si="9"/>
        <v>0</v>
      </c>
      <c r="BN31" s="838"/>
      <c r="BO31" s="838"/>
      <c r="BP31" s="838"/>
      <c r="BQ31" s="838"/>
      <c r="BR31" s="838"/>
      <c r="BS31" s="838"/>
      <c r="BT31" s="838"/>
      <c r="BU31" s="838"/>
      <c r="BV31" s="838"/>
      <c r="BW31" s="838"/>
      <c r="BX31" s="838"/>
      <c r="BY31" s="838"/>
      <c r="BZ31" s="837"/>
      <c r="CA31" s="522"/>
      <c r="CB31" s="838"/>
      <c r="CC31" s="837"/>
      <c r="CD31" s="837"/>
      <c r="CE31" s="837"/>
      <c r="CF31" s="837"/>
      <c r="CG31" s="837"/>
      <c r="CH31" s="837"/>
    </row>
    <row r="32" spans="1:86">
      <c r="A32" s="852">
        <v>23</v>
      </c>
      <c r="B32" s="852"/>
      <c r="C32" s="537" t="s">
        <v>83</v>
      </c>
      <c r="D32" s="854" t="s">
        <v>1132</v>
      </c>
      <c r="E32" s="102">
        <v>104000</v>
      </c>
      <c r="F32" s="851"/>
      <c r="G32" s="850">
        <f t="shared" si="0"/>
        <v>0</v>
      </c>
      <c r="H32" s="849"/>
      <c r="I32" s="848"/>
      <c r="J32" s="848"/>
      <c r="K32" s="847"/>
      <c r="L32" s="841">
        <v>6</v>
      </c>
      <c r="M32" s="846">
        <f t="shared" si="1"/>
        <v>0</v>
      </c>
      <c r="N32" s="840"/>
      <c r="O32" s="845"/>
      <c r="P32" s="844" t="e">
        <f t="shared" si="10"/>
        <v>#DIV/0!</v>
      </c>
      <c r="Q32" s="840"/>
      <c r="R32" s="844">
        <f t="shared" si="2"/>
        <v>0</v>
      </c>
      <c r="T32" s="842"/>
      <c r="U32" s="843">
        <v>0.10100000000000001</v>
      </c>
      <c r="V32" s="822">
        <f t="shared" si="3"/>
        <v>0</v>
      </c>
      <c r="W32" s="822"/>
      <c r="X32" s="822"/>
      <c r="Y32" s="822"/>
      <c r="Z32" s="822"/>
      <c r="AA32" s="822"/>
      <c r="AB32" s="822"/>
      <c r="AC32" s="822"/>
      <c r="AD32" s="822"/>
      <c r="AE32" s="822"/>
      <c r="AF32" s="837"/>
      <c r="AG32" s="842"/>
      <c r="AH32" s="842"/>
      <c r="AI32" s="840"/>
      <c r="AJ32" s="837"/>
      <c r="AK32" s="837"/>
      <c r="AL32" s="842"/>
      <c r="AM32" s="837"/>
      <c r="AN32" s="842"/>
      <c r="AO32" s="837"/>
      <c r="AP32" s="842"/>
      <c r="AQ32" s="842"/>
      <c r="AR32" s="842"/>
      <c r="AS32" s="842"/>
      <c r="AT32" s="842"/>
      <c r="AU32" s="842"/>
      <c r="AV32" s="841"/>
      <c r="AW32" s="841"/>
      <c r="AX32" s="841"/>
      <c r="AY32" s="841"/>
      <c r="AZ32" s="841"/>
      <c r="BA32" s="841"/>
      <c r="BB32" s="840"/>
      <c r="BC32" s="840"/>
      <c r="BD32" s="840"/>
      <c r="BE32" s="840"/>
      <c r="BF32" s="840"/>
      <c r="BG32" s="840"/>
      <c r="BH32" s="839">
        <f t="shared" si="4"/>
        <v>0</v>
      </c>
      <c r="BI32" s="839">
        <f t="shared" si="5"/>
        <v>0</v>
      </c>
      <c r="BJ32" s="839">
        <f t="shared" si="6"/>
        <v>0</v>
      </c>
      <c r="BK32" s="839">
        <f t="shared" si="7"/>
        <v>0</v>
      </c>
      <c r="BL32" s="839">
        <f t="shared" si="8"/>
        <v>0</v>
      </c>
      <c r="BM32" s="839">
        <f t="shared" si="9"/>
        <v>0</v>
      </c>
      <c r="BN32" s="838"/>
      <c r="BO32" s="838"/>
      <c r="BP32" s="838"/>
      <c r="BQ32" s="838"/>
      <c r="BR32" s="838"/>
      <c r="BS32" s="838"/>
      <c r="BT32" s="838"/>
      <c r="BU32" s="838"/>
      <c r="BV32" s="838"/>
      <c r="BW32" s="838"/>
      <c r="BX32" s="838"/>
      <c r="BY32" s="838"/>
      <c r="BZ32" s="837"/>
      <c r="CA32" s="522"/>
      <c r="CB32" s="838"/>
      <c r="CC32" s="837"/>
      <c r="CD32" s="837"/>
      <c r="CE32" s="837"/>
      <c r="CF32" s="837"/>
      <c r="CG32" s="837"/>
      <c r="CH32" s="837"/>
    </row>
    <row r="33" spans="1:88">
      <c r="A33" s="852">
        <v>24</v>
      </c>
      <c r="B33" s="852"/>
      <c r="C33" s="853" t="s">
        <v>80</v>
      </c>
      <c r="D33" s="852" t="s">
        <v>1132</v>
      </c>
      <c r="E33" s="102">
        <v>66000</v>
      </c>
      <c r="F33" s="851"/>
      <c r="G33" s="850">
        <f t="shared" si="0"/>
        <v>0</v>
      </c>
      <c r="H33" s="849"/>
      <c r="I33" s="848"/>
      <c r="J33" s="848"/>
      <c r="K33" s="847"/>
      <c r="L33" s="841">
        <v>6</v>
      </c>
      <c r="M33" s="846">
        <f t="shared" si="1"/>
        <v>0</v>
      </c>
      <c r="N33" s="840"/>
      <c r="O33" s="845"/>
      <c r="P33" s="844" t="e">
        <f t="shared" si="10"/>
        <v>#DIV/0!</v>
      </c>
      <c r="Q33" s="840"/>
      <c r="R33" s="844">
        <f t="shared" si="2"/>
        <v>0</v>
      </c>
      <c r="T33" s="842"/>
      <c r="U33" s="843">
        <v>0.10100000000000001</v>
      </c>
      <c r="V33" s="822">
        <f t="shared" si="3"/>
        <v>0</v>
      </c>
      <c r="W33" s="822"/>
      <c r="X33" s="822"/>
      <c r="Y33" s="822"/>
      <c r="Z33" s="822"/>
      <c r="AA33" s="822"/>
      <c r="AB33" s="822"/>
      <c r="AC33" s="822"/>
      <c r="AD33" s="822"/>
      <c r="AE33" s="822"/>
      <c r="AF33" s="837"/>
      <c r="AG33" s="842"/>
      <c r="AH33" s="842"/>
      <c r="AI33" s="840"/>
      <c r="AJ33" s="837"/>
      <c r="AK33" s="837"/>
      <c r="AL33" s="842"/>
      <c r="AM33" s="837"/>
      <c r="AN33" s="842"/>
      <c r="AO33" s="837"/>
      <c r="AP33" s="842"/>
      <c r="AQ33" s="842"/>
      <c r="AR33" s="842"/>
      <c r="AS33" s="842"/>
      <c r="AT33" s="842"/>
      <c r="AU33" s="842"/>
      <c r="AV33" s="841"/>
      <c r="AW33" s="841"/>
      <c r="AX33" s="841"/>
      <c r="AY33" s="841"/>
      <c r="AZ33" s="841"/>
      <c r="BA33" s="841"/>
      <c r="BB33" s="840"/>
      <c r="BC33" s="840"/>
      <c r="BD33" s="840"/>
      <c r="BE33" s="840"/>
      <c r="BF33" s="840"/>
      <c r="BG33" s="840"/>
      <c r="BH33" s="839">
        <f t="shared" si="4"/>
        <v>0</v>
      </c>
      <c r="BI33" s="839">
        <f t="shared" si="5"/>
        <v>0</v>
      </c>
      <c r="BJ33" s="839">
        <f t="shared" si="6"/>
        <v>0</v>
      </c>
      <c r="BK33" s="839">
        <f t="shared" si="7"/>
        <v>0</v>
      </c>
      <c r="BL33" s="839">
        <f t="shared" si="8"/>
        <v>0</v>
      </c>
      <c r="BM33" s="839">
        <f t="shared" si="9"/>
        <v>0</v>
      </c>
      <c r="BN33" s="838"/>
      <c r="BO33" s="838"/>
      <c r="BP33" s="838"/>
      <c r="BQ33" s="838"/>
      <c r="BR33" s="838"/>
      <c r="BS33" s="838"/>
      <c r="BT33" s="838"/>
      <c r="BU33" s="838"/>
      <c r="BV33" s="838"/>
      <c r="BW33" s="838"/>
      <c r="BX33" s="838"/>
      <c r="BY33" s="838"/>
      <c r="BZ33" s="837"/>
      <c r="CA33" s="522"/>
      <c r="CB33" s="838"/>
      <c r="CC33" s="837"/>
      <c r="CD33" s="837"/>
      <c r="CE33" s="837"/>
      <c r="CF33" s="837"/>
      <c r="CG33" s="837"/>
      <c r="CH33" s="837"/>
    </row>
    <row r="34" spans="1:88">
      <c r="A34" s="852">
        <v>25</v>
      </c>
      <c r="B34" s="852"/>
      <c r="C34" s="852" t="s">
        <v>157</v>
      </c>
      <c r="D34" s="852" t="s">
        <v>1131</v>
      </c>
      <c r="E34" s="102">
        <v>40000</v>
      </c>
      <c r="F34" s="851"/>
      <c r="G34" s="850">
        <f t="shared" si="0"/>
        <v>0</v>
      </c>
      <c r="H34" s="849"/>
      <c r="I34" s="848"/>
      <c r="J34" s="848"/>
      <c r="K34" s="847"/>
      <c r="L34" s="841">
        <v>6</v>
      </c>
      <c r="M34" s="846">
        <f t="shared" si="1"/>
        <v>0</v>
      </c>
      <c r="N34" s="840"/>
      <c r="O34" s="845"/>
      <c r="P34" s="844" t="e">
        <f t="shared" si="10"/>
        <v>#DIV/0!</v>
      </c>
      <c r="Q34" s="840"/>
      <c r="R34" s="844">
        <f t="shared" si="2"/>
        <v>0</v>
      </c>
      <c r="T34" s="842"/>
      <c r="U34" s="843">
        <v>0.10100000000000001</v>
      </c>
      <c r="V34" s="822">
        <f t="shared" si="3"/>
        <v>0</v>
      </c>
      <c r="W34" s="822"/>
      <c r="X34" s="822"/>
      <c r="Y34" s="822"/>
      <c r="Z34" s="822"/>
      <c r="AA34" s="822"/>
      <c r="AB34" s="822"/>
      <c r="AC34" s="822"/>
      <c r="AD34" s="822"/>
      <c r="AE34" s="822"/>
      <c r="AF34" s="837"/>
      <c r="AG34" s="842"/>
      <c r="AH34" s="842"/>
      <c r="AI34" s="840"/>
      <c r="AJ34" s="837"/>
      <c r="AK34" s="837"/>
      <c r="AL34" s="842"/>
      <c r="AM34" s="837"/>
      <c r="AN34" s="842"/>
      <c r="AO34" s="837"/>
      <c r="AP34" s="842"/>
      <c r="AQ34" s="842"/>
      <c r="AR34" s="842"/>
      <c r="AS34" s="842"/>
      <c r="AT34" s="842"/>
      <c r="AU34" s="842"/>
      <c r="AV34" s="841"/>
      <c r="AW34" s="841"/>
      <c r="AX34" s="841"/>
      <c r="AY34" s="841"/>
      <c r="AZ34" s="841"/>
      <c r="BA34" s="841"/>
      <c r="BB34" s="840"/>
      <c r="BC34" s="840"/>
      <c r="BD34" s="840"/>
      <c r="BE34" s="840"/>
      <c r="BF34" s="840"/>
      <c r="BG34" s="840"/>
      <c r="BH34" s="839">
        <f t="shared" si="4"/>
        <v>0</v>
      </c>
      <c r="BI34" s="839">
        <f t="shared" si="5"/>
        <v>0</v>
      </c>
      <c r="BJ34" s="839">
        <f t="shared" si="6"/>
        <v>0</v>
      </c>
      <c r="BK34" s="839">
        <f t="shared" si="7"/>
        <v>0</v>
      </c>
      <c r="BL34" s="839">
        <f t="shared" si="8"/>
        <v>0</v>
      </c>
      <c r="BM34" s="839">
        <f t="shared" si="9"/>
        <v>0</v>
      </c>
      <c r="BN34" s="838"/>
      <c r="BO34" s="838"/>
      <c r="BP34" s="838"/>
      <c r="BQ34" s="838"/>
      <c r="BR34" s="838"/>
      <c r="BS34" s="838"/>
      <c r="BT34" s="838"/>
      <c r="BU34" s="838"/>
      <c r="BV34" s="838"/>
      <c r="BW34" s="838"/>
      <c r="BX34" s="838"/>
      <c r="BY34" s="838"/>
      <c r="BZ34" s="837"/>
      <c r="CA34" s="522"/>
      <c r="CB34" s="838"/>
      <c r="CC34" s="837"/>
      <c r="CD34" s="837"/>
      <c r="CE34" s="837"/>
      <c r="CF34" s="837"/>
      <c r="CG34" s="837"/>
      <c r="CH34" s="837"/>
    </row>
    <row r="36" spans="1:88" s="154" customFormat="1">
      <c r="D36" s="154" t="s">
        <v>467</v>
      </c>
      <c r="E36" s="247"/>
      <c r="F36" s="247"/>
      <c r="G36" s="836"/>
      <c r="H36" s="828"/>
      <c r="I36" s="829"/>
      <c r="J36" s="829"/>
      <c r="K36" s="828"/>
      <c r="N36" s="506" t="s">
        <v>733</v>
      </c>
      <c r="O36" s="507"/>
      <c r="P36" s="506"/>
      <c r="Q36" s="506"/>
      <c r="R36" s="506"/>
      <c r="S36" s="506"/>
      <c r="U36" s="508"/>
      <c r="AF36" s="508"/>
      <c r="AI36" s="506"/>
      <c r="AJ36" s="508"/>
      <c r="AK36" s="508"/>
      <c r="AM36" s="508"/>
      <c r="AO36" s="508"/>
      <c r="AV36" s="827"/>
      <c r="AW36" s="827"/>
      <c r="AX36" s="827"/>
      <c r="AY36" s="827"/>
      <c r="AZ36" s="827"/>
      <c r="BA36" s="827"/>
      <c r="BB36" s="506"/>
      <c r="BC36" s="506"/>
      <c r="BD36" s="506"/>
      <c r="BE36" s="506"/>
      <c r="BF36" s="506"/>
      <c r="BG36" s="506"/>
      <c r="BH36" s="826"/>
      <c r="BI36" s="826"/>
      <c r="BJ36" s="826"/>
      <c r="BK36" s="826"/>
      <c r="BL36" s="826"/>
      <c r="BN36" s="826"/>
      <c r="BO36" s="826"/>
      <c r="BP36" s="826"/>
      <c r="BQ36" s="826"/>
      <c r="BR36" s="826"/>
      <c r="BS36" s="826"/>
      <c r="BT36" s="826"/>
      <c r="BU36" s="826"/>
      <c r="BV36" s="826"/>
      <c r="BW36" s="826"/>
      <c r="BX36" s="826"/>
      <c r="BY36" s="826"/>
      <c r="BZ36" s="508"/>
      <c r="CA36" s="508"/>
      <c r="CB36" s="826"/>
      <c r="CC36" s="508"/>
      <c r="CD36" s="508"/>
      <c r="CE36" s="508"/>
      <c r="CF36" s="508"/>
      <c r="CG36" s="508"/>
      <c r="CH36" s="508"/>
    </row>
    <row r="37" spans="1:88" s="154" customFormat="1">
      <c r="D37" s="248" t="s">
        <v>468</v>
      </c>
      <c r="E37" s="249">
        <v>0</v>
      </c>
      <c r="N37" s="506" t="s">
        <v>734</v>
      </c>
      <c r="O37" s="507"/>
      <c r="P37" s="506"/>
      <c r="Q37" s="506"/>
      <c r="R37" s="506"/>
      <c r="S37" s="506"/>
      <c r="X37" s="835" t="s">
        <v>1130</v>
      </c>
      <c r="Y37" s="834"/>
      <c r="Z37" s="833" t="s">
        <v>1129</v>
      </c>
      <c r="AA37" s="833" t="s">
        <v>1128</v>
      </c>
      <c r="AH37" s="508"/>
      <c r="AK37" s="506"/>
      <c r="AL37" s="508"/>
      <c r="AM37" s="508"/>
      <c r="AO37" s="508"/>
      <c r="AQ37" s="508"/>
      <c r="AX37" s="827"/>
      <c r="AY37" s="827"/>
      <c r="AZ37" s="827"/>
      <c r="BA37" s="827"/>
      <c r="BB37" s="827"/>
      <c r="BC37" s="827"/>
      <c r="BD37" s="506"/>
      <c r="BE37" s="506"/>
      <c r="BF37" s="506"/>
      <c r="BG37" s="506"/>
      <c r="BH37" s="506"/>
      <c r="BI37" s="506"/>
      <c r="BJ37" s="826"/>
      <c r="BK37" s="826"/>
      <c r="BL37" s="826"/>
      <c r="BM37" s="826"/>
      <c r="BN37" s="826"/>
      <c r="BP37" s="826"/>
      <c r="BQ37" s="826"/>
      <c r="BR37" s="826"/>
      <c r="BS37" s="826"/>
      <c r="BT37" s="826"/>
      <c r="BU37" s="826"/>
      <c r="BV37" s="826"/>
      <c r="BW37" s="826"/>
      <c r="BX37" s="826"/>
      <c r="BY37" s="826"/>
      <c r="BZ37" s="826"/>
      <c r="CA37" s="826"/>
      <c r="CB37" s="508"/>
      <c r="CC37" s="508"/>
      <c r="CD37" s="826"/>
      <c r="CE37" s="508"/>
      <c r="CF37" s="508"/>
      <c r="CG37" s="508"/>
      <c r="CH37" s="508"/>
      <c r="CI37" s="508"/>
      <c r="CJ37" s="508"/>
    </row>
    <row r="38" spans="1:88" s="154" customFormat="1">
      <c r="D38" s="248" t="s">
        <v>469</v>
      </c>
      <c r="E38" s="249">
        <v>0</v>
      </c>
      <c r="N38" s="509" t="s">
        <v>91</v>
      </c>
      <c r="O38" s="510" t="s">
        <v>735</v>
      </c>
      <c r="P38" s="511" t="s">
        <v>736</v>
      </c>
      <c r="Q38" s="512" t="s">
        <v>737</v>
      </c>
      <c r="R38" s="512" t="s">
        <v>738</v>
      </c>
      <c r="S38" s="154" t="s">
        <v>739</v>
      </c>
      <c r="T38" s="512" t="s">
        <v>740</v>
      </c>
      <c r="V38" s="154" t="s">
        <v>741</v>
      </c>
      <c r="X38" s="154" t="s">
        <v>1127</v>
      </c>
      <c r="Y38" s="508"/>
      <c r="Z38" s="157">
        <v>0.98</v>
      </c>
      <c r="AA38" s="832">
        <f>ABS(Z38-1)</f>
        <v>2.0000000000000018E-2</v>
      </c>
      <c r="AH38" s="508"/>
      <c r="AK38" s="506"/>
      <c r="AL38" s="508"/>
      <c r="AM38" s="508"/>
      <c r="AO38" s="508"/>
      <c r="AQ38" s="508"/>
      <c r="AX38" s="827"/>
      <c r="AY38" s="827"/>
      <c r="AZ38" s="827"/>
      <c r="BA38" s="827"/>
      <c r="BB38" s="827"/>
      <c r="BC38" s="827"/>
      <c r="BD38" s="506"/>
      <c r="BE38" s="506"/>
      <c r="BF38" s="506"/>
      <c r="BG38" s="506"/>
      <c r="BH38" s="506"/>
      <c r="BI38" s="506"/>
      <c r="BJ38" s="826"/>
      <c r="BK38" s="826"/>
      <c r="BL38" s="826"/>
      <c r="BM38" s="826"/>
      <c r="BN38" s="826"/>
      <c r="BP38" s="826"/>
      <c r="BQ38" s="826"/>
      <c r="BR38" s="826"/>
      <c r="BS38" s="826"/>
      <c r="BT38" s="826"/>
      <c r="BU38" s="826"/>
      <c r="BV38" s="826"/>
      <c r="BW38" s="826"/>
      <c r="BX38" s="826"/>
      <c r="BY38" s="826"/>
      <c r="BZ38" s="826"/>
      <c r="CA38" s="826"/>
      <c r="CB38" s="508"/>
      <c r="CC38" s="508"/>
      <c r="CD38" s="826"/>
      <c r="CE38" s="508"/>
      <c r="CF38" s="508"/>
      <c r="CG38" s="508"/>
      <c r="CH38" s="508"/>
      <c r="CI38" s="508"/>
      <c r="CJ38" s="508"/>
    </row>
    <row r="39" spans="1:88" s="154" customFormat="1">
      <c r="D39" s="248" t="s">
        <v>470</v>
      </c>
      <c r="E39" s="249">
        <f>1%*0</f>
        <v>0</v>
      </c>
      <c r="F39" s="154" t="s">
        <v>731</v>
      </c>
      <c r="H39" s="828"/>
      <c r="I39" s="829"/>
      <c r="J39" s="829"/>
      <c r="K39" s="828"/>
      <c r="N39" s="451">
        <v>2000</v>
      </c>
      <c r="O39" s="513">
        <v>39.769637454815403</v>
      </c>
      <c r="P39" s="506"/>
      <c r="Q39" s="129">
        <v>9.3778330122147192E-3</v>
      </c>
      <c r="R39" s="514">
        <f>R40/(1+Q39)</f>
        <v>90.457190646077194</v>
      </c>
      <c r="S39" s="281">
        <v>2499044442112</v>
      </c>
      <c r="X39" s="154" t="s">
        <v>23</v>
      </c>
      <c r="Z39" s="157">
        <v>0.57999999999999996</v>
      </c>
      <c r="AA39" s="832">
        <f>ABS(Z39-1)</f>
        <v>0.42000000000000004</v>
      </c>
      <c r="AH39" s="508"/>
      <c r="AK39" s="506"/>
      <c r="AL39" s="508"/>
      <c r="AM39" s="508"/>
      <c r="AO39" s="508"/>
      <c r="AQ39" s="508"/>
      <c r="AX39" s="827"/>
      <c r="AY39" s="827"/>
      <c r="AZ39" s="827"/>
      <c r="BA39" s="827"/>
      <c r="BB39" s="827"/>
      <c r="BC39" s="827"/>
      <c r="BD39" s="506"/>
      <c r="BE39" s="506"/>
      <c r="BF39" s="506"/>
      <c r="BG39" s="506"/>
      <c r="BH39" s="506"/>
      <c r="BI39" s="506"/>
      <c r="BJ39" s="826"/>
      <c r="BK39" s="826"/>
      <c r="BL39" s="826"/>
      <c r="BM39" s="826"/>
      <c r="BN39" s="826"/>
      <c r="BP39" s="826"/>
      <c r="BQ39" s="826"/>
      <c r="BR39" s="826"/>
      <c r="BS39" s="826"/>
      <c r="BT39" s="826"/>
      <c r="BU39" s="826"/>
      <c r="BV39" s="826"/>
      <c r="BW39" s="826"/>
      <c r="BX39" s="826"/>
      <c r="BY39" s="826"/>
      <c r="BZ39" s="826"/>
      <c r="CA39" s="826"/>
      <c r="CB39" s="508"/>
      <c r="CC39" s="508"/>
      <c r="CD39" s="826"/>
      <c r="CE39" s="508"/>
      <c r="CF39" s="508"/>
      <c r="CG39" s="508"/>
      <c r="CH39" s="508"/>
      <c r="CI39" s="508"/>
      <c r="CJ39" s="508"/>
    </row>
    <row r="40" spans="1:88" s="154" customFormat="1">
      <c r="D40" s="111" t="s">
        <v>471</v>
      </c>
      <c r="E40" s="879"/>
      <c r="F40" s="9"/>
      <c r="G40" s="9"/>
      <c r="H40" s="9"/>
      <c r="I40" s="9"/>
      <c r="J40" s="4"/>
      <c r="K40" s="828"/>
      <c r="N40" s="451">
        <v>2001</v>
      </c>
      <c r="O40" s="513">
        <v>48.277867065377997</v>
      </c>
      <c r="P40" s="515">
        <f t="shared" ref="P40:P48" si="11">(O40-O39)/O39</f>
        <v>0.21393782179254936</v>
      </c>
      <c r="Q40" s="129">
        <v>2.3848413954639401E-2</v>
      </c>
      <c r="R40" s="514">
        <f>R41/(1+Q40)</f>
        <v>91.305483074710182</v>
      </c>
      <c r="S40" s="281">
        <v>2621311025152</v>
      </c>
      <c r="T40" s="516">
        <f t="shared" ref="T40:T48" si="12">(S40-S39)/S39</f>
        <v>4.8925333611382155E-2</v>
      </c>
      <c r="X40" s="154" t="s">
        <v>12</v>
      </c>
      <c r="Y40" s="508"/>
      <c r="Z40" s="157">
        <v>0.63</v>
      </c>
      <c r="AA40" s="832">
        <f>ABS(Z40-1)</f>
        <v>0.37</v>
      </c>
      <c r="AH40" s="508"/>
      <c r="AK40" s="506"/>
      <c r="AL40" s="508"/>
      <c r="AM40" s="508"/>
      <c r="AO40" s="508"/>
      <c r="AQ40" s="508"/>
      <c r="AX40" s="827"/>
      <c r="AY40" s="827"/>
      <c r="AZ40" s="827"/>
      <c r="BA40" s="827"/>
      <c r="BB40" s="827"/>
      <c r="BC40" s="827"/>
      <c r="BD40" s="506"/>
      <c r="BE40" s="506"/>
      <c r="BF40" s="506"/>
      <c r="BG40" s="506"/>
      <c r="BH40" s="506"/>
      <c r="BI40" s="506"/>
      <c r="BJ40" s="826"/>
      <c r="BK40" s="826"/>
      <c r="BL40" s="826"/>
      <c r="BM40" s="826"/>
      <c r="BN40" s="826"/>
      <c r="BP40" s="826"/>
      <c r="BQ40" s="826"/>
      <c r="BR40" s="826"/>
      <c r="BS40" s="826"/>
      <c r="BT40" s="826"/>
      <c r="BU40" s="826"/>
      <c r="BV40" s="826"/>
      <c r="BW40" s="826"/>
      <c r="BX40" s="826"/>
      <c r="BY40" s="826"/>
      <c r="BZ40" s="826"/>
      <c r="CA40" s="826"/>
      <c r="CB40" s="508"/>
      <c r="CC40" s="508"/>
      <c r="CD40" s="826"/>
      <c r="CE40" s="508"/>
      <c r="CF40" s="508"/>
      <c r="CG40" s="508"/>
      <c r="CH40" s="508"/>
      <c r="CI40" s="508"/>
      <c r="CJ40" s="508"/>
    </row>
    <row r="41" spans="1:88" s="154" customFormat="1">
      <c r="D41" s="111" t="s">
        <v>472</v>
      </c>
      <c r="E41" s="880">
        <v>1</v>
      </c>
      <c r="F41" s="9">
        <v>2</v>
      </c>
      <c r="G41" s="9">
        <v>3</v>
      </c>
      <c r="H41" s="9">
        <v>4</v>
      </c>
      <c r="I41" s="9">
        <v>5</v>
      </c>
      <c r="J41" s="829"/>
      <c r="K41" s="828"/>
      <c r="N41" s="451">
        <v>2002</v>
      </c>
      <c r="O41" s="513">
        <v>59.0116516363586</v>
      </c>
      <c r="P41" s="515">
        <f t="shared" si="11"/>
        <v>0.22233344643094707</v>
      </c>
      <c r="Q41" s="129">
        <v>3.8817397624366398E-3</v>
      </c>
      <c r="R41" s="514">
        <f>R42/(1+Q41)</f>
        <v>93.482974031404183</v>
      </c>
      <c r="S41" s="281">
        <v>2692488975515.7437</v>
      </c>
      <c r="T41" s="516">
        <f t="shared" si="12"/>
        <v>2.7153569218142021E-2</v>
      </c>
      <c r="X41" s="154" t="s">
        <v>1126</v>
      </c>
      <c r="Y41" s="508"/>
      <c r="Z41" s="157">
        <v>0.69</v>
      </c>
      <c r="AA41" s="832">
        <f>ABS(Z41-1)</f>
        <v>0.31000000000000005</v>
      </c>
      <c r="AH41" s="508"/>
      <c r="AK41" s="506"/>
      <c r="AL41" s="508"/>
      <c r="AM41" s="508"/>
      <c r="AO41" s="508"/>
      <c r="AQ41" s="508"/>
      <c r="AX41" s="827"/>
      <c r="AY41" s="827"/>
      <c r="AZ41" s="827"/>
      <c r="BA41" s="827"/>
      <c r="BB41" s="827"/>
      <c r="BC41" s="827"/>
      <c r="BD41" s="506"/>
      <c r="BE41" s="506"/>
      <c r="BF41" s="506"/>
      <c r="BG41" s="506"/>
      <c r="BH41" s="506"/>
      <c r="BI41" s="506"/>
      <c r="BJ41" s="826"/>
      <c r="BK41" s="826"/>
      <c r="BL41" s="826"/>
      <c r="BM41" s="826"/>
      <c r="BN41" s="826"/>
      <c r="BP41" s="826"/>
      <c r="BQ41" s="826"/>
      <c r="BR41" s="826"/>
      <c r="BS41" s="826"/>
      <c r="BT41" s="826"/>
      <c r="BU41" s="826"/>
      <c r="BV41" s="826"/>
      <c r="BW41" s="826"/>
      <c r="BX41" s="826"/>
      <c r="BY41" s="826"/>
      <c r="BZ41" s="826"/>
      <c r="CA41" s="826"/>
      <c r="CB41" s="508"/>
      <c r="CC41" s="508"/>
      <c r="CD41" s="826"/>
      <c r="CE41" s="508"/>
      <c r="CF41" s="508"/>
      <c r="CG41" s="508"/>
      <c r="CH41" s="508"/>
      <c r="CI41" s="508"/>
      <c r="CJ41" s="508"/>
    </row>
    <row r="42" spans="1:88" s="154" customFormat="1">
      <c r="D42" s="111" t="s">
        <v>473</v>
      </c>
      <c r="E42" s="105">
        <v>0.05</v>
      </c>
      <c r="F42" s="105">
        <v>0.2</v>
      </c>
      <c r="G42" s="105">
        <v>0.35</v>
      </c>
      <c r="H42" s="105">
        <v>0.35</v>
      </c>
      <c r="I42" s="105">
        <v>0.05</v>
      </c>
      <c r="J42" s="829"/>
      <c r="K42" s="828"/>
      <c r="N42" s="451">
        <v>2003</v>
      </c>
      <c r="O42" s="513">
        <v>71.641076520665194</v>
      </c>
      <c r="P42" s="515">
        <f t="shared" si="11"/>
        <v>0.21401578390199266</v>
      </c>
      <c r="Q42" s="129">
        <v>3.3446799864373399E-2</v>
      </c>
      <c r="R42" s="514">
        <f>R43/(1+Q42)</f>
        <v>93.845850608812725</v>
      </c>
      <c r="S42" s="281">
        <v>2845110652295.5903</v>
      </c>
      <c r="T42" s="516">
        <f t="shared" si="12"/>
        <v>5.6684234612552925E-2</v>
      </c>
      <c r="X42" s="154" t="s">
        <v>1125</v>
      </c>
      <c r="Y42" s="508"/>
      <c r="Z42" s="157">
        <v>0.62</v>
      </c>
      <c r="AA42" s="832">
        <f>ABS(Z42-1)</f>
        <v>0.38</v>
      </c>
      <c r="AH42" s="508"/>
      <c r="AK42" s="506"/>
      <c r="AL42" s="508"/>
      <c r="AM42" s="508"/>
      <c r="AO42" s="508"/>
      <c r="AQ42" s="508"/>
      <c r="AX42" s="827"/>
      <c r="AY42" s="827"/>
      <c r="AZ42" s="827"/>
      <c r="BA42" s="827"/>
      <c r="BB42" s="827"/>
      <c r="BC42" s="827"/>
      <c r="BD42" s="506"/>
      <c r="BE42" s="506"/>
      <c r="BF42" s="506"/>
      <c r="BG42" s="506"/>
      <c r="BH42" s="506"/>
      <c r="BI42" s="506"/>
      <c r="BJ42" s="826"/>
      <c r="BK42" s="826"/>
      <c r="BL42" s="826"/>
      <c r="BM42" s="826"/>
      <c r="BN42" s="826"/>
      <c r="BP42" s="826"/>
      <c r="BQ42" s="826"/>
      <c r="BR42" s="826"/>
      <c r="BS42" s="826"/>
      <c r="BT42" s="826"/>
      <c r="BU42" s="826"/>
      <c r="BV42" s="826"/>
      <c r="BW42" s="826"/>
      <c r="BX42" s="826"/>
      <c r="BY42" s="826"/>
      <c r="BZ42" s="826"/>
      <c r="CA42" s="826"/>
      <c r="CB42" s="508"/>
      <c r="CC42" s="508"/>
      <c r="CD42" s="826"/>
      <c r="CE42" s="508"/>
      <c r="CF42" s="508"/>
      <c r="CG42" s="508"/>
      <c r="CH42" s="508"/>
      <c r="CI42" s="508"/>
      <c r="CJ42" s="508"/>
    </row>
    <row r="43" spans="1:88" s="154" customFormat="1">
      <c r="H43" s="828"/>
      <c r="I43" s="829"/>
      <c r="J43" s="829"/>
      <c r="K43" s="828"/>
      <c r="N43" s="451">
        <v>2004</v>
      </c>
      <c r="O43" s="513">
        <v>84.513394065121304</v>
      </c>
      <c r="P43" s="515">
        <f t="shared" si="11"/>
        <v>0.17967789108728749</v>
      </c>
      <c r="Q43" s="129">
        <v>3.1090534842684099E-2</v>
      </c>
      <c r="R43" s="514">
        <f>R44/(1+Q43)</f>
        <v>96.984693992227577</v>
      </c>
      <c r="S43" s="281">
        <v>2999805000000</v>
      </c>
      <c r="T43" s="516">
        <f t="shared" si="12"/>
        <v>5.4371996948376626E-2</v>
      </c>
      <c r="Y43" s="508"/>
      <c r="AH43" s="508"/>
      <c r="AK43" s="506"/>
      <c r="AL43" s="508"/>
      <c r="AM43" s="508"/>
      <c r="AO43" s="508"/>
      <c r="AQ43" s="508"/>
      <c r="AX43" s="827"/>
      <c r="AY43" s="827"/>
      <c r="AZ43" s="827"/>
      <c r="BA43" s="827"/>
      <c r="BB43" s="827"/>
      <c r="BC43" s="827"/>
      <c r="BD43" s="506"/>
      <c r="BE43" s="506"/>
      <c r="BF43" s="506"/>
      <c r="BG43" s="506"/>
      <c r="BH43" s="506"/>
      <c r="BI43" s="506"/>
      <c r="BJ43" s="826"/>
      <c r="BK43" s="826"/>
      <c r="BL43" s="826"/>
      <c r="BM43" s="826"/>
      <c r="BN43" s="826"/>
      <c r="BP43" s="826"/>
      <c r="BQ43" s="826"/>
      <c r="BR43" s="826"/>
      <c r="BS43" s="826"/>
      <c r="BT43" s="826"/>
      <c r="BU43" s="826"/>
      <c r="BV43" s="826"/>
      <c r="BW43" s="826"/>
      <c r="BX43" s="826"/>
      <c r="BY43" s="826"/>
      <c r="BZ43" s="826"/>
      <c r="CA43" s="826"/>
      <c r="CB43" s="508"/>
      <c r="CC43" s="508"/>
      <c r="CD43" s="826"/>
      <c r="CE43" s="508"/>
      <c r="CF43" s="508"/>
      <c r="CG43" s="508"/>
      <c r="CH43" s="508"/>
      <c r="CI43" s="508"/>
      <c r="CJ43" s="508"/>
    </row>
    <row r="44" spans="1:88" s="154" customFormat="1">
      <c r="D44" s="154" t="s">
        <v>474</v>
      </c>
      <c r="E44" s="157">
        <v>4995</v>
      </c>
      <c r="F44" s="154" t="s">
        <v>475</v>
      </c>
      <c r="H44" s="828"/>
      <c r="I44" s="829"/>
      <c r="J44" s="829"/>
      <c r="K44" s="828"/>
      <c r="N44" s="451">
        <v>2005</v>
      </c>
      <c r="O44" s="513">
        <v>100</v>
      </c>
      <c r="P44" s="515">
        <f t="shared" si="11"/>
        <v>0.18324439701173972</v>
      </c>
      <c r="Q44" s="129">
        <v>2.8147285038391201E-2</v>
      </c>
      <c r="R44" s="517">
        <v>100</v>
      </c>
      <c r="S44" s="281">
        <v>3155795000000</v>
      </c>
      <c r="T44" s="516">
        <f t="shared" si="12"/>
        <v>5.2000046669700199E-2</v>
      </c>
      <c r="Y44" s="508"/>
      <c r="AA44" s="154" t="s">
        <v>1124</v>
      </c>
      <c r="AH44" s="508"/>
      <c r="AK44" s="506"/>
      <c r="AL44" s="508"/>
      <c r="AM44" s="508"/>
      <c r="AO44" s="508"/>
      <c r="AQ44" s="508"/>
      <c r="AX44" s="827"/>
      <c r="AY44" s="827"/>
      <c r="AZ44" s="827"/>
      <c r="BA44" s="827"/>
      <c r="BB44" s="827"/>
      <c r="BC44" s="827"/>
      <c r="BD44" s="506"/>
      <c r="BE44" s="506"/>
      <c r="BF44" s="506"/>
      <c r="BG44" s="506"/>
      <c r="BH44" s="506"/>
      <c r="BI44" s="506"/>
      <c r="BJ44" s="826"/>
      <c r="BK44" s="826"/>
      <c r="BL44" s="826"/>
      <c r="BM44" s="826"/>
      <c r="BN44" s="826"/>
      <c r="BP44" s="826"/>
      <c r="BQ44" s="826"/>
      <c r="BR44" s="826"/>
      <c r="BS44" s="826"/>
      <c r="BT44" s="826"/>
      <c r="BU44" s="826"/>
      <c r="BV44" s="826"/>
      <c r="BW44" s="826"/>
      <c r="BX44" s="826"/>
      <c r="BY44" s="826"/>
      <c r="BZ44" s="826"/>
      <c r="CA44" s="826"/>
      <c r="CB44" s="508"/>
      <c r="CC44" s="508"/>
      <c r="CD44" s="826"/>
      <c r="CE44" s="508"/>
      <c r="CF44" s="508"/>
      <c r="CG44" s="508"/>
      <c r="CH44" s="508"/>
      <c r="CI44" s="508"/>
      <c r="CJ44" s="508"/>
    </row>
    <row r="45" spans="1:88" s="154" customFormat="1">
      <c r="H45" s="828"/>
      <c r="I45" s="829"/>
      <c r="J45" s="829"/>
      <c r="K45" s="828"/>
      <c r="N45" s="451">
        <v>2006</v>
      </c>
      <c r="O45" s="513">
        <v>109.019572472265</v>
      </c>
      <c r="P45" s="515">
        <f t="shared" si="11"/>
        <v>9.0195724722649973E-2</v>
      </c>
      <c r="Q45" s="129">
        <v>3.8616107172161102E-2</v>
      </c>
      <c r="R45" s="514">
        <f t="shared" ref="R45:R51" si="13">R44*(1+Q45)</f>
        <v>103.86161071721611</v>
      </c>
      <c r="S45" s="281">
        <v>3356135325422.4502</v>
      </c>
      <c r="T45" s="516">
        <f t="shared" si="12"/>
        <v>6.3483314164085494E-2</v>
      </c>
      <c r="Y45" s="508"/>
      <c r="AA45" s="831" t="s">
        <v>1123</v>
      </c>
      <c r="AH45" s="508"/>
      <c r="AK45" s="506"/>
      <c r="AL45" s="508"/>
      <c r="AM45" s="508"/>
      <c r="AO45" s="508"/>
      <c r="AQ45" s="508"/>
      <c r="AX45" s="827"/>
      <c r="AY45" s="827"/>
      <c r="AZ45" s="827"/>
      <c r="BA45" s="827"/>
      <c r="BB45" s="827"/>
      <c r="BC45" s="827"/>
      <c r="BD45" s="506"/>
      <c r="BE45" s="506"/>
      <c r="BF45" s="506"/>
      <c r="BG45" s="506"/>
      <c r="BH45" s="506"/>
      <c r="BI45" s="506"/>
      <c r="BJ45" s="826"/>
      <c r="BK45" s="826"/>
      <c r="BL45" s="826"/>
      <c r="BM45" s="826"/>
      <c r="BN45" s="826"/>
      <c r="BP45" s="826"/>
      <c r="BQ45" s="826"/>
      <c r="BR45" s="826"/>
      <c r="BS45" s="826"/>
      <c r="BT45" s="826"/>
      <c r="BU45" s="826"/>
      <c r="BV45" s="826"/>
      <c r="BW45" s="826"/>
      <c r="BX45" s="826"/>
      <c r="BY45" s="826"/>
      <c r="BZ45" s="826"/>
      <c r="CA45" s="826"/>
      <c r="CB45" s="508"/>
      <c r="CC45" s="508"/>
      <c r="CD45" s="826"/>
      <c r="CE45" s="508"/>
      <c r="CF45" s="508"/>
      <c r="CG45" s="508"/>
      <c r="CH45" s="508"/>
      <c r="CI45" s="508"/>
      <c r="CJ45" s="508"/>
    </row>
    <row r="46" spans="1:88" s="154" customFormat="1">
      <c r="D46" s="154" t="s">
        <v>221</v>
      </c>
      <c r="E46" s="155">
        <v>13881336</v>
      </c>
      <c r="F46" s="154" t="s">
        <v>222</v>
      </c>
      <c r="H46" s="828"/>
      <c r="I46" s="829"/>
      <c r="J46" s="829"/>
      <c r="K46" s="828"/>
      <c r="N46" s="451">
        <v>2007</v>
      </c>
      <c r="O46" s="513">
        <v>120.63816944307599</v>
      </c>
      <c r="P46" s="515">
        <f t="shared" si="11"/>
        <v>0.10657349600015001</v>
      </c>
      <c r="Q46" s="129">
        <v>3.6541159402364097E-2</v>
      </c>
      <c r="R46" s="514">
        <f t="shared" si="13"/>
        <v>107.6568343902202</v>
      </c>
      <c r="S46" s="281">
        <v>3563997611969.4399</v>
      </c>
      <c r="T46" s="516">
        <f t="shared" si="12"/>
        <v>6.1935013458024157E-2</v>
      </c>
      <c r="Y46" s="508"/>
      <c r="AA46" s="831" t="s">
        <v>1122</v>
      </c>
      <c r="AH46" s="508"/>
      <c r="AK46" s="506"/>
      <c r="AL46" s="508"/>
      <c r="AM46" s="508"/>
      <c r="AO46" s="508"/>
      <c r="AQ46" s="508"/>
      <c r="AX46" s="827"/>
      <c r="AY46" s="827"/>
      <c r="AZ46" s="827"/>
      <c r="BA46" s="827"/>
      <c r="BB46" s="827"/>
      <c r="BC46" s="827"/>
      <c r="BD46" s="506"/>
      <c r="BE46" s="506"/>
      <c r="BF46" s="506"/>
      <c r="BG46" s="506"/>
      <c r="BH46" s="506"/>
      <c r="BI46" s="506"/>
      <c r="BJ46" s="826"/>
      <c r="BK46" s="826"/>
      <c r="BL46" s="826"/>
      <c r="BM46" s="826"/>
      <c r="BN46" s="826"/>
      <c r="BP46" s="826"/>
      <c r="BQ46" s="826"/>
      <c r="BR46" s="826"/>
      <c r="BS46" s="826"/>
      <c r="BT46" s="826"/>
      <c r="BU46" s="826"/>
      <c r="BV46" s="826"/>
      <c r="BW46" s="826"/>
      <c r="BX46" s="826"/>
      <c r="BY46" s="826"/>
      <c r="BZ46" s="826"/>
      <c r="CA46" s="826"/>
      <c r="CB46" s="508"/>
      <c r="CC46" s="508"/>
      <c r="CD46" s="826"/>
      <c r="CE46" s="508"/>
      <c r="CF46" s="508"/>
      <c r="CG46" s="508"/>
      <c r="CH46" s="508"/>
      <c r="CI46" s="508"/>
      <c r="CJ46" s="508"/>
    </row>
    <row r="47" spans="1:88" s="154" customFormat="1">
      <c r="D47" s="154" t="s">
        <v>223</v>
      </c>
      <c r="E47" s="156">
        <v>2.4665054805529722E-2</v>
      </c>
      <c r="F47" s="157" t="s">
        <v>224</v>
      </c>
      <c r="G47" s="154" t="s">
        <v>1325</v>
      </c>
      <c r="H47" s="828"/>
      <c r="I47" s="829"/>
      <c r="J47" s="829"/>
      <c r="K47" s="828"/>
      <c r="N47" s="451">
        <v>2008</v>
      </c>
      <c r="O47" s="513">
        <v>135.652087337214</v>
      </c>
      <c r="P47" s="515">
        <f t="shared" si="11"/>
        <v>0.12445412561753461</v>
      </c>
      <c r="Q47" s="129">
        <v>3.08799236486446E-2</v>
      </c>
      <c r="R47" s="514">
        <f t="shared" si="13"/>
        <v>110.98126921644497</v>
      </c>
      <c r="S47" s="281">
        <v>3765436029701.6401</v>
      </c>
      <c r="T47" s="516">
        <f t="shared" si="12"/>
        <v>5.6520357100039345E-2</v>
      </c>
      <c r="U47" s="157" t="s">
        <v>742</v>
      </c>
      <c r="V47" s="518">
        <v>12620219</v>
      </c>
      <c r="W47" s="157" t="s">
        <v>1325</v>
      </c>
      <c r="Y47" s="508"/>
      <c r="AA47" s="831" t="s">
        <v>1121</v>
      </c>
      <c r="AH47" s="508"/>
      <c r="AK47" s="506"/>
      <c r="AL47" s="508"/>
      <c r="AM47" s="508"/>
      <c r="AO47" s="508"/>
      <c r="AQ47" s="508"/>
      <c r="AX47" s="827"/>
      <c r="AY47" s="827"/>
      <c r="AZ47" s="827"/>
      <c r="BA47" s="827"/>
      <c r="BB47" s="827"/>
      <c r="BC47" s="827"/>
      <c r="BD47" s="506"/>
      <c r="BE47" s="506"/>
      <c r="BF47" s="506"/>
      <c r="BG47" s="506"/>
      <c r="BH47" s="506"/>
      <c r="BI47" s="506"/>
      <c r="BJ47" s="826"/>
      <c r="BK47" s="826"/>
      <c r="BL47" s="826"/>
      <c r="BM47" s="826"/>
      <c r="BN47" s="826"/>
      <c r="BP47" s="826"/>
      <c r="BQ47" s="826"/>
      <c r="BR47" s="826"/>
      <c r="BS47" s="826"/>
      <c r="BT47" s="826"/>
      <c r="BU47" s="826"/>
      <c r="BV47" s="826"/>
      <c r="BW47" s="826"/>
      <c r="BX47" s="826"/>
      <c r="BY47" s="826"/>
      <c r="BZ47" s="826"/>
      <c r="CA47" s="826"/>
      <c r="CB47" s="508"/>
      <c r="CC47" s="508"/>
      <c r="CD47" s="826"/>
      <c r="CE47" s="508"/>
      <c r="CF47" s="508"/>
      <c r="CG47" s="508"/>
      <c r="CH47" s="508"/>
      <c r="CI47" s="508"/>
      <c r="CJ47" s="508"/>
    </row>
    <row r="48" spans="1:88" s="154" customFormat="1">
      <c r="D48" s="154" t="s">
        <v>225</v>
      </c>
      <c r="E48" s="158">
        <v>4.9000000000000002E-2</v>
      </c>
      <c r="H48" s="828"/>
      <c r="I48" s="829"/>
      <c r="J48" s="829"/>
      <c r="K48" s="828"/>
      <c r="N48" s="451">
        <v>2009</v>
      </c>
      <c r="O48" s="513">
        <v>153.823258008339</v>
      </c>
      <c r="P48" s="515">
        <f t="shared" si="11"/>
        <v>0.1339542282600765</v>
      </c>
      <c r="Q48" s="129">
        <v>3.7194173620328702E-2</v>
      </c>
      <c r="R48" s="514">
        <f t="shared" si="13"/>
        <v>115.10912581228587</v>
      </c>
      <c r="S48" s="281">
        <v>4003015203173.5601</v>
      </c>
      <c r="T48" s="516">
        <f t="shared" si="12"/>
        <v>6.3094731021295522E-2</v>
      </c>
      <c r="U48" s="519">
        <f>(S48/S39)^(1/(N48-N39))-1</f>
        <v>5.3743252425943799E-2</v>
      </c>
      <c r="V48" s="518">
        <v>12935368</v>
      </c>
      <c r="W48" s="157" t="s">
        <v>1325</v>
      </c>
      <c r="Y48" s="508"/>
      <c r="AA48" s="154" t="s">
        <v>1120</v>
      </c>
      <c r="AH48" s="508"/>
      <c r="AK48" s="506"/>
      <c r="AL48" s="508"/>
      <c r="AM48" s="508"/>
      <c r="AO48" s="508"/>
      <c r="AQ48" s="508"/>
      <c r="AX48" s="827"/>
      <c r="AY48" s="827"/>
      <c r="AZ48" s="827"/>
      <c r="BA48" s="827"/>
      <c r="BB48" s="827"/>
      <c r="BC48" s="827"/>
      <c r="BD48" s="506"/>
      <c r="BE48" s="506"/>
      <c r="BF48" s="506"/>
      <c r="BG48" s="506"/>
      <c r="BH48" s="506"/>
      <c r="BI48" s="506"/>
      <c r="BJ48" s="826"/>
      <c r="BK48" s="826"/>
      <c r="BL48" s="826"/>
      <c r="BM48" s="826"/>
      <c r="BN48" s="826"/>
      <c r="BP48" s="826"/>
      <c r="BQ48" s="826"/>
      <c r="BR48" s="826"/>
      <c r="BS48" s="826"/>
      <c r="BT48" s="826"/>
      <c r="BU48" s="826"/>
      <c r="BV48" s="826"/>
      <c r="BW48" s="826"/>
      <c r="BX48" s="826"/>
      <c r="BY48" s="826"/>
      <c r="BZ48" s="826"/>
      <c r="CA48" s="826"/>
      <c r="CB48" s="508"/>
      <c r="CC48" s="508"/>
      <c r="CD48" s="826"/>
      <c r="CE48" s="508"/>
      <c r="CF48" s="508"/>
      <c r="CG48" s="508"/>
      <c r="CH48" s="508"/>
      <c r="CI48" s="508"/>
      <c r="CJ48" s="508"/>
    </row>
    <row r="49" spans="5:88" s="154" customFormat="1">
      <c r="H49" s="828"/>
      <c r="I49" s="829"/>
      <c r="J49" s="829"/>
      <c r="K49" s="828"/>
      <c r="N49" s="451">
        <v>2010</v>
      </c>
      <c r="O49" s="513">
        <f>O48*(1+P49)</f>
        <v>169.35940706718122</v>
      </c>
      <c r="P49" s="520">
        <v>0.10100000000000001</v>
      </c>
      <c r="Q49" s="521">
        <f>AVERAGE(Q39:Q48)</f>
        <v>2.73023970318238E-2</v>
      </c>
      <c r="R49" s="514">
        <f t="shared" si="13"/>
        <v>118.25188086719905</v>
      </c>
      <c r="S49" s="506"/>
      <c r="T49" s="522">
        <v>5.5E-2</v>
      </c>
      <c r="U49" s="508"/>
      <c r="V49" s="508"/>
      <c r="W49" s="508"/>
      <c r="AH49" s="508"/>
      <c r="AK49" s="506"/>
      <c r="AL49" s="508"/>
      <c r="AM49" s="508"/>
      <c r="AO49" s="508"/>
      <c r="AQ49" s="508"/>
      <c r="AX49" s="827"/>
      <c r="AY49" s="827"/>
      <c r="AZ49" s="827"/>
      <c r="BA49" s="827"/>
      <c r="BB49" s="827"/>
      <c r="BC49" s="827"/>
      <c r="BD49" s="506"/>
      <c r="BE49" s="506"/>
      <c r="BF49" s="506"/>
      <c r="BG49" s="506"/>
      <c r="BH49" s="506"/>
      <c r="BI49" s="506"/>
      <c r="BJ49" s="826"/>
      <c r="BK49" s="826"/>
      <c r="BL49" s="826"/>
      <c r="BM49" s="826"/>
      <c r="BN49" s="826"/>
      <c r="BP49" s="826"/>
      <c r="BQ49" s="826"/>
      <c r="BR49" s="826"/>
      <c r="BS49" s="826"/>
      <c r="BT49" s="826"/>
      <c r="BU49" s="826"/>
      <c r="BV49" s="826"/>
      <c r="BW49" s="826"/>
      <c r="BX49" s="826"/>
      <c r="BY49" s="826"/>
      <c r="BZ49" s="826"/>
      <c r="CA49" s="826"/>
      <c r="CB49" s="508"/>
      <c r="CC49" s="508"/>
      <c r="CD49" s="826"/>
      <c r="CE49" s="508"/>
      <c r="CF49" s="508"/>
      <c r="CG49" s="508"/>
      <c r="CH49" s="508"/>
      <c r="CI49" s="508"/>
      <c r="CJ49" s="508"/>
    </row>
    <row r="50" spans="5:88" s="154" customFormat="1">
      <c r="H50" s="828"/>
      <c r="I50" s="829"/>
      <c r="J50" s="829"/>
      <c r="K50" s="828"/>
      <c r="N50" s="523">
        <v>2011</v>
      </c>
      <c r="O50" s="524">
        <f>O49*(1+P50)</f>
        <v>182.06136259721981</v>
      </c>
      <c r="P50" s="525">
        <v>7.4999999999999997E-2</v>
      </c>
      <c r="Q50" s="526">
        <f>Q49</f>
        <v>2.73023970318238E-2</v>
      </c>
      <c r="R50" s="527">
        <f t="shared" si="13"/>
        <v>121.48044066839525</v>
      </c>
      <c r="S50" s="506"/>
      <c r="T50" s="522">
        <v>0.06</v>
      </c>
      <c r="U50" s="508"/>
      <c r="V50" s="518">
        <f>E46</f>
        <v>13881336</v>
      </c>
      <c r="W50" s="508"/>
      <c r="X50" s="830"/>
      <c r="AH50" s="508"/>
      <c r="AK50" s="506"/>
      <c r="AL50" s="508"/>
      <c r="AM50" s="508"/>
      <c r="AO50" s="508"/>
      <c r="AQ50" s="508"/>
      <c r="AX50" s="827"/>
      <c r="AY50" s="827"/>
      <c r="AZ50" s="827"/>
      <c r="BA50" s="827"/>
      <c r="BB50" s="827"/>
      <c r="BC50" s="827"/>
      <c r="BD50" s="506"/>
      <c r="BE50" s="506"/>
      <c r="BF50" s="506"/>
      <c r="BG50" s="506"/>
      <c r="BH50" s="506"/>
      <c r="BI50" s="506"/>
      <c r="BJ50" s="826"/>
      <c r="BK50" s="826"/>
      <c r="BL50" s="826"/>
      <c r="BM50" s="826"/>
      <c r="BN50" s="826"/>
      <c r="BP50" s="826"/>
      <c r="BQ50" s="826"/>
      <c r="BR50" s="826"/>
      <c r="BS50" s="826"/>
      <c r="BT50" s="826"/>
      <c r="BU50" s="826"/>
      <c r="BV50" s="826"/>
      <c r="BW50" s="826"/>
      <c r="BX50" s="826"/>
      <c r="BY50" s="826"/>
      <c r="BZ50" s="826"/>
      <c r="CA50" s="826"/>
      <c r="CB50" s="508"/>
      <c r="CC50" s="508"/>
      <c r="CD50" s="826"/>
      <c r="CE50" s="508"/>
      <c r="CF50" s="508"/>
      <c r="CG50" s="508"/>
      <c r="CH50" s="508"/>
      <c r="CI50" s="508"/>
      <c r="CJ50" s="508"/>
    </row>
    <row r="51" spans="5:88" s="154" customFormat="1">
      <c r="E51" s="1070"/>
      <c r="H51" s="828"/>
      <c r="I51" s="829"/>
      <c r="J51" s="829"/>
      <c r="K51" s="828"/>
      <c r="N51" s="528">
        <v>2012</v>
      </c>
      <c r="O51" s="513">
        <f>O50*(1+P51)</f>
        <v>193.89535116603909</v>
      </c>
      <c r="P51" s="520">
        <v>6.5000000000000002E-2</v>
      </c>
      <c r="Q51" s="521">
        <f>Q50</f>
        <v>2.73023970318238E-2</v>
      </c>
      <c r="R51" s="514">
        <f t="shared" si="13"/>
        <v>124.79714789112469</v>
      </c>
      <c r="S51" s="506"/>
      <c r="T51" s="522">
        <v>6.2E-2</v>
      </c>
      <c r="U51" s="508"/>
      <c r="V51" s="508"/>
      <c r="W51" s="508"/>
      <c r="AH51" s="508"/>
      <c r="AK51" s="506"/>
      <c r="AL51" s="508"/>
      <c r="AM51" s="508"/>
      <c r="AO51" s="508"/>
      <c r="AQ51" s="508"/>
      <c r="AX51" s="827"/>
      <c r="AY51" s="827"/>
      <c r="AZ51" s="827"/>
      <c r="BA51" s="827"/>
      <c r="BB51" s="827"/>
      <c r="BC51" s="827"/>
      <c r="BD51" s="506"/>
      <c r="BE51" s="506"/>
      <c r="BF51" s="506"/>
      <c r="BG51" s="506"/>
      <c r="BH51" s="506"/>
      <c r="BI51" s="506"/>
      <c r="BJ51" s="826"/>
      <c r="BK51" s="826"/>
      <c r="BL51" s="826"/>
      <c r="BM51" s="826"/>
      <c r="BN51" s="826"/>
      <c r="BP51" s="826"/>
      <c r="BQ51" s="826"/>
      <c r="BR51" s="826"/>
      <c r="BS51" s="826"/>
      <c r="BT51" s="826"/>
      <c r="BU51" s="826"/>
      <c r="BV51" s="826"/>
      <c r="BW51" s="826"/>
      <c r="BX51" s="826"/>
      <c r="BY51" s="826"/>
      <c r="BZ51" s="826"/>
      <c r="CA51" s="826"/>
      <c r="CB51" s="508"/>
      <c r="CC51" s="508"/>
      <c r="CD51" s="826"/>
      <c r="CE51" s="508"/>
      <c r="CF51" s="508"/>
      <c r="CG51" s="508"/>
      <c r="CH51" s="508"/>
      <c r="CI51" s="508"/>
      <c r="CJ51" s="508"/>
    </row>
    <row r="52" spans="5:88" s="154" customFormat="1">
      <c r="E52" s="1070"/>
      <c r="H52" s="828"/>
      <c r="I52" s="829"/>
      <c r="J52" s="829"/>
      <c r="K52" s="828"/>
      <c r="N52" s="506" t="s">
        <v>538</v>
      </c>
      <c r="O52" s="507"/>
      <c r="P52" s="506"/>
      <c r="Q52" s="506"/>
      <c r="R52" s="506"/>
      <c r="S52" s="506"/>
      <c r="T52" s="522">
        <f>U48</f>
        <v>5.3743252425943799E-2</v>
      </c>
      <c r="U52" s="508"/>
      <c r="V52" s="508"/>
      <c r="W52" s="508"/>
      <c r="AH52" s="508"/>
      <c r="AK52" s="506"/>
      <c r="AL52" s="508"/>
      <c r="AM52" s="508"/>
      <c r="AO52" s="508"/>
      <c r="AQ52" s="508"/>
      <c r="AX52" s="827"/>
      <c r="AY52" s="827"/>
      <c r="AZ52" s="827"/>
      <c r="BA52" s="827"/>
      <c r="BB52" s="827"/>
      <c r="BC52" s="827"/>
      <c r="BD52" s="506"/>
      <c r="BE52" s="506"/>
      <c r="BF52" s="506"/>
      <c r="BG52" s="506"/>
      <c r="BH52" s="506"/>
      <c r="BI52" s="506"/>
      <c r="BJ52" s="826"/>
      <c r="BK52" s="826"/>
      <c r="BL52" s="826"/>
      <c r="BM52" s="826"/>
      <c r="BN52" s="826"/>
      <c r="BP52" s="826"/>
      <c r="BQ52" s="826"/>
      <c r="BR52" s="826"/>
      <c r="BS52" s="826"/>
      <c r="BT52" s="826"/>
      <c r="BU52" s="826"/>
      <c r="BV52" s="826"/>
      <c r="BW52" s="826"/>
      <c r="BX52" s="826"/>
      <c r="BY52" s="826"/>
      <c r="BZ52" s="826"/>
      <c r="CA52" s="826"/>
      <c r="CB52" s="508"/>
      <c r="CC52" s="508"/>
      <c r="CD52" s="826"/>
      <c r="CE52" s="508"/>
      <c r="CF52" s="508"/>
      <c r="CG52" s="508"/>
      <c r="CH52" s="508"/>
      <c r="CI52" s="508"/>
      <c r="CJ52" s="508"/>
    </row>
    <row r="53" spans="5:88" s="154" customFormat="1">
      <c r="H53" s="828"/>
      <c r="I53" s="829"/>
      <c r="J53" s="829"/>
      <c r="K53" s="828"/>
      <c r="N53" s="506"/>
      <c r="O53" s="507"/>
      <c r="P53" s="506"/>
      <c r="Q53" s="506"/>
      <c r="R53" s="506"/>
      <c r="S53" s="506"/>
      <c r="U53" s="508"/>
      <c r="AG53" s="508"/>
      <c r="AJ53" s="506"/>
      <c r="AK53" s="508"/>
      <c r="AL53" s="508"/>
      <c r="AN53" s="508"/>
      <c r="AP53" s="508"/>
      <c r="AW53" s="827"/>
      <c r="AX53" s="827"/>
      <c r="AY53" s="827"/>
      <c r="AZ53" s="827"/>
      <c r="BA53" s="827"/>
      <c r="BB53" s="827"/>
      <c r="BC53" s="506"/>
      <c r="BD53" s="506"/>
      <c r="BE53" s="506"/>
      <c r="BF53" s="506"/>
      <c r="BG53" s="506"/>
      <c r="BH53" s="506"/>
      <c r="BI53" s="826"/>
      <c r="BJ53" s="826"/>
      <c r="BK53" s="826"/>
      <c r="BL53" s="826"/>
      <c r="BM53" s="826"/>
      <c r="BO53" s="826"/>
      <c r="BP53" s="826"/>
      <c r="BQ53" s="826"/>
      <c r="BR53" s="826"/>
      <c r="BS53" s="826"/>
      <c r="BT53" s="826"/>
      <c r="BU53" s="826"/>
      <c r="BV53" s="826"/>
      <c r="BW53" s="826"/>
      <c r="BX53" s="826"/>
      <c r="BY53" s="826"/>
      <c r="BZ53" s="826"/>
      <c r="CA53" s="508"/>
      <c r="CB53" s="508"/>
      <c r="CC53" s="826"/>
      <c r="CD53" s="508"/>
      <c r="CE53" s="508"/>
      <c r="CF53" s="508"/>
      <c r="CG53" s="508"/>
      <c r="CH53" s="508"/>
      <c r="CI53" s="508"/>
    </row>
    <row r="54" spans="5:88" s="154" customFormat="1">
      <c r="H54" s="828"/>
      <c r="I54" s="829"/>
      <c r="J54" s="829"/>
      <c r="K54" s="828"/>
      <c r="N54" s="506"/>
      <c r="O54" s="507"/>
      <c r="P54" s="506"/>
      <c r="Q54" s="506"/>
      <c r="R54" s="506"/>
      <c r="S54" s="506"/>
      <c r="U54" s="508"/>
      <c r="AG54" s="508"/>
      <c r="AJ54" s="506"/>
      <c r="AK54" s="508"/>
      <c r="AL54" s="508"/>
      <c r="AN54" s="508"/>
      <c r="AP54" s="508"/>
      <c r="AW54" s="827"/>
      <c r="AX54" s="827"/>
      <c r="AY54" s="827"/>
      <c r="AZ54" s="827"/>
      <c r="BA54" s="827"/>
      <c r="BB54" s="827"/>
      <c r="BC54" s="506"/>
      <c r="BD54" s="506"/>
      <c r="BE54" s="506"/>
      <c r="BF54" s="506"/>
      <c r="BG54" s="506"/>
      <c r="BH54" s="506"/>
      <c r="BI54" s="826"/>
      <c r="BJ54" s="826"/>
      <c r="BK54" s="826"/>
      <c r="BL54" s="826"/>
      <c r="BM54" s="826"/>
      <c r="BO54" s="826"/>
      <c r="BP54" s="826"/>
      <c r="BQ54" s="826"/>
      <c r="BR54" s="826"/>
      <c r="BS54" s="826"/>
      <c r="BT54" s="826"/>
      <c r="BU54" s="826"/>
      <c r="BV54" s="826"/>
      <c r="BW54" s="826"/>
      <c r="BX54" s="826"/>
      <c r="BY54" s="826"/>
      <c r="BZ54" s="826"/>
      <c r="CA54" s="508"/>
      <c r="CB54" s="508"/>
      <c r="CC54" s="826"/>
      <c r="CD54" s="508"/>
      <c r="CE54" s="508"/>
      <c r="CF54" s="508"/>
      <c r="CG54" s="508"/>
      <c r="CH54" s="508"/>
      <c r="CI54" s="508"/>
    </row>
    <row r="55" spans="5:88" s="154" customFormat="1">
      <c r="H55" s="828"/>
      <c r="I55" s="829"/>
      <c r="J55" s="829"/>
      <c r="K55" s="828"/>
      <c r="N55" s="506"/>
      <c r="O55" s="507"/>
      <c r="P55" s="506"/>
      <c r="Q55" s="506"/>
      <c r="R55" s="506"/>
      <c r="S55" s="506"/>
      <c r="U55" s="508"/>
      <c r="AF55" s="508"/>
      <c r="AI55" s="506"/>
      <c r="AJ55" s="508"/>
      <c r="AK55" s="508"/>
      <c r="AM55" s="508"/>
      <c r="AO55" s="508"/>
      <c r="AV55" s="827"/>
      <c r="AW55" s="827"/>
      <c r="AX55" s="827"/>
      <c r="AY55" s="827"/>
      <c r="AZ55" s="827"/>
      <c r="BA55" s="827"/>
      <c r="BB55" s="506"/>
      <c r="BC55" s="506"/>
      <c r="BD55" s="506"/>
      <c r="BE55" s="506"/>
      <c r="BF55" s="506"/>
      <c r="BG55" s="506"/>
      <c r="BH55" s="826"/>
      <c r="BI55" s="826"/>
      <c r="BJ55" s="826"/>
      <c r="BK55" s="826"/>
      <c r="BL55" s="826"/>
      <c r="BN55" s="826"/>
      <c r="BO55" s="826"/>
      <c r="BP55" s="826"/>
      <c r="BQ55" s="826"/>
      <c r="BR55" s="826"/>
      <c r="BS55" s="826"/>
      <c r="BT55" s="826"/>
      <c r="BU55" s="826"/>
      <c r="BV55" s="826"/>
      <c r="BW55" s="826"/>
      <c r="BX55" s="826"/>
      <c r="BY55" s="826"/>
      <c r="BZ55" s="508"/>
      <c r="CA55" s="508"/>
      <c r="CB55" s="826"/>
      <c r="CC55" s="508"/>
      <c r="CD55" s="508"/>
      <c r="CE55" s="508"/>
      <c r="CF55" s="508"/>
      <c r="CG55" s="508"/>
      <c r="CH55" s="508"/>
    </row>
    <row r="56" spans="5:88" s="154" customFormat="1">
      <c r="H56" s="828"/>
      <c r="I56" s="829"/>
      <c r="J56" s="829"/>
      <c r="K56" s="828"/>
      <c r="N56" s="506"/>
      <c r="O56" s="507"/>
      <c r="P56" s="506"/>
      <c r="Q56" s="506"/>
      <c r="R56" s="506"/>
      <c r="S56" s="506"/>
      <c r="U56" s="508"/>
      <c r="AF56" s="508"/>
      <c r="AI56" s="506"/>
      <c r="AJ56" s="508"/>
      <c r="AK56" s="508"/>
      <c r="AM56" s="508"/>
      <c r="AO56" s="508"/>
      <c r="AV56" s="827"/>
      <c r="AW56" s="827"/>
      <c r="AX56" s="827"/>
      <c r="AY56" s="827"/>
      <c r="AZ56" s="827"/>
      <c r="BA56" s="827"/>
      <c r="BB56" s="506"/>
      <c r="BC56" s="506"/>
      <c r="BD56" s="506"/>
      <c r="BE56" s="506"/>
      <c r="BF56" s="506"/>
      <c r="BG56" s="506"/>
      <c r="BH56" s="826"/>
      <c r="BI56" s="826"/>
      <c r="BJ56" s="826"/>
      <c r="BK56" s="826"/>
      <c r="BL56" s="826"/>
      <c r="BN56" s="826"/>
      <c r="BO56" s="826"/>
      <c r="BP56" s="826"/>
      <c r="BQ56" s="826"/>
      <c r="BR56" s="826"/>
      <c r="BS56" s="826"/>
      <c r="BT56" s="826"/>
      <c r="BU56" s="826"/>
      <c r="BV56" s="826"/>
      <c r="BW56" s="826"/>
      <c r="BX56" s="826"/>
      <c r="BY56" s="826"/>
      <c r="BZ56" s="508"/>
      <c r="CA56" s="508"/>
      <c r="CB56" s="826"/>
      <c r="CC56" s="508"/>
      <c r="CD56" s="508"/>
      <c r="CE56" s="508"/>
      <c r="CF56" s="508"/>
      <c r="CG56" s="508"/>
      <c r="CH56" s="508"/>
    </row>
    <row r="57" spans="5:88" s="154" customFormat="1">
      <c r="H57" s="828"/>
      <c r="I57" s="829"/>
      <c r="J57" s="829"/>
      <c r="K57" s="828"/>
      <c r="N57" s="506"/>
      <c r="O57" s="507"/>
      <c r="P57" s="506"/>
      <c r="Q57" s="506"/>
      <c r="R57" s="506"/>
      <c r="S57" s="506"/>
      <c r="U57" s="508"/>
      <c r="AF57" s="508"/>
      <c r="AI57" s="506"/>
      <c r="AJ57" s="508"/>
      <c r="AK57" s="508"/>
      <c r="AM57" s="508"/>
      <c r="AO57" s="508"/>
      <c r="AV57" s="827"/>
      <c r="AW57" s="827"/>
      <c r="AX57" s="827"/>
      <c r="AY57" s="827"/>
      <c r="AZ57" s="827"/>
      <c r="BA57" s="827"/>
      <c r="BB57" s="506"/>
      <c r="BC57" s="506"/>
      <c r="BD57" s="506"/>
      <c r="BE57" s="506"/>
      <c r="BF57" s="506"/>
      <c r="BG57" s="506"/>
      <c r="BH57" s="826"/>
      <c r="BI57" s="826"/>
      <c r="BJ57" s="826"/>
      <c r="BK57" s="826"/>
      <c r="BL57" s="826"/>
      <c r="BN57" s="826"/>
      <c r="BO57" s="826"/>
      <c r="BP57" s="826"/>
      <c r="BQ57" s="826"/>
      <c r="BR57" s="826"/>
      <c r="BS57" s="826"/>
      <c r="BT57" s="826"/>
      <c r="BU57" s="826"/>
      <c r="BV57" s="826"/>
      <c r="BW57" s="826"/>
      <c r="BX57" s="826"/>
      <c r="BY57" s="826"/>
      <c r="BZ57" s="508"/>
      <c r="CA57" s="508"/>
      <c r="CB57" s="826"/>
      <c r="CC57" s="508"/>
      <c r="CD57" s="508"/>
      <c r="CE57" s="508"/>
      <c r="CF57" s="508"/>
      <c r="CG57" s="508"/>
      <c r="CH57" s="508"/>
    </row>
    <row r="58" spans="5:88" s="154" customFormat="1">
      <c r="H58" s="828"/>
      <c r="I58" s="829"/>
      <c r="J58" s="829"/>
      <c r="K58" s="828"/>
      <c r="N58" s="506"/>
      <c r="O58" s="507"/>
      <c r="P58" s="506"/>
      <c r="Q58" s="506"/>
      <c r="R58" s="506"/>
      <c r="S58" s="506"/>
      <c r="U58" s="508"/>
      <c r="AF58" s="508"/>
      <c r="AI58" s="506"/>
      <c r="AJ58" s="508"/>
      <c r="AK58" s="508"/>
      <c r="AM58" s="508"/>
      <c r="AO58" s="508"/>
      <c r="AV58" s="827"/>
      <c r="AW58" s="827"/>
      <c r="AX58" s="827"/>
      <c r="AY58" s="827"/>
      <c r="AZ58" s="827"/>
      <c r="BA58" s="827"/>
      <c r="BB58" s="506"/>
      <c r="BC58" s="506"/>
      <c r="BD58" s="506"/>
      <c r="BE58" s="506"/>
      <c r="BF58" s="506"/>
      <c r="BG58" s="506"/>
      <c r="BH58" s="826"/>
      <c r="BI58" s="826"/>
      <c r="BJ58" s="826"/>
      <c r="BK58" s="826"/>
      <c r="BL58" s="826"/>
      <c r="BN58" s="826"/>
      <c r="BO58" s="826"/>
      <c r="BP58" s="826"/>
      <c r="BQ58" s="826"/>
      <c r="BR58" s="826"/>
      <c r="BS58" s="826"/>
      <c r="BT58" s="826"/>
      <c r="BU58" s="826"/>
      <c r="BV58" s="826"/>
      <c r="BW58" s="826"/>
      <c r="BX58" s="826"/>
      <c r="BY58" s="826"/>
      <c r="BZ58" s="508"/>
      <c r="CA58" s="508"/>
      <c r="CB58" s="826"/>
      <c r="CC58" s="508"/>
      <c r="CD58" s="508"/>
      <c r="CE58" s="508"/>
      <c r="CF58" s="508"/>
      <c r="CG58" s="508"/>
      <c r="CH58" s="508"/>
    </row>
    <row r="59" spans="5:88" s="154" customFormat="1">
      <c r="H59" s="828"/>
      <c r="I59" s="829"/>
      <c r="J59" s="829"/>
      <c r="K59" s="828"/>
      <c r="N59" s="506"/>
      <c r="O59" s="507"/>
      <c r="P59" s="506"/>
      <c r="Q59" s="506"/>
      <c r="R59" s="506"/>
      <c r="S59" s="506"/>
      <c r="U59" s="508"/>
      <c r="AF59" s="508"/>
      <c r="AI59" s="506"/>
      <c r="AJ59" s="508"/>
      <c r="AK59" s="508"/>
      <c r="AM59" s="508"/>
      <c r="AO59" s="508"/>
      <c r="AV59" s="827"/>
      <c r="AW59" s="827"/>
      <c r="AX59" s="827"/>
      <c r="AY59" s="827"/>
      <c r="AZ59" s="827"/>
      <c r="BA59" s="827"/>
      <c r="BB59" s="506"/>
      <c r="BC59" s="506"/>
      <c r="BD59" s="506"/>
      <c r="BE59" s="506"/>
      <c r="BF59" s="506"/>
      <c r="BG59" s="506"/>
      <c r="BH59" s="826"/>
      <c r="BI59" s="826"/>
      <c r="BJ59" s="826"/>
      <c r="BK59" s="826"/>
      <c r="BL59" s="826"/>
      <c r="BN59" s="826"/>
      <c r="BO59" s="826"/>
      <c r="BP59" s="826"/>
      <c r="BQ59" s="826"/>
      <c r="BR59" s="826"/>
      <c r="BS59" s="826"/>
      <c r="BT59" s="826"/>
      <c r="BU59" s="826"/>
      <c r="BV59" s="826"/>
      <c r="BW59" s="826"/>
      <c r="BX59" s="826"/>
      <c r="BY59" s="826"/>
      <c r="BZ59" s="508"/>
      <c r="CA59" s="508"/>
      <c r="CB59" s="826"/>
      <c r="CC59" s="508"/>
      <c r="CD59" s="508"/>
      <c r="CE59" s="508"/>
      <c r="CF59" s="508"/>
      <c r="CG59" s="508"/>
      <c r="CH59" s="508"/>
    </row>
    <row r="60" spans="5:88" s="154" customFormat="1">
      <c r="H60" s="828"/>
      <c r="I60" s="829"/>
      <c r="J60" s="829"/>
      <c r="K60" s="828"/>
      <c r="N60" s="506"/>
      <c r="O60" s="507"/>
      <c r="P60" s="506"/>
      <c r="Q60" s="506"/>
      <c r="R60" s="506"/>
      <c r="S60" s="506"/>
      <c r="U60" s="508"/>
      <c r="AF60" s="508"/>
      <c r="AI60" s="506"/>
      <c r="AJ60" s="508"/>
      <c r="AK60" s="508"/>
      <c r="AM60" s="508"/>
      <c r="AO60" s="508"/>
      <c r="AV60" s="827"/>
      <c r="AW60" s="827"/>
      <c r="AX60" s="827"/>
      <c r="AY60" s="827"/>
      <c r="AZ60" s="827"/>
      <c r="BA60" s="827"/>
      <c r="BB60" s="506"/>
      <c r="BC60" s="506"/>
      <c r="BD60" s="506"/>
      <c r="BE60" s="506"/>
      <c r="BF60" s="506"/>
      <c r="BG60" s="506"/>
      <c r="BH60" s="826"/>
      <c r="BI60" s="826"/>
      <c r="BJ60" s="826"/>
      <c r="BK60" s="826"/>
      <c r="BL60" s="826"/>
      <c r="BN60" s="826"/>
      <c r="BO60" s="826"/>
      <c r="BP60" s="826"/>
      <c r="BQ60" s="826"/>
      <c r="BR60" s="826"/>
      <c r="BS60" s="826"/>
      <c r="BT60" s="826"/>
      <c r="BU60" s="826"/>
      <c r="BV60" s="826"/>
      <c r="BW60" s="826"/>
      <c r="BX60" s="826"/>
      <c r="BY60" s="826"/>
      <c r="BZ60" s="508"/>
      <c r="CA60" s="508"/>
      <c r="CB60" s="826"/>
      <c r="CC60" s="508"/>
      <c r="CD60" s="508"/>
      <c r="CE60" s="508"/>
      <c r="CF60" s="508"/>
      <c r="CG60" s="508"/>
      <c r="CH60" s="508"/>
    </row>
    <row r="61" spans="5:88" s="154" customFormat="1">
      <c r="H61" s="828"/>
      <c r="I61" s="829"/>
      <c r="J61" s="829"/>
      <c r="K61" s="828"/>
      <c r="N61" s="506"/>
      <c r="O61" s="507"/>
      <c r="P61" s="506"/>
      <c r="Q61" s="506"/>
      <c r="R61" s="506"/>
      <c r="S61" s="506"/>
      <c r="U61" s="508"/>
      <c r="AF61" s="508"/>
      <c r="AI61" s="506"/>
      <c r="AJ61" s="508"/>
      <c r="AK61" s="508"/>
      <c r="AM61" s="508"/>
      <c r="AO61" s="508"/>
      <c r="AV61" s="827"/>
      <c r="AW61" s="827"/>
      <c r="AX61" s="827"/>
      <c r="AY61" s="827"/>
      <c r="AZ61" s="827"/>
      <c r="BA61" s="827"/>
      <c r="BB61" s="506"/>
      <c r="BC61" s="506"/>
      <c r="BD61" s="506"/>
      <c r="BE61" s="506"/>
      <c r="BF61" s="506"/>
      <c r="BG61" s="506"/>
      <c r="BH61" s="826"/>
      <c r="BI61" s="826"/>
      <c r="BJ61" s="826"/>
      <c r="BK61" s="826"/>
      <c r="BL61" s="826"/>
      <c r="BN61" s="826"/>
      <c r="BO61" s="826"/>
      <c r="BP61" s="826"/>
      <c r="BQ61" s="826"/>
      <c r="BR61" s="826"/>
      <c r="BS61" s="826"/>
      <c r="BT61" s="826"/>
      <c r="BU61" s="826"/>
      <c r="BV61" s="826"/>
      <c r="BW61" s="826"/>
      <c r="BX61" s="826"/>
      <c r="BY61" s="826"/>
      <c r="BZ61" s="508"/>
      <c r="CA61" s="508"/>
      <c r="CB61" s="826"/>
      <c r="CC61" s="508"/>
      <c r="CD61" s="508"/>
      <c r="CE61" s="508"/>
      <c r="CF61" s="508"/>
      <c r="CG61" s="508"/>
      <c r="CH61" s="508"/>
    </row>
    <row r="62" spans="5:88" s="154" customFormat="1">
      <c r="H62" s="828"/>
      <c r="I62" s="829"/>
      <c r="J62" s="829"/>
      <c r="K62" s="828"/>
      <c r="N62" s="506"/>
      <c r="O62" s="507"/>
      <c r="P62" s="506"/>
      <c r="Q62" s="506"/>
      <c r="R62" s="506"/>
      <c r="S62" s="506"/>
      <c r="U62" s="508"/>
      <c r="AF62" s="508"/>
      <c r="AI62" s="506"/>
      <c r="AJ62" s="508"/>
      <c r="AK62" s="508"/>
      <c r="AM62" s="508"/>
      <c r="AO62" s="508"/>
      <c r="AV62" s="827"/>
      <c r="AW62" s="827"/>
      <c r="AX62" s="827"/>
      <c r="AY62" s="827"/>
      <c r="AZ62" s="827"/>
      <c r="BA62" s="827"/>
      <c r="BB62" s="506"/>
      <c r="BC62" s="506"/>
      <c r="BD62" s="506"/>
      <c r="BE62" s="506"/>
      <c r="BF62" s="506"/>
      <c r="BG62" s="506"/>
      <c r="BH62" s="826"/>
      <c r="BI62" s="826"/>
      <c r="BJ62" s="826"/>
      <c r="BK62" s="826"/>
      <c r="BL62" s="826"/>
      <c r="BN62" s="826"/>
      <c r="BO62" s="826"/>
      <c r="BP62" s="826"/>
      <c r="BQ62" s="826"/>
      <c r="BR62" s="826"/>
      <c r="BS62" s="826"/>
      <c r="BT62" s="826"/>
      <c r="BU62" s="826"/>
      <c r="BV62" s="826"/>
      <c r="BW62" s="826"/>
      <c r="BX62" s="826"/>
      <c r="BY62" s="826"/>
      <c r="BZ62" s="508"/>
      <c r="CA62" s="508"/>
      <c r="CB62" s="826"/>
      <c r="CC62" s="508"/>
      <c r="CD62" s="508"/>
      <c r="CE62" s="508"/>
      <c r="CF62" s="508"/>
      <c r="CG62" s="508"/>
      <c r="CH62" s="508"/>
    </row>
    <row r="63" spans="5:88" s="154" customFormat="1">
      <c r="H63" s="828"/>
      <c r="I63" s="829"/>
      <c r="J63" s="829"/>
      <c r="K63" s="828"/>
      <c r="N63" s="506"/>
      <c r="O63" s="507"/>
      <c r="P63" s="506"/>
      <c r="Q63" s="506"/>
      <c r="R63" s="506"/>
      <c r="S63" s="506"/>
      <c r="U63" s="508"/>
      <c r="AF63" s="508"/>
      <c r="AI63" s="506"/>
      <c r="AJ63" s="508"/>
      <c r="AK63" s="508"/>
      <c r="AM63" s="508"/>
      <c r="AO63" s="508"/>
      <c r="AV63" s="827"/>
      <c r="AW63" s="827"/>
      <c r="AX63" s="827"/>
      <c r="AY63" s="827"/>
      <c r="AZ63" s="827"/>
      <c r="BA63" s="827"/>
      <c r="BB63" s="506"/>
      <c r="BC63" s="506"/>
      <c r="BD63" s="506"/>
      <c r="BE63" s="506"/>
      <c r="BF63" s="506"/>
      <c r="BG63" s="506"/>
      <c r="BH63" s="826"/>
      <c r="BI63" s="826"/>
      <c r="BJ63" s="826"/>
      <c r="BK63" s="826"/>
      <c r="BL63" s="826"/>
      <c r="BN63" s="826"/>
      <c r="BO63" s="826"/>
      <c r="BP63" s="826"/>
      <c r="BQ63" s="826"/>
      <c r="BR63" s="826"/>
      <c r="BS63" s="826"/>
      <c r="BT63" s="826"/>
      <c r="BU63" s="826"/>
      <c r="BV63" s="826"/>
      <c r="BW63" s="826"/>
      <c r="BX63" s="826"/>
      <c r="BY63" s="826"/>
      <c r="BZ63" s="508"/>
      <c r="CA63" s="508"/>
      <c r="CB63" s="826"/>
      <c r="CC63" s="508"/>
      <c r="CD63" s="508"/>
      <c r="CE63" s="508"/>
      <c r="CF63" s="508"/>
      <c r="CG63" s="508"/>
      <c r="CH63" s="508"/>
    </row>
    <row r="64" spans="5:88" s="154" customFormat="1">
      <c r="H64" s="828"/>
      <c r="I64" s="829"/>
      <c r="J64" s="829"/>
      <c r="K64" s="828"/>
      <c r="N64" s="506"/>
      <c r="O64" s="507"/>
      <c r="P64" s="506"/>
      <c r="Q64" s="506"/>
      <c r="R64" s="506"/>
      <c r="S64" s="506"/>
      <c r="U64" s="508"/>
      <c r="AF64" s="508"/>
      <c r="AI64" s="506"/>
      <c r="AJ64" s="508"/>
      <c r="AK64" s="508"/>
      <c r="AM64" s="508"/>
      <c r="AO64" s="508"/>
      <c r="AV64" s="827"/>
      <c r="AW64" s="827"/>
      <c r="AX64" s="827"/>
      <c r="AY64" s="827"/>
      <c r="AZ64" s="827"/>
      <c r="BA64" s="827"/>
      <c r="BB64" s="506"/>
      <c r="BC64" s="506"/>
      <c r="BD64" s="506"/>
      <c r="BE64" s="506"/>
      <c r="BF64" s="506"/>
      <c r="BG64" s="506"/>
      <c r="BH64" s="826"/>
      <c r="BI64" s="826"/>
      <c r="BJ64" s="826"/>
      <c r="BK64" s="826"/>
      <c r="BL64" s="826"/>
      <c r="BN64" s="826"/>
      <c r="BO64" s="826"/>
      <c r="BP64" s="826"/>
      <c r="BQ64" s="826"/>
      <c r="BR64" s="826"/>
      <c r="BS64" s="826"/>
      <c r="BT64" s="826"/>
      <c r="BU64" s="826"/>
      <c r="BV64" s="826"/>
      <c r="BW64" s="826"/>
      <c r="BX64" s="826"/>
      <c r="BY64" s="826"/>
      <c r="BZ64" s="508"/>
      <c r="CA64" s="508"/>
      <c r="CB64" s="826"/>
      <c r="CC64" s="508"/>
      <c r="CD64" s="508"/>
      <c r="CE64" s="508"/>
      <c r="CF64" s="508"/>
      <c r="CG64" s="508"/>
      <c r="CH64" s="508"/>
    </row>
    <row r="65" spans="8:86" s="154" customFormat="1">
      <c r="H65" s="828"/>
      <c r="I65" s="829"/>
      <c r="J65" s="829"/>
      <c r="K65" s="828"/>
      <c r="N65" s="506"/>
      <c r="O65" s="507"/>
      <c r="P65" s="506"/>
      <c r="Q65" s="506"/>
      <c r="R65" s="506"/>
      <c r="S65" s="506"/>
      <c r="U65" s="508"/>
      <c r="AF65" s="508"/>
      <c r="AI65" s="506"/>
      <c r="AJ65" s="508"/>
      <c r="AK65" s="508"/>
      <c r="AM65" s="508"/>
      <c r="AO65" s="508"/>
      <c r="AV65" s="827"/>
      <c r="AW65" s="827"/>
      <c r="AX65" s="827"/>
      <c r="AY65" s="827"/>
      <c r="AZ65" s="827"/>
      <c r="BA65" s="827"/>
      <c r="BB65" s="506"/>
      <c r="BC65" s="506"/>
      <c r="BD65" s="506"/>
      <c r="BE65" s="506"/>
      <c r="BF65" s="506"/>
      <c r="BG65" s="506"/>
      <c r="BH65" s="826"/>
      <c r="BI65" s="826"/>
      <c r="BJ65" s="826"/>
      <c r="BK65" s="826"/>
      <c r="BL65" s="826"/>
      <c r="BN65" s="826"/>
      <c r="BO65" s="826"/>
      <c r="BP65" s="826"/>
      <c r="BQ65" s="826"/>
      <c r="BR65" s="826"/>
      <c r="BS65" s="826"/>
      <c r="BT65" s="826"/>
      <c r="BU65" s="826"/>
      <c r="BV65" s="826"/>
      <c r="BW65" s="826"/>
      <c r="BX65" s="826"/>
      <c r="BY65" s="826"/>
      <c r="BZ65" s="508"/>
      <c r="CA65" s="508"/>
      <c r="CB65" s="826"/>
      <c r="CC65" s="508"/>
      <c r="CD65" s="508"/>
      <c r="CE65" s="508"/>
      <c r="CF65" s="508"/>
      <c r="CG65" s="508"/>
      <c r="CH65" s="508"/>
    </row>
    <row r="66" spans="8:86" s="154" customFormat="1">
      <c r="H66" s="828"/>
      <c r="I66" s="829"/>
      <c r="J66" s="829"/>
      <c r="K66" s="828"/>
      <c r="N66" s="506"/>
      <c r="O66" s="507"/>
      <c r="P66" s="506"/>
      <c r="Q66" s="506"/>
      <c r="R66" s="506"/>
      <c r="S66" s="506"/>
      <c r="U66" s="508"/>
      <c r="AF66" s="508"/>
      <c r="AI66" s="506"/>
      <c r="AJ66" s="508"/>
      <c r="AK66" s="508"/>
      <c r="AM66" s="508"/>
      <c r="AO66" s="508"/>
      <c r="AV66" s="827"/>
      <c r="AW66" s="827"/>
      <c r="AX66" s="827"/>
      <c r="AY66" s="827"/>
      <c r="AZ66" s="827"/>
      <c r="BA66" s="827"/>
      <c r="BB66" s="506"/>
      <c r="BC66" s="506"/>
      <c r="BD66" s="506"/>
      <c r="BE66" s="506"/>
      <c r="BF66" s="506"/>
      <c r="BG66" s="506"/>
      <c r="BH66" s="826"/>
      <c r="BI66" s="826"/>
      <c r="BJ66" s="826"/>
      <c r="BK66" s="826"/>
      <c r="BL66" s="826"/>
      <c r="BN66" s="826"/>
      <c r="BO66" s="826"/>
      <c r="BP66" s="826"/>
      <c r="BQ66" s="826"/>
      <c r="BR66" s="826"/>
      <c r="BS66" s="826"/>
      <c r="BT66" s="826"/>
      <c r="BU66" s="826"/>
      <c r="BV66" s="826"/>
      <c r="BW66" s="826"/>
      <c r="BX66" s="826"/>
      <c r="BY66" s="826"/>
      <c r="BZ66" s="508"/>
      <c r="CA66" s="508"/>
      <c r="CB66" s="826"/>
      <c r="CC66" s="508"/>
      <c r="CD66" s="508"/>
      <c r="CE66" s="508"/>
      <c r="CF66" s="508"/>
      <c r="CG66" s="508"/>
      <c r="CH66" s="508"/>
    </row>
    <row r="67" spans="8:86" s="154" customFormat="1">
      <c r="H67" s="828"/>
      <c r="I67" s="829"/>
      <c r="J67" s="829"/>
      <c r="K67" s="828"/>
      <c r="N67" s="506"/>
      <c r="O67" s="507"/>
      <c r="P67" s="506"/>
      <c r="Q67" s="506"/>
      <c r="R67" s="506"/>
      <c r="S67" s="506"/>
      <c r="U67" s="508"/>
      <c r="AF67" s="508"/>
      <c r="AI67" s="506"/>
      <c r="AJ67" s="508"/>
      <c r="AK67" s="508"/>
      <c r="AM67" s="508"/>
      <c r="AO67" s="508"/>
      <c r="AV67" s="827"/>
      <c r="AW67" s="827"/>
      <c r="AX67" s="827"/>
      <c r="AY67" s="827"/>
      <c r="AZ67" s="827"/>
      <c r="BA67" s="827"/>
      <c r="BB67" s="506"/>
      <c r="BC67" s="506"/>
      <c r="BD67" s="506"/>
      <c r="BE67" s="506"/>
      <c r="BF67" s="506"/>
      <c r="BG67" s="506"/>
      <c r="BH67" s="826"/>
      <c r="BI67" s="826"/>
      <c r="BJ67" s="826"/>
      <c r="BK67" s="826"/>
      <c r="BL67" s="826"/>
      <c r="BN67" s="826"/>
      <c r="BO67" s="826"/>
      <c r="BP67" s="826"/>
      <c r="BQ67" s="826"/>
      <c r="BR67" s="826"/>
      <c r="BS67" s="826"/>
      <c r="BT67" s="826"/>
      <c r="BU67" s="826"/>
      <c r="BV67" s="826"/>
      <c r="BW67" s="826"/>
      <c r="BX67" s="826"/>
      <c r="BY67" s="826"/>
      <c r="BZ67" s="508"/>
      <c r="CA67" s="508"/>
      <c r="CB67" s="826"/>
      <c r="CC67" s="508"/>
      <c r="CD67" s="508"/>
      <c r="CE67" s="508"/>
      <c r="CF67" s="508"/>
      <c r="CG67" s="508"/>
      <c r="CH67" s="508"/>
    </row>
    <row r="68" spans="8:86" s="154" customFormat="1">
      <c r="H68" s="828"/>
      <c r="I68" s="829"/>
      <c r="J68" s="829"/>
      <c r="K68" s="828"/>
      <c r="N68" s="506"/>
      <c r="O68" s="507"/>
      <c r="P68" s="506"/>
      <c r="Q68" s="506"/>
      <c r="R68" s="506"/>
      <c r="S68" s="506"/>
      <c r="U68" s="508"/>
      <c r="AF68" s="508"/>
      <c r="AI68" s="506"/>
      <c r="AJ68" s="508"/>
      <c r="AK68" s="508"/>
      <c r="AM68" s="508"/>
      <c r="AO68" s="508"/>
      <c r="AV68" s="827"/>
      <c r="AW68" s="827"/>
      <c r="AX68" s="827"/>
      <c r="AY68" s="827"/>
      <c r="AZ68" s="827"/>
      <c r="BA68" s="827"/>
      <c r="BB68" s="506"/>
      <c r="BC68" s="506"/>
      <c r="BD68" s="506"/>
      <c r="BE68" s="506"/>
      <c r="BF68" s="506"/>
      <c r="BG68" s="506"/>
      <c r="BH68" s="826"/>
      <c r="BI68" s="826"/>
      <c r="BJ68" s="826"/>
      <c r="BK68" s="826"/>
      <c r="BL68" s="826"/>
      <c r="BN68" s="826"/>
      <c r="BO68" s="826"/>
      <c r="BP68" s="826"/>
      <c r="BQ68" s="826"/>
      <c r="BR68" s="826"/>
      <c r="BS68" s="826"/>
      <c r="BT68" s="826"/>
      <c r="BU68" s="826"/>
      <c r="BV68" s="826"/>
      <c r="BW68" s="826"/>
      <c r="BX68" s="826"/>
      <c r="BY68" s="826"/>
      <c r="BZ68" s="508"/>
      <c r="CA68" s="508"/>
      <c r="CB68" s="826"/>
      <c r="CC68" s="508"/>
      <c r="CD68" s="508"/>
      <c r="CE68" s="508"/>
      <c r="CF68" s="508"/>
      <c r="CG68" s="508"/>
      <c r="CH68" s="508"/>
    </row>
    <row r="69" spans="8:86" s="154" customFormat="1">
      <c r="H69" s="828"/>
      <c r="I69" s="829"/>
      <c r="J69" s="829"/>
      <c r="K69" s="828"/>
      <c r="N69" s="506"/>
      <c r="O69" s="507"/>
      <c r="P69" s="506"/>
      <c r="Q69" s="506"/>
      <c r="R69" s="506"/>
      <c r="S69" s="506"/>
      <c r="U69" s="508"/>
      <c r="AF69" s="508"/>
      <c r="AI69" s="506"/>
      <c r="AJ69" s="508"/>
      <c r="AK69" s="508"/>
      <c r="AM69" s="508"/>
      <c r="AO69" s="508"/>
      <c r="AV69" s="827"/>
      <c r="AW69" s="827"/>
      <c r="AX69" s="827"/>
      <c r="AY69" s="827"/>
      <c r="AZ69" s="827"/>
      <c r="BA69" s="827"/>
      <c r="BB69" s="506"/>
      <c r="BC69" s="506"/>
      <c r="BD69" s="506"/>
      <c r="BE69" s="506"/>
      <c r="BF69" s="506"/>
      <c r="BG69" s="506"/>
      <c r="BH69" s="826"/>
      <c r="BI69" s="826"/>
      <c r="BJ69" s="826"/>
      <c r="BK69" s="826"/>
      <c r="BL69" s="826"/>
      <c r="BN69" s="826"/>
      <c r="BO69" s="826"/>
      <c r="BP69" s="826"/>
      <c r="BQ69" s="826"/>
      <c r="BR69" s="826"/>
      <c r="BS69" s="826"/>
      <c r="BT69" s="826"/>
      <c r="BU69" s="826"/>
      <c r="BV69" s="826"/>
      <c r="BW69" s="826"/>
      <c r="BX69" s="826"/>
      <c r="BY69" s="826"/>
      <c r="BZ69" s="508"/>
      <c r="CA69" s="508"/>
      <c r="CB69" s="826"/>
      <c r="CC69" s="508"/>
      <c r="CD69" s="508"/>
      <c r="CE69" s="508"/>
      <c r="CF69" s="508"/>
      <c r="CG69" s="508"/>
      <c r="CH69" s="508"/>
    </row>
    <row r="70" spans="8:86" s="154" customFormat="1">
      <c r="H70" s="828"/>
      <c r="I70" s="829"/>
      <c r="J70" s="829"/>
      <c r="K70" s="828"/>
      <c r="N70" s="506"/>
      <c r="O70" s="507"/>
      <c r="P70" s="506"/>
      <c r="Q70" s="506"/>
      <c r="R70" s="506"/>
      <c r="S70" s="506"/>
      <c r="U70" s="508"/>
      <c r="AF70" s="508"/>
      <c r="AI70" s="506"/>
      <c r="AJ70" s="508"/>
      <c r="AK70" s="508"/>
      <c r="AM70" s="508"/>
      <c r="AO70" s="508"/>
      <c r="AV70" s="827"/>
      <c r="AW70" s="827"/>
      <c r="AX70" s="827"/>
      <c r="AY70" s="827"/>
      <c r="AZ70" s="827"/>
      <c r="BA70" s="827"/>
      <c r="BB70" s="506"/>
      <c r="BC70" s="506"/>
      <c r="BD70" s="506"/>
      <c r="BE70" s="506"/>
      <c r="BF70" s="506"/>
      <c r="BG70" s="506"/>
      <c r="BH70" s="826"/>
      <c r="BI70" s="826"/>
      <c r="BJ70" s="826"/>
      <c r="BK70" s="826"/>
      <c r="BL70" s="826"/>
      <c r="BN70" s="826"/>
      <c r="BO70" s="826"/>
      <c r="BP70" s="826"/>
      <c r="BQ70" s="826"/>
      <c r="BR70" s="826"/>
      <c r="BS70" s="826"/>
      <c r="BT70" s="826"/>
      <c r="BU70" s="826"/>
      <c r="BV70" s="826"/>
      <c r="BW70" s="826"/>
      <c r="BX70" s="826"/>
      <c r="BY70" s="826"/>
      <c r="BZ70" s="508"/>
      <c r="CA70" s="508"/>
      <c r="CB70" s="826"/>
      <c r="CC70" s="508"/>
      <c r="CD70" s="508"/>
      <c r="CE70" s="508"/>
      <c r="CF70" s="508"/>
      <c r="CG70" s="508"/>
      <c r="CH70" s="508"/>
    </row>
    <row r="71" spans="8:86" s="154" customFormat="1">
      <c r="H71" s="828"/>
      <c r="I71" s="829"/>
      <c r="J71" s="829"/>
      <c r="K71" s="828"/>
      <c r="N71" s="506"/>
      <c r="O71" s="507"/>
      <c r="P71" s="506"/>
      <c r="Q71" s="506"/>
      <c r="R71" s="506"/>
      <c r="S71" s="506"/>
      <c r="U71" s="508"/>
      <c r="AF71" s="508"/>
      <c r="AI71" s="506"/>
      <c r="AJ71" s="508"/>
      <c r="AK71" s="508"/>
      <c r="AM71" s="508"/>
      <c r="AO71" s="508"/>
      <c r="AV71" s="827"/>
      <c r="AW71" s="827"/>
      <c r="AX71" s="827"/>
      <c r="AY71" s="827"/>
      <c r="AZ71" s="827"/>
      <c r="BA71" s="827"/>
      <c r="BB71" s="506"/>
      <c r="BC71" s="506"/>
      <c r="BD71" s="506"/>
      <c r="BE71" s="506"/>
      <c r="BF71" s="506"/>
      <c r="BG71" s="506"/>
      <c r="BH71" s="826"/>
      <c r="BI71" s="826"/>
      <c r="BJ71" s="826"/>
      <c r="BK71" s="826"/>
      <c r="BL71" s="826"/>
      <c r="BN71" s="826"/>
      <c r="BO71" s="826"/>
      <c r="BP71" s="826"/>
      <c r="BQ71" s="826"/>
      <c r="BR71" s="826"/>
      <c r="BS71" s="826"/>
      <c r="BT71" s="826"/>
      <c r="BU71" s="826"/>
      <c r="BV71" s="826"/>
      <c r="BW71" s="826"/>
      <c r="BX71" s="826"/>
      <c r="BY71" s="826"/>
      <c r="BZ71" s="508"/>
      <c r="CA71" s="508"/>
      <c r="CB71" s="826"/>
      <c r="CC71" s="508"/>
      <c r="CD71" s="508"/>
      <c r="CE71" s="508"/>
      <c r="CF71" s="508"/>
      <c r="CG71" s="508"/>
      <c r="CH71" s="508"/>
    </row>
    <row r="72" spans="8:86" s="154" customFormat="1">
      <c r="H72" s="828"/>
      <c r="I72" s="829"/>
      <c r="J72" s="829"/>
      <c r="K72" s="828"/>
      <c r="N72" s="506"/>
      <c r="O72" s="507"/>
      <c r="P72" s="506"/>
      <c r="Q72" s="506"/>
      <c r="R72" s="506"/>
      <c r="S72" s="506"/>
      <c r="U72" s="508"/>
      <c r="AF72" s="508"/>
      <c r="AI72" s="506"/>
      <c r="AJ72" s="508"/>
      <c r="AK72" s="508"/>
      <c r="AM72" s="508"/>
      <c r="AO72" s="508"/>
      <c r="AV72" s="827"/>
      <c r="AW72" s="827"/>
      <c r="AX72" s="827"/>
      <c r="AY72" s="827"/>
      <c r="AZ72" s="827"/>
      <c r="BA72" s="827"/>
      <c r="BB72" s="506"/>
      <c r="BC72" s="506"/>
      <c r="BD72" s="506"/>
      <c r="BE72" s="506"/>
      <c r="BF72" s="506"/>
      <c r="BG72" s="506"/>
      <c r="BH72" s="826"/>
      <c r="BI72" s="826"/>
      <c r="BJ72" s="826"/>
      <c r="BK72" s="826"/>
      <c r="BL72" s="826"/>
      <c r="BN72" s="826"/>
      <c r="BO72" s="826"/>
      <c r="BP72" s="826"/>
      <c r="BQ72" s="826"/>
      <c r="BR72" s="826"/>
      <c r="BS72" s="826"/>
      <c r="BT72" s="826"/>
      <c r="BU72" s="826"/>
      <c r="BV72" s="826"/>
      <c r="BW72" s="826"/>
      <c r="BX72" s="826"/>
      <c r="BY72" s="826"/>
      <c r="BZ72" s="508"/>
      <c r="CA72" s="508"/>
      <c r="CB72" s="826"/>
      <c r="CC72" s="508"/>
      <c r="CD72" s="508"/>
      <c r="CE72" s="508"/>
      <c r="CF72" s="508"/>
      <c r="CG72" s="508"/>
      <c r="CH72" s="508"/>
    </row>
    <row r="73" spans="8:86" s="154" customFormat="1">
      <c r="H73" s="828"/>
      <c r="I73" s="829"/>
      <c r="J73" s="829"/>
      <c r="K73" s="828"/>
      <c r="N73" s="506"/>
      <c r="O73" s="507"/>
      <c r="P73" s="506"/>
      <c r="Q73" s="506"/>
      <c r="R73" s="506"/>
      <c r="S73" s="506"/>
      <c r="U73" s="508"/>
      <c r="AF73" s="508"/>
      <c r="AI73" s="506"/>
      <c r="AJ73" s="508"/>
      <c r="AK73" s="508"/>
      <c r="AM73" s="508"/>
      <c r="AO73" s="508"/>
      <c r="AV73" s="827"/>
      <c r="AW73" s="827"/>
      <c r="AX73" s="827"/>
      <c r="AY73" s="827"/>
      <c r="AZ73" s="827"/>
      <c r="BA73" s="827"/>
      <c r="BB73" s="506"/>
      <c r="BC73" s="506"/>
      <c r="BD73" s="506"/>
      <c r="BE73" s="506"/>
      <c r="BF73" s="506"/>
      <c r="BG73" s="506"/>
      <c r="BH73" s="826"/>
      <c r="BI73" s="826"/>
      <c r="BJ73" s="826"/>
      <c r="BK73" s="826"/>
      <c r="BL73" s="826"/>
      <c r="BN73" s="826"/>
      <c r="BO73" s="826"/>
      <c r="BP73" s="826"/>
      <c r="BQ73" s="826"/>
      <c r="BR73" s="826"/>
      <c r="BS73" s="826"/>
      <c r="BT73" s="826"/>
      <c r="BU73" s="826"/>
      <c r="BV73" s="826"/>
      <c r="BW73" s="826"/>
      <c r="BX73" s="826"/>
      <c r="BY73" s="826"/>
      <c r="BZ73" s="508"/>
      <c r="CA73" s="508"/>
      <c r="CB73" s="826"/>
      <c r="CC73" s="508"/>
      <c r="CD73" s="508"/>
      <c r="CE73" s="508"/>
      <c r="CF73" s="508"/>
      <c r="CG73" s="508"/>
      <c r="CH73" s="508"/>
    </row>
    <row r="74" spans="8:86" s="154" customFormat="1">
      <c r="H74" s="828"/>
      <c r="I74" s="829"/>
      <c r="J74" s="829"/>
      <c r="K74" s="828"/>
      <c r="N74" s="506"/>
      <c r="O74" s="507"/>
      <c r="P74" s="506"/>
      <c r="Q74" s="506"/>
      <c r="R74" s="506"/>
      <c r="S74" s="506"/>
      <c r="U74" s="508"/>
      <c r="AF74" s="508"/>
      <c r="AI74" s="506"/>
      <c r="AJ74" s="508"/>
      <c r="AK74" s="508"/>
      <c r="AM74" s="508"/>
      <c r="AO74" s="508"/>
      <c r="AV74" s="827"/>
      <c r="AW74" s="827"/>
      <c r="AX74" s="827"/>
      <c r="AY74" s="827"/>
      <c r="AZ74" s="827"/>
      <c r="BA74" s="827"/>
      <c r="BB74" s="506"/>
      <c r="BC74" s="506"/>
      <c r="BD74" s="506"/>
      <c r="BE74" s="506"/>
      <c r="BF74" s="506"/>
      <c r="BG74" s="506"/>
      <c r="BH74" s="826"/>
      <c r="BI74" s="826"/>
      <c r="BJ74" s="826"/>
      <c r="BK74" s="826"/>
      <c r="BL74" s="826"/>
      <c r="BN74" s="826"/>
      <c r="BO74" s="826"/>
      <c r="BP74" s="826"/>
      <c r="BQ74" s="826"/>
      <c r="BR74" s="826"/>
      <c r="BS74" s="826"/>
      <c r="BT74" s="826"/>
      <c r="BU74" s="826"/>
      <c r="BV74" s="826"/>
      <c r="BW74" s="826"/>
      <c r="BX74" s="826"/>
      <c r="BY74" s="826"/>
      <c r="BZ74" s="508"/>
      <c r="CA74" s="508"/>
      <c r="CB74" s="826"/>
      <c r="CC74" s="508"/>
      <c r="CD74" s="508"/>
      <c r="CE74" s="508"/>
      <c r="CF74" s="508"/>
      <c r="CG74" s="508"/>
      <c r="CH74" s="508"/>
    </row>
    <row r="75" spans="8:86" s="154" customFormat="1">
      <c r="H75" s="828"/>
      <c r="I75" s="829"/>
      <c r="J75" s="829"/>
      <c r="K75" s="828"/>
      <c r="N75" s="506"/>
      <c r="O75" s="507"/>
      <c r="P75" s="506"/>
      <c r="Q75" s="506"/>
      <c r="R75" s="506"/>
      <c r="S75" s="506"/>
      <c r="U75" s="508"/>
      <c r="AF75" s="508"/>
      <c r="AI75" s="506"/>
      <c r="AJ75" s="508"/>
      <c r="AK75" s="508"/>
      <c r="AM75" s="508"/>
      <c r="AO75" s="508"/>
      <c r="AV75" s="827"/>
      <c r="AW75" s="827"/>
      <c r="AX75" s="827"/>
      <c r="AY75" s="827"/>
      <c r="AZ75" s="827"/>
      <c r="BA75" s="827"/>
      <c r="BB75" s="506"/>
      <c r="BC75" s="506"/>
      <c r="BD75" s="506"/>
      <c r="BE75" s="506"/>
      <c r="BF75" s="506"/>
      <c r="BG75" s="506"/>
      <c r="BH75" s="826"/>
      <c r="BI75" s="826"/>
      <c r="BJ75" s="826"/>
      <c r="BK75" s="826"/>
      <c r="BL75" s="826"/>
      <c r="BN75" s="826"/>
      <c r="BO75" s="826"/>
      <c r="BP75" s="826"/>
      <c r="BQ75" s="826"/>
      <c r="BR75" s="826"/>
      <c r="BS75" s="826"/>
      <c r="BT75" s="826"/>
      <c r="BU75" s="826"/>
      <c r="BV75" s="826"/>
      <c r="BW75" s="826"/>
      <c r="BX75" s="826"/>
      <c r="BY75" s="826"/>
      <c r="BZ75" s="508"/>
      <c r="CA75" s="508"/>
      <c r="CB75" s="826"/>
      <c r="CC75" s="508"/>
      <c r="CD75" s="508"/>
      <c r="CE75" s="508"/>
      <c r="CF75" s="508"/>
      <c r="CG75" s="508"/>
      <c r="CH75" s="508"/>
    </row>
    <row r="76" spans="8:86" s="154" customFormat="1">
      <c r="H76" s="828"/>
      <c r="I76" s="829"/>
      <c r="J76" s="829"/>
      <c r="K76" s="828"/>
      <c r="N76" s="506"/>
      <c r="O76" s="507"/>
      <c r="P76" s="506"/>
      <c r="Q76" s="506"/>
      <c r="R76" s="506"/>
      <c r="S76" s="506"/>
      <c r="U76" s="508"/>
      <c r="AF76" s="508"/>
      <c r="AI76" s="506"/>
      <c r="AJ76" s="508"/>
      <c r="AK76" s="508"/>
      <c r="AM76" s="508"/>
      <c r="AO76" s="508"/>
      <c r="AV76" s="827"/>
      <c r="AW76" s="827"/>
      <c r="AX76" s="827"/>
      <c r="AY76" s="827"/>
      <c r="AZ76" s="827"/>
      <c r="BA76" s="827"/>
      <c r="BB76" s="506"/>
      <c r="BC76" s="506"/>
      <c r="BD76" s="506"/>
      <c r="BE76" s="506"/>
      <c r="BF76" s="506"/>
      <c r="BG76" s="506"/>
      <c r="BH76" s="826"/>
      <c r="BI76" s="826"/>
      <c r="BJ76" s="826"/>
      <c r="BK76" s="826"/>
      <c r="BL76" s="826"/>
      <c r="BN76" s="826"/>
      <c r="BO76" s="826"/>
      <c r="BP76" s="826"/>
      <c r="BQ76" s="826"/>
      <c r="BR76" s="826"/>
      <c r="BS76" s="826"/>
      <c r="BT76" s="826"/>
      <c r="BU76" s="826"/>
      <c r="BV76" s="826"/>
      <c r="BW76" s="826"/>
      <c r="BX76" s="826"/>
      <c r="BY76" s="826"/>
      <c r="BZ76" s="508"/>
      <c r="CA76" s="508"/>
      <c r="CB76" s="826"/>
      <c r="CC76" s="508"/>
      <c r="CD76" s="508"/>
      <c r="CE76" s="508"/>
      <c r="CF76" s="508"/>
      <c r="CG76" s="508"/>
      <c r="CH76" s="508"/>
    </row>
    <row r="77" spans="8:86" s="154" customFormat="1">
      <c r="H77" s="828"/>
      <c r="I77" s="829"/>
      <c r="J77" s="829"/>
      <c r="K77" s="828"/>
      <c r="N77" s="506"/>
      <c r="O77" s="507"/>
      <c r="P77" s="506"/>
      <c r="Q77" s="506"/>
      <c r="R77" s="506"/>
      <c r="S77" s="506"/>
      <c r="U77" s="508"/>
      <c r="AF77" s="508"/>
      <c r="AI77" s="506"/>
      <c r="AJ77" s="508"/>
      <c r="AK77" s="508"/>
      <c r="AM77" s="508"/>
      <c r="AO77" s="508"/>
      <c r="AV77" s="827"/>
      <c r="AW77" s="827"/>
      <c r="AX77" s="827"/>
      <c r="AY77" s="827"/>
      <c r="AZ77" s="827"/>
      <c r="BA77" s="827"/>
      <c r="BB77" s="506"/>
      <c r="BC77" s="506"/>
      <c r="BD77" s="506"/>
      <c r="BE77" s="506"/>
      <c r="BF77" s="506"/>
      <c r="BG77" s="506"/>
      <c r="BH77" s="826"/>
      <c r="BI77" s="826"/>
      <c r="BJ77" s="826"/>
      <c r="BK77" s="826"/>
      <c r="BL77" s="826"/>
      <c r="BN77" s="826"/>
      <c r="BO77" s="826"/>
      <c r="BP77" s="826"/>
      <c r="BQ77" s="826"/>
      <c r="BR77" s="826"/>
      <c r="BS77" s="826"/>
      <c r="BT77" s="826"/>
      <c r="BU77" s="826"/>
      <c r="BV77" s="826"/>
      <c r="BW77" s="826"/>
      <c r="BX77" s="826"/>
      <c r="BY77" s="826"/>
      <c r="BZ77" s="508"/>
      <c r="CA77" s="508"/>
      <c r="CB77" s="826"/>
      <c r="CC77" s="508"/>
      <c r="CD77" s="508"/>
      <c r="CE77" s="508"/>
      <c r="CF77" s="508"/>
      <c r="CG77" s="508"/>
      <c r="CH77" s="508"/>
    </row>
    <row r="78" spans="8:86" s="154" customFormat="1">
      <c r="H78" s="828"/>
      <c r="I78" s="829"/>
      <c r="J78" s="829"/>
      <c r="K78" s="828"/>
      <c r="N78" s="506"/>
      <c r="O78" s="507"/>
      <c r="P78" s="506"/>
      <c r="Q78" s="506"/>
      <c r="R78" s="506"/>
      <c r="S78" s="506"/>
      <c r="U78" s="508"/>
      <c r="AF78" s="508"/>
      <c r="AI78" s="506"/>
      <c r="AJ78" s="508"/>
      <c r="AK78" s="508"/>
      <c r="AM78" s="508"/>
      <c r="AO78" s="508"/>
      <c r="AV78" s="827"/>
      <c r="AW78" s="827"/>
      <c r="AX78" s="827"/>
      <c r="AY78" s="827"/>
      <c r="AZ78" s="827"/>
      <c r="BA78" s="827"/>
      <c r="BB78" s="506"/>
      <c r="BC78" s="506"/>
      <c r="BD78" s="506"/>
      <c r="BE78" s="506"/>
      <c r="BF78" s="506"/>
      <c r="BG78" s="506"/>
      <c r="BH78" s="826"/>
      <c r="BI78" s="826"/>
      <c r="BJ78" s="826"/>
      <c r="BK78" s="826"/>
      <c r="BL78" s="826"/>
      <c r="BN78" s="826"/>
      <c r="BO78" s="826"/>
      <c r="BP78" s="826"/>
      <c r="BQ78" s="826"/>
      <c r="BR78" s="826"/>
      <c r="BS78" s="826"/>
      <c r="BT78" s="826"/>
      <c r="BU78" s="826"/>
      <c r="BV78" s="826"/>
      <c r="BW78" s="826"/>
      <c r="BX78" s="826"/>
      <c r="BY78" s="826"/>
      <c r="BZ78" s="508"/>
      <c r="CA78" s="508"/>
      <c r="CB78" s="826"/>
      <c r="CC78" s="508"/>
      <c r="CD78" s="508"/>
      <c r="CE78" s="508"/>
      <c r="CF78" s="508"/>
      <c r="CG78" s="508"/>
      <c r="CH78" s="508"/>
    </row>
    <row r="79" spans="8:86" s="154" customFormat="1">
      <c r="H79" s="828"/>
      <c r="I79" s="829"/>
      <c r="J79" s="829"/>
      <c r="K79" s="828"/>
      <c r="N79" s="506"/>
      <c r="O79" s="507"/>
      <c r="P79" s="506"/>
      <c r="Q79" s="506"/>
      <c r="R79" s="506"/>
      <c r="S79" s="506"/>
      <c r="U79" s="508"/>
      <c r="AF79" s="508"/>
      <c r="AI79" s="506"/>
      <c r="AJ79" s="508"/>
      <c r="AK79" s="508"/>
      <c r="AM79" s="508"/>
      <c r="AO79" s="508"/>
      <c r="AV79" s="827"/>
      <c r="AW79" s="827"/>
      <c r="AX79" s="827"/>
      <c r="AY79" s="827"/>
      <c r="AZ79" s="827"/>
      <c r="BA79" s="827"/>
      <c r="BB79" s="506"/>
      <c r="BC79" s="506"/>
      <c r="BD79" s="506"/>
      <c r="BE79" s="506"/>
      <c r="BF79" s="506"/>
      <c r="BG79" s="506"/>
      <c r="BH79" s="826"/>
      <c r="BI79" s="826"/>
      <c r="BJ79" s="826"/>
      <c r="BK79" s="826"/>
      <c r="BL79" s="826"/>
      <c r="BN79" s="826"/>
      <c r="BO79" s="826"/>
      <c r="BP79" s="826"/>
      <c r="BQ79" s="826"/>
      <c r="BR79" s="826"/>
      <c r="BS79" s="826"/>
      <c r="BT79" s="826"/>
      <c r="BU79" s="826"/>
      <c r="BV79" s="826"/>
      <c r="BW79" s="826"/>
      <c r="BX79" s="826"/>
      <c r="BY79" s="826"/>
      <c r="BZ79" s="508"/>
      <c r="CA79" s="508"/>
      <c r="CB79" s="826"/>
      <c r="CC79" s="508"/>
      <c r="CD79" s="508"/>
      <c r="CE79" s="508"/>
      <c r="CF79" s="508"/>
      <c r="CG79" s="508"/>
      <c r="CH79" s="508"/>
    </row>
    <row r="80" spans="8:86" s="154" customFormat="1">
      <c r="H80" s="828"/>
      <c r="I80" s="829"/>
      <c r="J80" s="829"/>
      <c r="K80" s="828"/>
      <c r="N80" s="506"/>
      <c r="O80" s="507"/>
      <c r="P80" s="506"/>
      <c r="Q80" s="506"/>
      <c r="R80" s="506"/>
      <c r="S80" s="506"/>
      <c r="U80" s="508"/>
      <c r="AF80" s="508"/>
      <c r="AI80" s="506"/>
      <c r="AJ80" s="508"/>
      <c r="AK80" s="508"/>
      <c r="AM80" s="508"/>
      <c r="AO80" s="508"/>
      <c r="AV80" s="827"/>
      <c r="AW80" s="827"/>
      <c r="AX80" s="827"/>
      <c r="AY80" s="827"/>
      <c r="AZ80" s="827"/>
      <c r="BA80" s="827"/>
      <c r="BB80" s="506"/>
      <c r="BC80" s="506"/>
      <c r="BD80" s="506"/>
      <c r="BE80" s="506"/>
      <c r="BF80" s="506"/>
      <c r="BG80" s="506"/>
      <c r="BH80" s="826"/>
      <c r="BI80" s="826"/>
      <c r="BJ80" s="826"/>
      <c r="BK80" s="826"/>
      <c r="BL80" s="826"/>
      <c r="BN80" s="826"/>
      <c r="BO80" s="826"/>
      <c r="BP80" s="826"/>
      <c r="BQ80" s="826"/>
      <c r="BR80" s="826"/>
      <c r="BS80" s="826"/>
      <c r="BT80" s="826"/>
      <c r="BU80" s="826"/>
      <c r="BV80" s="826"/>
      <c r="BW80" s="826"/>
      <c r="BX80" s="826"/>
      <c r="BY80" s="826"/>
      <c r="BZ80" s="508"/>
      <c r="CA80" s="508"/>
      <c r="CB80" s="826"/>
      <c r="CC80" s="508"/>
      <c r="CD80" s="508"/>
      <c r="CE80" s="508"/>
      <c r="CF80" s="508"/>
      <c r="CG80" s="508"/>
      <c r="CH80" s="508"/>
    </row>
    <row r="81" spans="8:86" s="154" customFormat="1">
      <c r="H81" s="828"/>
      <c r="I81" s="829"/>
      <c r="J81" s="829"/>
      <c r="K81" s="828"/>
      <c r="N81" s="506"/>
      <c r="O81" s="507"/>
      <c r="P81" s="506"/>
      <c r="Q81" s="506"/>
      <c r="R81" s="506"/>
      <c r="S81" s="506"/>
      <c r="U81" s="508"/>
      <c r="AF81" s="508"/>
      <c r="AI81" s="506"/>
      <c r="AJ81" s="508"/>
      <c r="AK81" s="508"/>
      <c r="AM81" s="508"/>
      <c r="AO81" s="508"/>
      <c r="AV81" s="827"/>
      <c r="AW81" s="827"/>
      <c r="AX81" s="827"/>
      <c r="AY81" s="827"/>
      <c r="AZ81" s="827"/>
      <c r="BA81" s="827"/>
      <c r="BB81" s="506"/>
      <c r="BC81" s="506"/>
      <c r="BD81" s="506"/>
      <c r="BE81" s="506"/>
      <c r="BF81" s="506"/>
      <c r="BG81" s="506"/>
      <c r="BH81" s="826"/>
      <c r="BI81" s="826"/>
      <c r="BJ81" s="826"/>
      <c r="BK81" s="826"/>
      <c r="BL81" s="826"/>
      <c r="BN81" s="826"/>
      <c r="BO81" s="826"/>
      <c r="BP81" s="826"/>
      <c r="BQ81" s="826"/>
      <c r="BR81" s="826"/>
      <c r="BS81" s="826"/>
      <c r="BT81" s="826"/>
      <c r="BU81" s="826"/>
      <c r="BV81" s="826"/>
      <c r="BW81" s="826"/>
      <c r="BX81" s="826"/>
      <c r="BY81" s="826"/>
      <c r="BZ81" s="508"/>
      <c r="CA81" s="508"/>
      <c r="CB81" s="826"/>
      <c r="CC81" s="508"/>
      <c r="CD81" s="508"/>
      <c r="CE81" s="508"/>
      <c r="CF81" s="508"/>
      <c r="CG81" s="508"/>
      <c r="CH81" s="508"/>
    </row>
    <row r="82" spans="8:86" s="154" customFormat="1">
      <c r="H82" s="828"/>
      <c r="I82" s="829"/>
      <c r="J82" s="829"/>
      <c r="K82" s="828"/>
      <c r="N82" s="506"/>
      <c r="O82" s="507"/>
      <c r="P82" s="506"/>
      <c r="Q82" s="506"/>
      <c r="R82" s="506"/>
      <c r="S82" s="506"/>
      <c r="U82" s="508"/>
      <c r="AF82" s="508"/>
      <c r="AI82" s="506"/>
      <c r="AJ82" s="508"/>
      <c r="AK82" s="508"/>
      <c r="AM82" s="508"/>
      <c r="AO82" s="508"/>
      <c r="AV82" s="827"/>
      <c r="AW82" s="827"/>
      <c r="AX82" s="827"/>
      <c r="AY82" s="827"/>
      <c r="AZ82" s="827"/>
      <c r="BA82" s="827"/>
      <c r="BB82" s="506"/>
      <c r="BC82" s="506"/>
      <c r="BD82" s="506"/>
      <c r="BE82" s="506"/>
      <c r="BF82" s="506"/>
      <c r="BG82" s="506"/>
      <c r="BH82" s="826"/>
      <c r="BI82" s="826"/>
      <c r="BJ82" s="826"/>
      <c r="BK82" s="826"/>
      <c r="BL82" s="826"/>
      <c r="BN82" s="826"/>
      <c r="BO82" s="826"/>
      <c r="BP82" s="826"/>
      <c r="BQ82" s="826"/>
      <c r="BR82" s="826"/>
      <c r="BS82" s="826"/>
      <c r="BT82" s="826"/>
      <c r="BU82" s="826"/>
      <c r="BV82" s="826"/>
      <c r="BW82" s="826"/>
      <c r="BX82" s="826"/>
      <c r="BY82" s="826"/>
      <c r="BZ82" s="508"/>
      <c r="CA82" s="508"/>
      <c r="CB82" s="826"/>
      <c r="CC82" s="508"/>
      <c r="CD82" s="508"/>
      <c r="CE82" s="508"/>
      <c r="CF82" s="508"/>
      <c r="CG82" s="508"/>
      <c r="CH82" s="508"/>
    </row>
    <row r="83" spans="8:86" s="154" customFormat="1">
      <c r="H83" s="828"/>
      <c r="I83" s="829"/>
      <c r="J83" s="829"/>
      <c r="K83" s="828"/>
      <c r="N83" s="506"/>
      <c r="O83" s="507"/>
      <c r="P83" s="506"/>
      <c r="Q83" s="506"/>
      <c r="R83" s="506"/>
      <c r="S83" s="506"/>
      <c r="U83" s="508"/>
      <c r="AF83" s="508"/>
      <c r="AI83" s="506"/>
      <c r="AJ83" s="508"/>
      <c r="AK83" s="508"/>
      <c r="AM83" s="508"/>
      <c r="AO83" s="508"/>
      <c r="AV83" s="827"/>
      <c r="AW83" s="827"/>
      <c r="AX83" s="827"/>
      <c r="AY83" s="827"/>
      <c r="AZ83" s="827"/>
      <c r="BA83" s="827"/>
      <c r="BB83" s="506"/>
      <c r="BC83" s="506"/>
      <c r="BD83" s="506"/>
      <c r="BE83" s="506"/>
      <c r="BF83" s="506"/>
      <c r="BG83" s="506"/>
      <c r="BH83" s="826"/>
      <c r="BI83" s="826"/>
      <c r="BJ83" s="826"/>
      <c r="BK83" s="826"/>
      <c r="BL83" s="826"/>
      <c r="BN83" s="826"/>
      <c r="BO83" s="826"/>
      <c r="BP83" s="826"/>
      <c r="BQ83" s="826"/>
      <c r="BR83" s="826"/>
      <c r="BS83" s="826"/>
      <c r="BT83" s="826"/>
      <c r="BU83" s="826"/>
      <c r="BV83" s="826"/>
      <c r="BW83" s="826"/>
      <c r="BX83" s="826"/>
      <c r="BY83" s="826"/>
      <c r="BZ83" s="508"/>
      <c r="CA83" s="508"/>
      <c r="CB83" s="826"/>
      <c r="CC83" s="508"/>
      <c r="CD83" s="508"/>
      <c r="CE83" s="508"/>
      <c r="CF83" s="508"/>
      <c r="CG83" s="508"/>
      <c r="CH83" s="508"/>
    </row>
    <row r="84" spans="8:86" s="154" customFormat="1">
      <c r="H84" s="828"/>
      <c r="I84" s="829"/>
      <c r="J84" s="829"/>
      <c r="K84" s="828"/>
      <c r="N84" s="506"/>
      <c r="O84" s="507"/>
      <c r="P84" s="506"/>
      <c r="Q84" s="506"/>
      <c r="R84" s="506"/>
      <c r="S84" s="506"/>
      <c r="U84" s="508"/>
      <c r="AF84" s="508"/>
      <c r="AI84" s="506"/>
      <c r="AJ84" s="508"/>
      <c r="AK84" s="508"/>
      <c r="AM84" s="508"/>
      <c r="AO84" s="508"/>
      <c r="AV84" s="827"/>
      <c r="AW84" s="827"/>
      <c r="AX84" s="827"/>
      <c r="AY84" s="827"/>
      <c r="AZ84" s="827"/>
      <c r="BA84" s="827"/>
      <c r="BB84" s="506"/>
      <c r="BC84" s="506"/>
      <c r="BD84" s="506"/>
      <c r="BE84" s="506"/>
      <c r="BF84" s="506"/>
      <c r="BG84" s="506"/>
      <c r="BH84" s="826"/>
      <c r="BI84" s="826"/>
      <c r="BJ84" s="826"/>
      <c r="BK84" s="826"/>
      <c r="BL84" s="826"/>
      <c r="BN84" s="826"/>
      <c r="BO84" s="826"/>
      <c r="BP84" s="826"/>
      <c r="BQ84" s="826"/>
      <c r="BR84" s="826"/>
      <c r="BS84" s="826"/>
      <c r="BT84" s="826"/>
      <c r="BU84" s="826"/>
      <c r="BV84" s="826"/>
      <c r="BW84" s="826"/>
      <c r="BX84" s="826"/>
      <c r="BY84" s="826"/>
      <c r="BZ84" s="508"/>
      <c r="CA84" s="508"/>
      <c r="CB84" s="826"/>
      <c r="CC84" s="508"/>
      <c r="CD84" s="508"/>
      <c r="CE84" s="508"/>
      <c r="CF84" s="508"/>
      <c r="CG84" s="508"/>
      <c r="CH84" s="508"/>
    </row>
    <row r="85" spans="8:86" s="154" customFormat="1">
      <c r="H85" s="828"/>
      <c r="I85" s="829"/>
      <c r="J85" s="829"/>
      <c r="K85" s="828"/>
      <c r="N85" s="506"/>
      <c r="O85" s="507"/>
      <c r="P85" s="506"/>
      <c r="Q85" s="506"/>
      <c r="R85" s="506"/>
      <c r="S85" s="506"/>
      <c r="U85" s="508"/>
      <c r="AF85" s="508"/>
      <c r="AI85" s="506"/>
      <c r="AJ85" s="508"/>
      <c r="AK85" s="508"/>
      <c r="AM85" s="508"/>
      <c r="AO85" s="508"/>
      <c r="AV85" s="827"/>
      <c r="AW85" s="827"/>
      <c r="AX85" s="827"/>
      <c r="AY85" s="827"/>
      <c r="AZ85" s="827"/>
      <c r="BA85" s="827"/>
      <c r="BB85" s="506"/>
      <c r="BC85" s="506"/>
      <c r="BD85" s="506"/>
      <c r="BE85" s="506"/>
      <c r="BF85" s="506"/>
      <c r="BG85" s="506"/>
      <c r="BH85" s="826"/>
      <c r="BI85" s="826"/>
      <c r="BJ85" s="826"/>
      <c r="BK85" s="826"/>
      <c r="BL85" s="826"/>
      <c r="BN85" s="826"/>
      <c r="BO85" s="826"/>
      <c r="BP85" s="826"/>
      <c r="BQ85" s="826"/>
      <c r="BR85" s="826"/>
      <c r="BS85" s="826"/>
      <c r="BT85" s="826"/>
      <c r="BU85" s="826"/>
      <c r="BV85" s="826"/>
      <c r="BW85" s="826"/>
      <c r="BX85" s="826"/>
      <c r="BY85" s="826"/>
      <c r="BZ85" s="508"/>
      <c r="CA85" s="508"/>
      <c r="CB85" s="826"/>
      <c r="CC85" s="508"/>
      <c r="CD85" s="508"/>
      <c r="CE85" s="508"/>
      <c r="CF85" s="508"/>
      <c r="CG85" s="508"/>
      <c r="CH85" s="508"/>
    </row>
    <row r="86" spans="8:86" s="154" customFormat="1">
      <c r="H86" s="828"/>
      <c r="I86" s="829"/>
      <c r="J86" s="829"/>
      <c r="K86" s="828"/>
      <c r="N86" s="506"/>
      <c r="O86" s="507"/>
      <c r="P86" s="506"/>
      <c r="Q86" s="506"/>
      <c r="R86" s="506"/>
      <c r="S86" s="506"/>
      <c r="U86" s="508"/>
      <c r="AF86" s="508"/>
      <c r="AI86" s="506"/>
      <c r="AJ86" s="508"/>
      <c r="AK86" s="508"/>
      <c r="AM86" s="508"/>
      <c r="AO86" s="508"/>
      <c r="AV86" s="827"/>
      <c r="AW86" s="827"/>
      <c r="AX86" s="827"/>
      <c r="AY86" s="827"/>
      <c r="AZ86" s="827"/>
      <c r="BA86" s="827"/>
      <c r="BB86" s="506"/>
      <c r="BC86" s="506"/>
      <c r="BD86" s="506"/>
      <c r="BE86" s="506"/>
      <c r="BF86" s="506"/>
      <c r="BG86" s="506"/>
      <c r="BH86" s="826"/>
      <c r="BI86" s="826"/>
      <c r="BJ86" s="826"/>
      <c r="BK86" s="826"/>
      <c r="BL86" s="826"/>
      <c r="BN86" s="826"/>
      <c r="BO86" s="826"/>
      <c r="BP86" s="826"/>
      <c r="BQ86" s="826"/>
      <c r="BR86" s="826"/>
      <c r="BS86" s="826"/>
      <c r="BT86" s="826"/>
      <c r="BU86" s="826"/>
      <c r="BV86" s="826"/>
      <c r="BW86" s="826"/>
      <c r="BX86" s="826"/>
      <c r="BY86" s="826"/>
      <c r="BZ86" s="508"/>
      <c r="CA86" s="508"/>
      <c r="CB86" s="826"/>
      <c r="CC86" s="508"/>
      <c r="CD86" s="508"/>
      <c r="CE86" s="508"/>
      <c r="CF86" s="508"/>
      <c r="CG86" s="508"/>
      <c r="CH86" s="508"/>
    </row>
    <row r="87" spans="8:86" s="154" customFormat="1">
      <c r="H87" s="828"/>
      <c r="I87" s="829"/>
      <c r="J87" s="829"/>
      <c r="K87" s="828"/>
      <c r="N87" s="506"/>
      <c r="O87" s="507"/>
      <c r="P87" s="506"/>
      <c r="Q87" s="506"/>
      <c r="R87" s="506"/>
      <c r="S87" s="506"/>
      <c r="U87" s="508"/>
      <c r="AF87" s="508"/>
      <c r="AI87" s="506"/>
      <c r="AJ87" s="508"/>
      <c r="AK87" s="508"/>
      <c r="AM87" s="508"/>
      <c r="AO87" s="508"/>
      <c r="AV87" s="827"/>
      <c r="AW87" s="827"/>
      <c r="AX87" s="827"/>
      <c r="AY87" s="827"/>
      <c r="AZ87" s="827"/>
      <c r="BA87" s="827"/>
      <c r="BB87" s="506"/>
      <c r="BC87" s="506"/>
      <c r="BD87" s="506"/>
      <c r="BE87" s="506"/>
      <c r="BF87" s="506"/>
      <c r="BG87" s="506"/>
      <c r="BH87" s="826"/>
      <c r="BI87" s="826"/>
      <c r="BJ87" s="826"/>
      <c r="BK87" s="826"/>
      <c r="BL87" s="826"/>
      <c r="BN87" s="826"/>
      <c r="BO87" s="826"/>
      <c r="BP87" s="826"/>
      <c r="BQ87" s="826"/>
      <c r="BR87" s="826"/>
      <c r="BS87" s="826"/>
      <c r="BT87" s="826"/>
      <c r="BU87" s="826"/>
      <c r="BV87" s="826"/>
      <c r="BW87" s="826"/>
      <c r="BX87" s="826"/>
      <c r="BY87" s="826"/>
      <c r="BZ87" s="508"/>
      <c r="CA87" s="508"/>
      <c r="CB87" s="826"/>
      <c r="CC87" s="508"/>
      <c r="CD87" s="508"/>
      <c r="CE87" s="508"/>
      <c r="CF87" s="508"/>
      <c r="CG87" s="508"/>
      <c r="CH87" s="508"/>
    </row>
    <row r="88" spans="8:86" s="154" customFormat="1">
      <c r="H88" s="828"/>
      <c r="I88" s="829"/>
      <c r="J88" s="829"/>
      <c r="K88" s="828"/>
      <c r="N88" s="506"/>
      <c r="O88" s="507"/>
      <c r="P88" s="506"/>
      <c r="Q88" s="506"/>
      <c r="R88" s="506"/>
      <c r="S88" s="506"/>
      <c r="U88" s="508"/>
      <c r="AF88" s="508"/>
      <c r="AI88" s="506"/>
      <c r="AJ88" s="508"/>
      <c r="AK88" s="508"/>
      <c r="AM88" s="508"/>
      <c r="AO88" s="508"/>
      <c r="AV88" s="827"/>
      <c r="AW88" s="827"/>
      <c r="AX88" s="827"/>
      <c r="AY88" s="827"/>
      <c r="AZ88" s="827"/>
      <c r="BA88" s="827"/>
      <c r="BB88" s="506"/>
      <c r="BC88" s="506"/>
      <c r="BD88" s="506"/>
      <c r="BE88" s="506"/>
      <c r="BF88" s="506"/>
      <c r="BG88" s="506"/>
      <c r="BH88" s="826"/>
      <c r="BI88" s="826"/>
      <c r="BJ88" s="826"/>
      <c r="BK88" s="826"/>
      <c r="BL88" s="826"/>
      <c r="BN88" s="826"/>
      <c r="BO88" s="826"/>
      <c r="BP88" s="826"/>
      <c r="BQ88" s="826"/>
      <c r="BR88" s="826"/>
      <c r="BS88" s="826"/>
      <c r="BT88" s="826"/>
      <c r="BU88" s="826"/>
      <c r="BV88" s="826"/>
      <c r="BW88" s="826"/>
      <c r="BX88" s="826"/>
      <c r="BY88" s="826"/>
      <c r="BZ88" s="508"/>
      <c r="CA88" s="508"/>
      <c r="CB88" s="826"/>
      <c r="CC88" s="508"/>
      <c r="CD88" s="508"/>
      <c r="CE88" s="508"/>
      <c r="CF88" s="508"/>
      <c r="CG88" s="508"/>
      <c r="CH88" s="508"/>
    </row>
    <row r="89" spans="8:86" s="154" customFormat="1">
      <c r="H89" s="828"/>
      <c r="I89" s="829"/>
      <c r="J89" s="829"/>
      <c r="K89" s="828"/>
      <c r="N89" s="506"/>
      <c r="O89" s="507"/>
      <c r="P89" s="506"/>
      <c r="Q89" s="506"/>
      <c r="R89" s="506"/>
      <c r="S89" s="506"/>
      <c r="U89" s="508"/>
      <c r="AF89" s="508"/>
      <c r="AI89" s="506"/>
      <c r="AJ89" s="508"/>
      <c r="AK89" s="508"/>
      <c r="AM89" s="508"/>
      <c r="AO89" s="508"/>
      <c r="AV89" s="827"/>
      <c r="AW89" s="827"/>
      <c r="AX89" s="827"/>
      <c r="AY89" s="827"/>
      <c r="AZ89" s="827"/>
      <c r="BA89" s="827"/>
      <c r="BB89" s="506"/>
      <c r="BC89" s="506"/>
      <c r="BD89" s="506"/>
      <c r="BE89" s="506"/>
      <c r="BF89" s="506"/>
      <c r="BG89" s="506"/>
      <c r="BH89" s="826"/>
      <c r="BI89" s="826"/>
      <c r="BJ89" s="826"/>
      <c r="BK89" s="826"/>
      <c r="BL89" s="826"/>
      <c r="BN89" s="826"/>
      <c r="BO89" s="826"/>
      <c r="BP89" s="826"/>
      <c r="BQ89" s="826"/>
      <c r="BR89" s="826"/>
      <c r="BS89" s="826"/>
      <c r="BT89" s="826"/>
      <c r="BU89" s="826"/>
      <c r="BV89" s="826"/>
      <c r="BW89" s="826"/>
      <c r="BX89" s="826"/>
      <c r="BY89" s="826"/>
      <c r="BZ89" s="508"/>
      <c r="CA89" s="508"/>
      <c r="CB89" s="826"/>
      <c r="CC89" s="508"/>
      <c r="CD89" s="508"/>
      <c r="CE89" s="508"/>
      <c r="CF89" s="508"/>
      <c r="CG89" s="508"/>
      <c r="CH89" s="508"/>
    </row>
    <row r="90" spans="8:86" s="154" customFormat="1">
      <c r="H90" s="828"/>
      <c r="I90" s="829"/>
      <c r="J90" s="829"/>
      <c r="K90" s="828"/>
      <c r="N90" s="506"/>
      <c r="O90" s="507"/>
      <c r="P90" s="506"/>
      <c r="Q90" s="506"/>
      <c r="R90" s="506"/>
      <c r="S90" s="506"/>
      <c r="U90" s="508"/>
      <c r="AF90" s="508"/>
      <c r="AI90" s="506"/>
      <c r="AJ90" s="508"/>
      <c r="AK90" s="508"/>
      <c r="AM90" s="508"/>
      <c r="AO90" s="508"/>
      <c r="AV90" s="827"/>
      <c r="AW90" s="827"/>
      <c r="AX90" s="827"/>
      <c r="AY90" s="827"/>
      <c r="AZ90" s="827"/>
      <c r="BA90" s="827"/>
      <c r="BB90" s="506"/>
      <c r="BC90" s="506"/>
      <c r="BD90" s="506"/>
      <c r="BE90" s="506"/>
      <c r="BF90" s="506"/>
      <c r="BG90" s="506"/>
      <c r="BH90" s="826"/>
      <c r="BI90" s="826"/>
      <c r="BJ90" s="826"/>
      <c r="BK90" s="826"/>
      <c r="BL90" s="826"/>
      <c r="BN90" s="826"/>
      <c r="BO90" s="826"/>
      <c r="BP90" s="826"/>
      <c r="BQ90" s="826"/>
      <c r="BR90" s="826"/>
      <c r="BS90" s="826"/>
      <c r="BT90" s="826"/>
      <c r="BU90" s="826"/>
      <c r="BV90" s="826"/>
      <c r="BW90" s="826"/>
      <c r="BX90" s="826"/>
      <c r="BY90" s="826"/>
      <c r="BZ90" s="508"/>
      <c r="CA90" s="508"/>
      <c r="CB90" s="826"/>
      <c r="CC90" s="508"/>
      <c r="CD90" s="508"/>
      <c r="CE90" s="508"/>
      <c r="CF90" s="508"/>
      <c r="CG90" s="508"/>
      <c r="CH90" s="508"/>
    </row>
    <row r="91" spans="8:86" s="154" customFormat="1">
      <c r="H91" s="828"/>
      <c r="I91" s="829"/>
      <c r="J91" s="829"/>
      <c r="K91" s="828"/>
      <c r="N91" s="506"/>
      <c r="O91" s="507"/>
      <c r="P91" s="506"/>
      <c r="Q91" s="506"/>
      <c r="R91" s="506"/>
      <c r="S91" s="506"/>
      <c r="U91" s="508"/>
      <c r="AF91" s="508"/>
      <c r="AI91" s="506"/>
      <c r="AJ91" s="508"/>
      <c r="AK91" s="508"/>
      <c r="AM91" s="508"/>
      <c r="AO91" s="508"/>
      <c r="AV91" s="827"/>
      <c r="AW91" s="827"/>
      <c r="AX91" s="827"/>
      <c r="AY91" s="827"/>
      <c r="AZ91" s="827"/>
      <c r="BA91" s="827"/>
      <c r="BB91" s="506"/>
      <c r="BC91" s="506"/>
      <c r="BD91" s="506"/>
      <c r="BE91" s="506"/>
      <c r="BF91" s="506"/>
      <c r="BG91" s="506"/>
      <c r="BH91" s="826"/>
      <c r="BI91" s="826"/>
      <c r="BJ91" s="826"/>
      <c r="BK91" s="826"/>
      <c r="BL91" s="826"/>
      <c r="BN91" s="826"/>
      <c r="BO91" s="826"/>
      <c r="BP91" s="826"/>
      <c r="BQ91" s="826"/>
      <c r="BR91" s="826"/>
      <c r="BS91" s="826"/>
      <c r="BT91" s="826"/>
      <c r="BU91" s="826"/>
      <c r="BV91" s="826"/>
      <c r="BW91" s="826"/>
      <c r="BX91" s="826"/>
      <c r="BY91" s="826"/>
      <c r="BZ91" s="508"/>
      <c r="CA91" s="508"/>
      <c r="CB91" s="826"/>
      <c r="CC91" s="508"/>
      <c r="CD91" s="508"/>
      <c r="CE91" s="508"/>
      <c r="CF91" s="508"/>
      <c r="CG91" s="508"/>
      <c r="CH91" s="508"/>
    </row>
    <row r="92" spans="8:86" s="154" customFormat="1">
      <c r="H92" s="828"/>
      <c r="I92" s="829"/>
      <c r="J92" s="829"/>
      <c r="K92" s="828"/>
      <c r="N92" s="506"/>
      <c r="O92" s="507"/>
      <c r="P92" s="506"/>
      <c r="Q92" s="506"/>
      <c r="R92" s="506"/>
      <c r="S92" s="506"/>
      <c r="U92" s="508"/>
      <c r="AF92" s="508"/>
      <c r="AI92" s="506"/>
      <c r="AJ92" s="508"/>
      <c r="AK92" s="508"/>
      <c r="AM92" s="508"/>
      <c r="AO92" s="508"/>
      <c r="AV92" s="827"/>
      <c r="AW92" s="827"/>
      <c r="AX92" s="827"/>
      <c r="AY92" s="827"/>
      <c r="AZ92" s="827"/>
      <c r="BA92" s="827"/>
      <c r="BB92" s="506"/>
      <c r="BC92" s="506"/>
      <c r="BD92" s="506"/>
      <c r="BE92" s="506"/>
      <c r="BF92" s="506"/>
      <c r="BG92" s="506"/>
      <c r="BH92" s="826"/>
      <c r="BI92" s="826"/>
      <c r="BJ92" s="826"/>
      <c r="BK92" s="826"/>
      <c r="BL92" s="826"/>
      <c r="BN92" s="826"/>
      <c r="BO92" s="826"/>
      <c r="BP92" s="826"/>
      <c r="BQ92" s="826"/>
      <c r="BR92" s="826"/>
      <c r="BS92" s="826"/>
      <c r="BT92" s="826"/>
      <c r="BU92" s="826"/>
      <c r="BV92" s="826"/>
      <c r="BW92" s="826"/>
      <c r="BX92" s="826"/>
      <c r="BY92" s="826"/>
      <c r="BZ92" s="508"/>
      <c r="CA92" s="508"/>
      <c r="CB92" s="826"/>
      <c r="CC92" s="508"/>
      <c r="CD92" s="508"/>
      <c r="CE92" s="508"/>
      <c r="CF92" s="508"/>
      <c r="CG92" s="508"/>
      <c r="CH92" s="508"/>
    </row>
    <row r="93" spans="8:86" s="154" customFormat="1">
      <c r="H93" s="828"/>
      <c r="I93" s="829"/>
      <c r="J93" s="829"/>
      <c r="K93" s="828"/>
      <c r="N93" s="506"/>
      <c r="O93" s="507"/>
      <c r="P93" s="506"/>
      <c r="Q93" s="506"/>
      <c r="R93" s="506"/>
      <c r="S93" s="506"/>
      <c r="U93" s="508"/>
      <c r="AF93" s="508"/>
      <c r="AI93" s="506"/>
      <c r="AJ93" s="508"/>
      <c r="AK93" s="508"/>
      <c r="AM93" s="508"/>
      <c r="AO93" s="508"/>
      <c r="AV93" s="827"/>
      <c r="AW93" s="827"/>
      <c r="AX93" s="827"/>
      <c r="AY93" s="827"/>
      <c r="AZ93" s="827"/>
      <c r="BA93" s="827"/>
      <c r="BB93" s="506"/>
      <c r="BC93" s="506"/>
      <c r="BD93" s="506"/>
      <c r="BE93" s="506"/>
      <c r="BF93" s="506"/>
      <c r="BG93" s="506"/>
      <c r="BH93" s="826"/>
      <c r="BI93" s="826"/>
      <c r="BJ93" s="826"/>
      <c r="BK93" s="826"/>
      <c r="BL93" s="826"/>
      <c r="BN93" s="826"/>
      <c r="BO93" s="826"/>
      <c r="BP93" s="826"/>
      <c r="BQ93" s="826"/>
      <c r="BR93" s="826"/>
      <c r="BS93" s="826"/>
      <c r="BT93" s="826"/>
      <c r="BU93" s="826"/>
      <c r="BV93" s="826"/>
      <c r="BW93" s="826"/>
      <c r="BX93" s="826"/>
      <c r="BY93" s="826"/>
      <c r="BZ93" s="508"/>
      <c r="CA93" s="508"/>
      <c r="CB93" s="826"/>
      <c r="CC93" s="508"/>
      <c r="CD93" s="508"/>
      <c r="CE93" s="508"/>
      <c r="CF93" s="508"/>
      <c r="CG93" s="508"/>
      <c r="CH93" s="508"/>
    </row>
    <row r="94" spans="8:86" s="154" customFormat="1">
      <c r="H94" s="828"/>
      <c r="I94" s="829"/>
      <c r="J94" s="829"/>
      <c r="K94" s="828"/>
      <c r="N94" s="506"/>
      <c r="O94" s="507"/>
      <c r="P94" s="506"/>
      <c r="Q94" s="506"/>
      <c r="R94" s="506"/>
      <c r="S94" s="506"/>
      <c r="U94" s="508"/>
      <c r="AF94" s="508"/>
      <c r="AI94" s="506"/>
      <c r="AJ94" s="508"/>
      <c r="AK94" s="508"/>
      <c r="AM94" s="508"/>
      <c r="AO94" s="508"/>
      <c r="AV94" s="827"/>
      <c r="AW94" s="827"/>
      <c r="AX94" s="827"/>
      <c r="AY94" s="827"/>
      <c r="AZ94" s="827"/>
      <c r="BA94" s="827"/>
      <c r="BB94" s="506"/>
      <c r="BC94" s="506"/>
      <c r="BD94" s="506"/>
      <c r="BE94" s="506"/>
      <c r="BF94" s="506"/>
      <c r="BG94" s="506"/>
      <c r="BH94" s="826"/>
      <c r="BI94" s="826"/>
      <c r="BJ94" s="826"/>
      <c r="BK94" s="826"/>
      <c r="BL94" s="826"/>
      <c r="BN94" s="826"/>
      <c r="BO94" s="826"/>
      <c r="BP94" s="826"/>
      <c r="BQ94" s="826"/>
      <c r="BR94" s="826"/>
      <c r="BS94" s="826"/>
      <c r="BT94" s="826"/>
      <c r="BU94" s="826"/>
      <c r="BV94" s="826"/>
      <c r="BW94" s="826"/>
      <c r="BX94" s="826"/>
      <c r="BY94" s="826"/>
      <c r="BZ94" s="508"/>
      <c r="CA94" s="508"/>
      <c r="CB94" s="826"/>
      <c r="CC94" s="508"/>
      <c r="CD94" s="508"/>
      <c r="CE94" s="508"/>
      <c r="CF94" s="508"/>
      <c r="CG94" s="508"/>
      <c r="CH94" s="508"/>
    </row>
    <row r="95" spans="8:86" s="154" customFormat="1">
      <c r="H95" s="828"/>
      <c r="I95" s="829"/>
      <c r="J95" s="829"/>
      <c r="K95" s="828"/>
      <c r="N95" s="506"/>
      <c r="O95" s="507"/>
      <c r="P95" s="506"/>
      <c r="Q95" s="506"/>
      <c r="R95" s="506"/>
      <c r="S95" s="506"/>
      <c r="U95" s="508"/>
      <c r="AF95" s="508"/>
      <c r="AI95" s="506"/>
      <c r="AJ95" s="508"/>
      <c r="AK95" s="508"/>
      <c r="AM95" s="508"/>
      <c r="AO95" s="508"/>
      <c r="AV95" s="827"/>
      <c r="AW95" s="827"/>
      <c r="AX95" s="827"/>
      <c r="AY95" s="827"/>
      <c r="AZ95" s="827"/>
      <c r="BA95" s="827"/>
      <c r="BB95" s="506"/>
      <c r="BC95" s="506"/>
      <c r="BD95" s="506"/>
      <c r="BE95" s="506"/>
      <c r="BF95" s="506"/>
      <c r="BG95" s="506"/>
      <c r="BH95" s="826"/>
      <c r="BI95" s="826"/>
      <c r="BJ95" s="826"/>
      <c r="BK95" s="826"/>
      <c r="BL95" s="826"/>
      <c r="BN95" s="826"/>
      <c r="BO95" s="826"/>
      <c r="BP95" s="826"/>
      <c r="BQ95" s="826"/>
      <c r="BR95" s="826"/>
      <c r="BS95" s="826"/>
      <c r="BT95" s="826"/>
      <c r="BU95" s="826"/>
      <c r="BV95" s="826"/>
      <c r="BW95" s="826"/>
      <c r="BX95" s="826"/>
      <c r="BY95" s="826"/>
      <c r="BZ95" s="508"/>
      <c r="CA95" s="508"/>
      <c r="CB95" s="826"/>
      <c r="CC95" s="508"/>
      <c r="CD95" s="508"/>
      <c r="CE95" s="508"/>
      <c r="CF95" s="508"/>
      <c r="CG95" s="508"/>
      <c r="CH95" s="508"/>
    </row>
    <row r="96" spans="8:86" s="154" customFormat="1">
      <c r="H96" s="828"/>
      <c r="I96" s="829"/>
      <c r="J96" s="829"/>
      <c r="K96" s="828"/>
      <c r="N96" s="506"/>
      <c r="O96" s="507"/>
      <c r="P96" s="506"/>
      <c r="Q96" s="506"/>
      <c r="R96" s="506"/>
      <c r="S96" s="506"/>
      <c r="U96" s="508"/>
      <c r="AF96" s="508"/>
      <c r="AI96" s="506"/>
      <c r="AJ96" s="508"/>
      <c r="AK96" s="508"/>
      <c r="AM96" s="508"/>
      <c r="AO96" s="508"/>
      <c r="AV96" s="827"/>
      <c r="AW96" s="827"/>
      <c r="AX96" s="827"/>
      <c r="AY96" s="827"/>
      <c r="AZ96" s="827"/>
      <c r="BA96" s="827"/>
      <c r="BB96" s="506"/>
      <c r="BC96" s="506"/>
      <c r="BD96" s="506"/>
      <c r="BE96" s="506"/>
      <c r="BF96" s="506"/>
      <c r="BG96" s="506"/>
      <c r="BH96" s="826"/>
      <c r="BI96" s="826"/>
      <c r="BJ96" s="826"/>
      <c r="BK96" s="826"/>
      <c r="BL96" s="826"/>
      <c r="BN96" s="826"/>
      <c r="BO96" s="826"/>
      <c r="BP96" s="826"/>
      <c r="BQ96" s="826"/>
      <c r="BR96" s="826"/>
      <c r="BS96" s="826"/>
      <c r="BT96" s="826"/>
      <c r="BU96" s="826"/>
      <c r="BV96" s="826"/>
      <c r="BW96" s="826"/>
      <c r="BX96" s="826"/>
      <c r="BY96" s="826"/>
      <c r="BZ96" s="508"/>
      <c r="CA96" s="508"/>
      <c r="CB96" s="826"/>
      <c r="CC96" s="508"/>
      <c r="CD96" s="508"/>
      <c r="CE96" s="508"/>
      <c r="CF96" s="508"/>
      <c r="CG96" s="508"/>
      <c r="CH96" s="508"/>
    </row>
    <row r="97" spans="8:86" s="154" customFormat="1">
      <c r="H97" s="828"/>
      <c r="I97" s="829"/>
      <c r="J97" s="829"/>
      <c r="K97" s="828"/>
      <c r="N97" s="506"/>
      <c r="O97" s="507"/>
      <c r="P97" s="506"/>
      <c r="Q97" s="506"/>
      <c r="R97" s="506"/>
      <c r="S97" s="506"/>
      <c r="U97" s="508"/>
      <c r="AF97" s="508"/>
      <c r="AI97" s="506"/>
      <c r="AJ97" s="508"/>
      <c r="AK97" s="508"/>
      <c r="AM97" s="508"/>
      <c r="AO97" s="508"/>
      <c r="AV97" s="827"/>
      <c r="AW97" s="827"/>
      <c r="AX97" s="827"/>
      <c r="AY97" s="827"/>
      <c r="AZ97" s="827"/>
      <c r="BA97" s="827"/>
      <c r="BB97" s="506"/>
      <c r="BC97" s="506"/>
      <c r="BD97" s="506"/>
      <c r="BE97" s="506"/>
      <c r="BF97" s="506"/>
      <c r="BG97" s="506"/>
      <c r="BH97" s="826"/>
      <c r="BI97" s="826"/>
      <c r="BJ97" s="826"/>
      <c r="BK97" s="826"/>
      <c r="BL97" s="826"/>
      <c r="BN97" s="826"/>
      <c r="BO97" s="826"/>
      <c r="BP97" s="826"/>
      <c r="BQ97" s="826"/>
      <c r="BR97" s="826"/>
      <c r="BS97" s="826"/>
      <c r="BT97" s="826"/>
      <c r="BU97" s="826"/>
      <c r="BV97" s="826"/>
      <c r="BW97" s="826"/>
      <c r="BX97" s="826"/>
      <c r="BY97" s="826"/>
      <c r="BZ97" s="508"/>
      <c r="CA97" s="508"/>
      <c r="CB97" s="826"/>
      <c r="CC97" s="508"/>
      <c r="CD97" s="508"/>
      <c r="CE97" s="508"/>
      <c r="CF97" s="508"/>
      <c r="CG97" s="508"/>
      <c r="CH97" s="508"/>
    </row>
    <row r="98" spans="8:86" s="154" customFormat="1">
      <c r="H98" s="828"/>
      <c r="I98" s="829"/>
      <c r="J98" s="829"/>
      <c r="K98" s="828"/>
      <c r="N98" s="506"/>
      <c r="O98" s="507"/>
      <c r="P98" s="506"/>
      <c r="Q98" s="506"/>
      <c r="R98" s="506"/>
      <c r="S98" s="506"/>
      <c r="U98" s="508"/>
      <c r="AF98" s="508"/>
      <c r="AI98" s="506"/>
      <c r="AJ98" s="508"/>
      <c r="AK98" s="508"/>
      <c r="AM98" s="508"/>
      <c r="AO98" s="508"/>
      <c r="AV98" s="827"/>
      <c r="AW98" s="827"/>
      <c r="AX98" s="827"/>
      <c r="AY98" s="827"/>
      <c r="AZ98" s="827"/>
      <c r="BA98" s="827"/>
      <c r="BB98" s="506"/>
      <c r="BC98" s="506"/>
      <c r="BD98" s="506"/>
      <c r="BE98" s="506"/>
      <c r="BF98" s="506"/>
      <c r="BG98" s="506"/>
      <c r="BH98" s="826"/>
      <c r="BI98" s="826"/>
      <c r="BJ98" s="826"/>
      <c r="BK98" s="826"/>
      <c r="BL98" s="826"/>
      <c r="BN98" s="826"/>
      <c r="BO98" s="826"/>
      <c r="BP98" s="826"/>
      <c r="BQ98" s="826"/>
      <c r="BR98" s="826"/>
      <c r="BS98" s="826"/>
      <c r="BT98" s="826"/>
      <c r="BU98" s="826"/>
      <c r="BV98" s="826"/>
      <c r="BW98" s="826"/>
      <c r="BX98" s="826"/>
      <c r="BY98" s="826"/>
      <c r="BZ98" s="508"/>
      <c r="CA98" s="508"/>
      <c r="CB98" s="826"/>
      <c r="CC98" s="508"/>
      <c r="CD98" s="508"/>
      <c r="CE98" s="508"/>
      <c r="CF98" s="508"/>
      <c r="CG98" s="508"/>
      <c r="CH98" s="508"/>
    </row>
    <row r="99" spans="8:86" s="154" customFormat="1">
      <c r="H99" s="828"/>
      <c r="I99" s="829"/>
      <c r="J99" s="829"/>
      <c r="K99" s="828"/>
      <c r="N99" s="506"/>
      <c r="O99" s="507"/>
      <c r="P99" s="506"/>
      <c r="Q99" s="506"/>
      <c r="R99" s="506"/>
      <c r="S99" s="506"/>
      <c r="U99" s="508"/>
      <c r="AF99" s="508"/>
      <c r="AI99" s="506"/>
      <c r="AJ99" s="508"/>
      <c r="AK99" s="508"/>
      <c r="AM99" s="508"/>
      <c r="AO99" s="508"/>
      <c r="AV99" s="827"/>
      <c r="AW99" s="827"/>
      <c r="AX99" s="827"/>
      <c r="AY99" s="827"/>
      <c r="AZ99" s="827"/>
      <c r="BA99" s="827"/>
      <c r="BB99" s="506"/>
      <c r="BC99" s="506"/>
      <c r="BD99" s="506"/>
      <c r="BE99" s="506"/>
      <c r="BF99" s="506"/>
      <c r="BG99" s="506"/>
      <c r="BH99" s="826"/>
      <c r="BI99" s="826"/>
      <c r="BJ99" s="826"/>
      <c r="BK99" s="826"/>
      <c r="BL99" s="826"/>
      <c r="BN99" s="826"/>
      <c r="BO99" s="826"/>
      <c r="BP99" s="826"/>
      <c r="BQ99" s="826"/>
      <c r="BR99" s="826"/>
      <c r="BS99" s="826"/>
      <c r="BT99" s="826"/>
      <c r="BU99" s="826"/>
      <c r="BV99" s="826"/>
      <c r="BW99" s="826"/>
      <c r="BX99" s="826"/>
      <c r="BY99" s="826"/>
      <c r="BZ99" s="508"/>
      <c r="CA99" s="508"/>
      <c r="CB99" s="826"/>
      <c r="CC99" s="508"/>
      <c r="CD99" s="508"/>
      <c r="CE99" s="508"/>
      <c r="CF99" s="508"/>
      <c r="CG99" s="508"/>
      <c r="CH99" s="508"/>
    </row>
    <row r="100" spans="8:86" s="154" customFormat="1">
      <c r="H100" s="828"/>
      <c r="I100" s="829"/>
      <c r="J100" s="829"/>
      <c r="K100" s="828"/>
      <c r="N100" s="506"/>
      <c r="O100" s="507"/>
      <c r="P100" s="506"/>
      <c r="Q100" s="506"/>
      <c r="R100" s="506"/>
      <c r="S100" s="506"/>
      <c r="U100" s="508"/>
      <c r="AF100" s="508"/>
      <c r="AI100" s="506"/>
      <c r="AJ100" s="508"/>
      <c r="AK100" s="508"/>
      <c r="AM100" s="508"/>
      <c r="AO100" s="508"/>
      <c r="AV100" s="827"/>
      <c r="AW100" s="827"/>
      <c r="AX100" s="827"/>
      <c r="AY100" s="827"/>
      <c r="AZ100" s="827"/>
      <c r="BA100" s="827"/>
      <c r="BB100" s="506"/>
      <c r="BC100" s="506"/>
      <c r="BD100" s="506"/>
      <c r="BE100" s="506"/>
      <c r="BF100" s="506"/>
      <c r="BG100" s="506"/>
      <c r="BH100" s="826"/>
      <c r="BI100" s="826"/>
      <c r="BJ100" s="826"/>
      <c r="BK100" s="826"/>
      <c r="BL100" s="826"/>
      <c r="BN100" s="826"/>
      <c r="BO100" s="826"/>
      <c r="BP100" s="826"/>
      <c r="BQ100" s="826"/>
      <c r="BR100" s="826"/>
      <c r="BS100" s="826"/>
      <c r="BT100" s="826"/>
      <c r="BU100" s="826"/>
      <c r="BV100" s="826"/>
      <c r="BW100" s="826"/>
      <c r="BX100" s="826"/>
      <c r="BY100" s="826"/>
      <c r="BZ100" s="508"/>
      <c r="CA100" s="508"/>
      <c r="CB100" s="826"/>
      <c r="CC100" s="508"/>
      <c r="CD100" s="508"/>
      <c r="CE100" s="508"/>
      <c r="CF100" s="508"/>
      <c r="CG100" s="508"/>
      <c r="CH100" s="508"/>
    </row>
    <row r="101" spans="8:86" s="154" customFormat="1">
      <c r="H101" s="828"/>
      <c r="I101" s="829"/>
      <c r="J101" s="829"/>
      <c r="K101" s="828"/>
      <c r="N101" s="506"/>
      <c r="O101" s="507"/>
      <c r="P101" s="506"/>
      <c r="Q101" s="506"/>
      <c r="R101" s="506"/>
      <c r="S101" s="506"/>
      <c r="U101" s="508"/>
      <c r="AF101" s="508"/>
      <c r="AI101" s="506"/>
      <c r="AJ101" s="508"/>
      <c r="AK101" s="508"/>
      <c r="AM101" s="508"/>
      <c r="AO101" s="508"/>
      <c r="AV101" s="827"/>
      <c r="AW101" s="827"/>
      <c r="AX101" s="827"/>
      <c r="AY101" s="827"/>
      <c r="AZ101" s="827"/>
      <c r="BA101" s="827"/>
      <c r="BB101" s="506"/>
      <c r="BC101" s="506"/>
      <c r="BD101" s="506"/>
      <c r="BE101" s="506"/>
      <c r="BF101" s="506"/>
      <c r="BG101" s="506"/>
      <c r="BH101" s="826"/>
      <c r="BI101" s="826"/>
      <c r="BJ101" s="826"/>
      <c r="BK101" s="826"/>
      <c r="BL101" s="826"/>
      <c r="BN101" s="826"/>
      <c r="BO101" s="826"/>
      <c r="BP101" s="826"/>
      <c r="BQ101" s="826"/>
      <c r="BR101" s="826"/>
      <c r="BS101" s="826"/>
      <c r="BT101" s="826"/>
      <c r="BU101" s="826"/>
      <c r="BV101" s="826"/>
      <c r="BW101" s="826"/>
      <c r="BX101" s="826"/>
      <c r="BY101" s="826"/>
      <c r="BZ101" s="508"/>
      <c r="CA101" s="508"/>
      <c r="CB101" s="826"/>
      <c r="CC101" s="508"/>
      <c r="CD101" s="508"/>
      <c r="CE101" s="508"/>
      <c r="CF101" s="508"/>
      <c r="CG101" s="508"/>
      <c r="CH101" s="508"/>
    </row>
    <row r="102" spans="8:86" s="154" customFormat="1">
      <c r="H102" s="828"/>
      <c r="I102" s="829"/>
      <c r="J102" s="829"/>
      <c r="K102" s="828"/>
      <c r="N102" s="506"/>
      <c r="O102" s="507"/>
      <c r="P102" s="506"/>
      <c r="Q102" s="506"/>
      <c r="R102" s="506"/>
      <c r="S102" s="506"/>
      <c r="U102" s="508"/>
      <c r="AF102" s="508"/>
      <c r="AI102" s="506"/>
      <c r="AJ102" s="508"/>
      <c r="AK102" s="508"/>
      <c r="AM102" s="508"/>
      <c r="AO102" s="508"/>
      <c r="AV102" s="827"/>
      <c r="AW102" s="827"/>
      <c r="AX102" s="827"/>
      <c r="AY102" s="827"/>
      <c r="AZ102" s="827"/>
      <c r="BA102" s="827"/>
      <c r="BB102" s="506"/>
      <c r="BC102" s="506"/>
      <c r="BD102" s="506"/>
      <c r="BE102" s="506"/>
      <c r="BF102" s="506"/>
      <c r="BG102" s="506"/>
      <c r="BH102" s="826"/>
      <c r="BI102" s="826"/>
      <c r="BJ102" s="826"/>
      <c r="BK102" s="826"/>
      <c r="BL102" s="826"/>
      <c r="BN102" s="826"/>
      <c r="BO102" s="826"/>
      <c r="BP102" s="826"/>
      <c r="BQ102" s="826"/>
      <c r="BR102" s="826"/>
      <c r="BS102" s="826"/>
      <c r="BT102" s="826"/>
      <c r="BU102" s="826"/>
      <c r="BV102" s="826"/>
      <c r="BW102" s="826"/>
      <c r="BX102" s="826"/>
      <c r="BY102" s="826"/>
      <c r="BZ102" s="508"/>
      <c r="CA102" s="508"/>
      <c r="CB102" s="826"/>
      <c r="CC102" s="508"/>
      <c r="CD102" s="508"/>
      <c r="CE102" s="508"/>
      <c r="CF102" s="508"/>
      <c r="CG102" s="508"/>
      <c r="CH102" s="508"/>
    </row>
    <row r="103" spans="8:86" s="154" customFormat="1">
      <c r="H103" s="828"/>
      <c r="I103" s="829"/>
      <c r="J103" s="829"/>
      <c r="K103" s="828"/>
      <c r="N103" s="506"/>
      <c r="O103" s="507"/>
      <c r="P103" s="506"/>
      <c r="Q103" s="506"/>
      <c r="R103" s="506"/>
      <c r="S103" s="506"/>
      <c r="U103" s="508"/>
      <c r="AF103" s="508"/>
      <c r="AI103" s="506"/>
      <c r="AJ103" s="508"/>
      <c r="AK103" s="508"/>
      <c r="AM103" s="508"/>
      <c r="AO103" s="508"/>
      <c r="AV103" s="827"/>
      <c r="AW103" s="827"/>
      <c r="AX103" s="827"/>
      <c r="AY103" s="827"/>
      <c r="AZ103" s="827"/>
      <c r="BA103" s="827"/>
      <c r="BB103" s="506"/>
      <c r="BC103" s="506"/>
      <c r="BD103" s="506"/>
      <c r="BE103" s="506"/>
      <c r="BF103" s="506"/>
      <c r="BG103" s="506"/>
      <c r="BH103" s="826"/>
      <c r="BI103" s="826"/>
      <c r="BJ103" s="826"/>
      <c r="BK103" s="826"/>
      <c r="BL103" s="826"/>
      <c r="BN103" s="826"/>
      <c r="BO103" s="826"/>
      <c r="BP103" s="826"/>
      <c r="BQ103" s="826"/>
      <c r="BR103" s="826"/>
      <c r="BS103" s="826"/>
      <c r="BT103" s="826"/>
      <c r="BU103" s="826"/>
      <c r="BV103" s="826"/>
      <c r="BW103" s="826"/>
      <c r="BX103" s="826"/>
      <c r="BY103" s="826"/>
      <c r="BZ103" s="508"/>
      <c r="CA103" s="508"/>
      <c r="CB103" s="826"/>
      <c r="CC103" s="508"/>
      <c r="CD103" s="508"/>
      <c r="CE103" s="508"/>
      <c r="CF103" s="508"/>
      <c r="CG103" s="508"/>
      <c r="CH103" s="508"/>
    </row>
    <row r="104" spans="8:86" s="154" customFormat="1">
      <c r="H104" s="828"/>
      <c r="I104" s="829"/>
      <c r="J104" s="829"/>
      <c r="K104" s="828"/>
      <c r="N104" s="506"/>
      <c r="O104" s="507"/>
      <c r="P104" s="506"/>
      <c r="Q104" s="506"/>
      <c r="R104" s="506"/>
      <c r="S104" s="506"/>
      <c r="U104" s="508"/>
      <c r="AF104" s="508"/>
      <c r="AI104" s="506"/>
      <c r="AJ104" s="508"/>
      <c r="AK104" s="508"/>
      <c r="AM104" s="508"/>
      <c r="AO104" s="508"/>
      <c r="AV104" s="827"/>
      <c r="AW104" s="827"/>
      <c r="AX104" s="827"/>
      <c r="AY104" s="827"/>
      <c r="AZ104" s="827"/>
      <c r="BA104" s="827"/>
      <c r="BB104" s="506"/>
      <c r="BC104" s="506"/>
      <c r="BD104" s="506"/>
      <c r="BE104" s="506"/>
      <c r="BF104" s="506"/>
      <c r="BG104" s="506"/>
      <c r="BH104" s="826"/>
      <c r="BI104" s="826"/>
      <c r="BJ104" s="826"/>
      <c r="BK104" s="826"/>
      <c r="BL104" s="826"/>
      <c r="BN104" s="826"/>
      <c r="BO104" s="826"/>
      <c r="BP104" s="826"/>
      <c r="BQ104" s="826"/>
      <c r="BR104" s="826"/>
      <c r="BS104" s="826"/>
      <c r="BT104" s="826"/>
      <c r="BU104" s="826"/>
      <c r="BV104" s="826"/>
      <c r="BW104" s="826"/>
      <c r="BX104" s="826"/>
      <c r="BY104" s="826"/>
      <c r="BZ104" s="508"/>
      <c r="CA104" s="508"/>
      <c r="CB104" s="826"/>
      <c r="CC104" s="508"/>
      <c r="CD104" s="508"/>
      <c r="CE104" s="508"/>
      <c r="CF104" s="508"/>
      <c r="CG104" s="508"/>
      <c r="CH104" s="508"/>
    </row>
    <row r="105" spans="8:86" s="154" customFormat="1">
      <c r="H105" s="828"/>
      <c r="I105" s="829"/>
      <c r="J105" s="829"/>
      <c r="K105" s="828"/>
      <c r="N105" s="506"/>
      <c r="O105" s="507"/>
      <c r="P105" s="506"/>
      <c r="Q105" s="506"/>
      <c r="R105" s="506"/>
      <c r="S105" s="506"/>
      <c r="U105" s="508"/>
      <c r="AF105" s="508"/>
      <c r="AI105" s="506"/>
      <c r="AJ105" s="508"/>
      <c r="AK105" s="508"/>
      <c r="AM105" s="508"/>
      <c r="AO105" s="508"/>
      <c r="AV105" s="827"/>
      <c r="AW105" s="827"/>
      <c r="AX105" s="827"/>
      <c r="AY105" s="827"/>
      <c r="AZ105" s="827"/>
      <c r="BA105" s="827"/>
      <c r="BB105" s="506"/>
      <c r="BC105" s="506"/>
      <c r="BD105" s="506"/>
      <c r="BE105" s="506"/>
      <c r="BF105" s="506"/>
      <c r="BG105" s="506"/>
      <c r="BH105" s="826"/>
      <c r="BI105" s="826"/>
      <c r="BJ105" s="826"/>
      <c r="BK105" s="826"/>
      <c r="BL105" s="826"/>
      <c r="BN105" s="826"/>
      <c r="BO105" s="826"/>
      <c r="BP105" s="826"/>
      <c r="BQ105" s="826"/>
      <c r="BR105" s="826"/>
      <c r="BS105" s="826"/>
      <c r="BT105" s="826"/>
      <c r="BU105" s="826"/>
      <c r="BV105" s="826"/>
      <c r="BW105" s="826"/>
      <c r="BX105" s="826"/>
      <c r="BY105" s="826"/>
      <c r="BZ105" s="508"/>
      <c r="CA105" s="508"/>
      <c r="CB105" s="826"/>
      <c r="CC105" s="508"/>
      <c r="CD105" s="508"/>
      <c r="CE105" s="508"/>
      <c r="CF105" s="508"/>
      <c r="CG105" s="508"/>
      <c r="CH105" s="508"/>
    </row>
    <row r="106" spans="8:86" s="154" customFormat="1">
      <c r="H106" s="828"/>
      <c r="I106" s="829"/>
      <c r="J106" s="829"/>
      <c r="K106" s="828"/>
      <c r="N106" s="506"/>
      <c r="O106" s="507"/>
      <c r="P106" s="506"/>
      <c r="Q106" s="506"/>
      <c r="R106" s="506"/>
      <c r="S106" s="506"/>
      <c r="U106" s="508"/>
      <c r="AF106" s="508"/>
      <c r="AI106" s="506"/>
      <c r="AJ106" s="508"/>
      <c r="AK106" s="508"/>
      <c r="AM106" s="508"/>
      <c r="AO106" s="508"/>
      <c r="AV106" s="827"/>
      <c r="AW106" s="827"/>
      <c r="AX106" s="827"/>
      <c r="AY106" s="827"/>
      <c r="AZ106" s="827"/>
      <c r="BA106" s="827"/>
      <c r="BB106" s="506"/>
      <c r="BC106" s="506"/>
      <c r="BD106" s="506"/>
      <c r="BE106" s="506"/>
      <c r="BF106" s="506"/>
      <c r="BG106" s="506"/>
      <c r="BH106" s="826"/>
      <c r="BI106" s="826"/>
      <c r="BJ106" s="826"/>
      <c r="BK106" s="826"/>
      <c r="BL106" s="826"/>
      <c r="BN106" s="826"/>
      <c r="BO106" s="826"/>
      <c r="BP106" s="826"/>
      <c r="BQ106" s="826"/>
      <c r="BR106" s="826"/>
      <c r="BS106" s="826"/>
      <c r="BT106" s="826"/>
      <c r="BU106" s="826"/>
      <c r="BV106" s="826"/>
      <c r="BW106" s="826"/>
      <c r="BX106" s="826"/>
      <c r="BY106" s="826"/>
      <c r="BZ106" s="508"/>
      <c r="CA106" s="508"/>
      <c r="CB106" s="826"/>
      <c r="CC106" s="508"/>
      <c r="CD106" s="508"/>
      <c r="CE106" s="508"/>
      <c r="CF106" s="508"/>
      <c r="CG106" s="508"/>
      <c r="CH106" s="508"/>
    </row>
    <row r="107" spans="8:86" s="154" customFormat="1">
      <c r="H107" s="828"/>
      <c r="I107" s="829"/>
      <c r="J107" s="829"/>
      <c r="K107" s="828"/>
      <c r="N107" s="506"/>
      <c r="O107" s="507"/>
      <c r="P107" s="506"/>
      <c r="Q107" s="506"/>
      <c r="R107" s="506"/>
      <c r="S107" s="506"/>
      <c r="U107" s="508"/>
      <c r="AF107" s="508"/>
      <c r="AI107" s="506"/>
      <c r="AJ107" s="508"/>
      <c r="AK107" s="508"/>
      <c r="AM107" s="508"/>
      <c r="AO107" s="508"/>
      <c r="AV107" s="827"/>
      <c r="AW107" s="827"/>
      <c r="AX107" s="827"/>
      <c r="AY107" s="827"/>
      <c r="AZ107" s="827"/>
      <c r="BA107" s="827"/>
      <c r="BB107" s="506"/>
      <c r="BC107" s="506"/>
      <c r="BD107" s="506"/>
      <c r="BE107" s="506"/>
      <c r="BF107" s="506"/>
      <c r="BG107" s="506"/>
      <c r="BH107" s="826"/>
      <c r="BI107" s="826"/>
      <c r="BJ107" s="826"/>
      <c r="BK107" s="826"/>
      <c r="BL107" s="826"/>
      <c r="BN107" s="826"/>
      <c r="BO107" s="826"/>
      <c r="BP107" s="826"/>
      <c r="BQ107" s="826"/>
      <c r="BR107" s="826"/>
      <c r="BS107" s="826"/>
      <c r="BT107" s="826"/>
      <c r="BU107" s="826"/>
      <c r="BV107" s="826"/>
      <c r="BW107" s="826"/>
      <c r="BX107" s="826"/>
      <c r="BY107" s="826"/>
      <c r="BZ107" s="508"/>
      <c r="CA107" s="508"/>
      <c r="CB107" s="826"/>
      <c r="CC107" s="508"/>
      <c r="CD107" s="508"/>
      <c r="CE107" s="508"/>
      <c r="CF107" s="508"/>
      <c r="CG107" s="508"/>
      <c r="CH107" s="508"/>
    </row>
    <row r="108" spans="8:86" s="154" customFormat="1">
      <c r="H108" s="828"/>
      <c r="I108" s="829"/>
      <c r="J108" s="829"/>
      <c r="K108" s="828"/>
      <c r="N108" s="506"/>
      <c r="O108" s="507"/>
      <c r="P108" s="506"/>
      <c r="Q108" s="506"/>
      <c r="R108" s="506"/>
      <c r="S108" s="506"/>
      <c r="U108" s="508"/>
      <c r="AF108" s="508"/>
      <c r="AI108" s="506"/>
      <c r="AJ108" s="508"/>
      <c r="AK108" s="508"/>
      <c r="AM108" s="508"/>
      <c r="AO108" s="508"/>
      <c r="AV108" s="827"/>
      <c r="AW108" s="827"/>
      <c r="AX108" s="827"/>
      <c r="AY108" s="827"/>
      <c r="AZ108" s="827"/>
      <c r="BA108" s="827"/>
      <c r="BB108" s="506"/>
      <c r="BC108" s="506"/>
      <c r="BD108" s="506"/>
      <c r="BE108" s="506"/>
      <c r="BF108" s="506"/>
      <c r="BG108" s="506"/>
      <c r="BH108" s="826"/>
      <c r="BI108" s="826"/>
      <c r="BJ108" s="826"/>
      <c r="BK108" s="826"/>
      <c r="BL108" s="826"/>
      <c r="BN108" s="826"/>
      <c r="BO108" s="826"/>
      <c r="BP108" s="826"/>
      <c r="BQ108" s="826"/>
      <c r="BR108" s="826"/>
      <c r="BS108" s="826"/>
      <c r="BT108" s="826"/>
      <c r="BU108" s="826"/>
      <c r="BV108" s="826"/>
      <c r="BW108" s="826"/>
      <c r="BX108" s="826"/>
      <c r="BY108" s="826"/>
      <c r="BZ108" s="508"/>
      <c r="CA108" s="508"/>
      <c r="CB108" s="826"/>
      <c r="CC108" s="508"/>
      <c r="CD108" s="508"/>
      <c r="CE108" s="508"/>
      <c r="CF108" s="508"/>
      <c r="CG108" s="508"/>
      <c r="CH108" s="508"/>
    </row>
    <row r="109" spans="8:86" s="154" customFormat="1">
      <c r="H109" s="828"/>
      <c r="I109" s="829"/>
      <c r="J109" s="829"/>
      <c r="K109" s="828"/>
      <c r="N109" s="506"/>
      <c r="O109" s="507"/>
      <c r="P109" s="506"/>
      <c r="Q109" s="506"/>
      <c r="R109" s="506"/>
      <c r="S109" s="506"/>
      <c r="U109" s="508"/>
      <c r="AF109" s="508"/>
      <c r="AI109" s="506"/>
      <c r="AJ109" s="508"/>
      <c r="AK109" s="508"/>
      <c r="AM109" s="508"/>
      <c r="AO109" s="508"/>
      <c r="AV109" s="827"/>
      <c r="AW109" s="827"/>
      <c r="AX109" s="827"/>
      <c r="AY109" s="827"/>
      <c r="AZ109" s="827"/>
      <c r="BA109" s="827"/>
      <c r="BB109" s="506"/>
      <c r="BC109" s="506"/>
      <c r="BD109" s="506"/>
      <c r="BE109" s="506"/>
      <c r="BF109" s="506"/>
      <c r="BG109" s="506"/>
      <c r="BH109" s="826"/>
      <c r="BI109" s="826"/>
      <c r="BJ109" s="826"/>
      <c r="BK109" s="826"/>
      <c r="BL109" s="826"/>
      <c r="BN109" s="826"/>
      <c r="BO109" s="826"/>
      <c r="BP109" s="826"/>
      <c r="BQ109" s="826"/>
      <c r="BR109" s="826"/>
      <c r="BS109" s="826"/>
      <c r="BT109" s="826"/>
      <c r="BU109" s="826"/>
      <c r="BV109" s="826"/>
      <c r="BW109" s="826"/>
      <c r="BX109" s="826"/>
      <c r="BY109" s="826"/>
      <c r="BZ109" s="508"/>
      <c r="CA109" s="508"/>
      <c r="CB109" s="826"/>
      <c r="CC109" s="508"/>
      <c r="CD109" s="508"/>
      <c r="CE109" s="508"/>
      <c r="CF109" s="508"/>
      <c r="CG109" s="508"/>
      <c r="CH109" s="508"/>
    </row>
    <row r="110" spans="8:86" s="154" customFormat="1">
      <c r="H110" s="828"/>
      <c r="I110" s="829"/>
      <c r="J110" s="829"/>
      <c r="K110" s="828"/>
      <c r="N110" s="506"/>
      <c r="O110" s="507"/>
      <c r="P110" s="506"/>
      <c r="Q110" s="506"/>
      <c r="R110" s="506"/>
      <c r="S110" s="506"/>
      <c r="U110" s="508"/>
      <c r="AF110" s="508"/>
      <c r="AI110" s="506"/>
      <c r="AJ110" s="508"/>
      <c r="AK110" s="508"/>
      <c r="AM110" s="508"/>
      <c r="AO110" s="508"/>
      <c r="AV110" s="827"/>
      <c r="AW110" s="827"/>
      <c r="AX110" s="827"/>
      <c r="AY110" s="827"/>
      <c r="AZ110" s="827"/>
      <c r="BA110" s="827"/>
      <c r="BB110" s="506"/>
      <c r="BC110" s="506"/>
      <c r="BD110" s="506"/>
      <c r="BE110" s="506"/>
      <c r="BF110" s="506"/>
      <c r="BG110" s="506"/>
      <c r="BH110" s="826"/>
      <c r="BI110" s="826"/>
      <c r="BJ110" s="826"/>
      <c r="BK110" s="826"/>
      <c r="BL110" s="826"/>
      <c r="BN110" s="826"/>
      <c r="BO110" s="826"/>
      <c r="BP110" s="826"/>
      <c r="BQ110" s="826"/>
      <c r="BR110" s="826"/>
      <c r="BS110" s="826"/>
      <c r="BT110" s="826"/>
      <c r="BU110" s="826"/>
      <c r="BV110" s="826"/>
      <c r="BW110" s="826"/>
      <c r="BX110" s="826"/>
      <c r="BY110" s="826"/>
      <c r="BZ110" s="508"/>
      <c r="CA110" s="508"/>
      <c r="CB110" s="826"/>
      <c r="CC110" s="508"/>
      <c r="CD110" s="508"/>
      <c r="CE110" s="508"/>
      <c r="CF110" s="508"/>
      <c r="CG110" s="508"/>
      <c r="CH110" s="508"/>
    </row>
    <row r="111" spans="8:86" s="154" customFormat="1">
      <c r="H111" s="828"/>
      <c r="I111" s="829"/>
      <c r="J111" s="829"/>
      <c r="K111" s="828"/>
      <c r="N111" s="506"/>
      <c r="O111" s="507"/>
      <c r="P111" s="506"/>
      <c r="Q111" s="506"/>
      <c r="R111" s="506"/>
      <c r="S111" s="506"/>
      <c r="U111" s="508"/>
      <c r="AF111" s="508"/>
      <c r="AI111" s="506"/>
      <c r="AJ111" s="508"/>
      <c r="AK111" s="508"/>
      <c r="AM111" s="508"/>
      <c r="AO111" s="508"/>
      <c r="AV111" s="827"/>
      <c r="AW111" s="827"/>
      <c r="AX111" s="827"/>
      <c r="AY111" s="827"/>
      <c r="AZ111" s="827"/>
      <c r="BA111" s="827"/>
      <c r="BB111" s="506"/>
      <c r="BC111" s="506"/>
      <c r="BD111" s="506"/>
      <c r="BE111" s="506"/>
      <c r="BF111" s="506"/>
      <c r="BG111" s="506"/>
      <c r="BH111" s="826"/>
      <c r="BI111" s="826"/>
      <c r="BJ111" s="826"/>
      <c r="BK111" s="826"/>
      <c r="BL111" s="826"/>
      <c r="BN111" s="826"/>
      <c r="BO111" s="826"/>
      <c r="BP111" s="826"/>
      <c r="BQ111" s="826"/>
      <c r="BR111" s="826"/>
      <c r="BS111" s="826"/>
      <c r="BT111" s="826"/>
      <c r="BU111" s="826"/>
      <c r="BV111" s="826"/>
      <c r="BW111" s="826"/>
      <c r="BX111" s="826"/>
      <c r="BY111" s="826"/>
      <c r="BZ111" s="508"/>
      <c r="CA111" s="508"/>
      <c r="CB111" s="826"/>
      <c r="CC111" s="508"/>
      <c r="CD111" s="508"/>
      <c r="CE111" s="508"/>
      <c r="CF111" s="508"/>
      <c r="CG111" s="508"/>
      <c r="CH111" s="508"/>
    </row>
    <row r="112" spans="8:86" s="154" customFormat="1">
      <c r="H112" s="828"/>
      <c r="I112" s="829"/>
      <c r="J112" s="829"/>
      <c r="K112" s="828"/>
      <c r="N112" s="506"/>
      <c r="O112" s="507"/>
      <c r="P112" s="506"/>
      <c r="Q112" s="506"/>
      <c r="R112" s="506"/>
      <c r="S112" s="506"/>
      <c r="U112" s="508"/>
      <c r="AF112" s="508"/>
      <c r="AI112" s="506"/>
      <c r="AJ112" s="508"/>
      <c r="AK112" s="508"/>
      <c r="AM112" s="508"/>
      <c r="AO112" s="508"/>
      <c r="AV112" s="827"/>
      <c r="AW112" s="827"/>
      <c r="AX112" s="827"/>
      <c r="AY112" s="827"/>
      <c r="AZ112" s="827"/>
      <c r="BA112" s="827"/>
      <c r="BB112" s="506"/>
      <c r="BC112" s="506"/>
      <c r="BD112" s="506"/>
      <c r="BE112" s="506"/>
      <c r="BF112" s="506"/>
      <c r="BG112" s="506"/>
      <c r="BH112" s="826"/>
      <c r="BI112" s="826"/>
      <c r="BJ112" s="826"/>
      <c r="BK112" s="826"/>
      <c r="BL112" s="826"/>
      <c r="BN112" s="826"/>
      <c r="BO112" s="826"/>
      <c r="BP112" s="826"/>
      <c r="BQ112" s="826"/>
      <c r="BR112" s="826"/>
      <c r="BS112" s="826"/>
      <c r="BT112" s="826"/>
      <c r="BU112" s="826"/>
      <c r="BV112" s="826"/>
      <c r="BW112" s="826"/>
      <c r="BX112" s="826"/>
      <c r="BY112" s="826"/>
      <c r="BZ112" s="508"/>
      <c r="CA112" s="508"/>
      <c r="CB112" s="826"/>
      <c r="CC112" s="508"/>
      <c r="CD112" s="508"/>
      <c r="CE112" s="508"/>
      <c r="CF112" s="508"/>
      <c r="CG112" s="508"/>
      <c r="CH112" s="508"/>
    </row>
    <row r="113" spans="8:86" s="154" customFormat="1">
      <c r="H113" s="828"/>
      <c r="I113" s="829"/>
      <c r="J113" s="829"/>
      <c r="K113" s="828"/>
      <c r="N113" s="506"/>
      <c r="O113" s="507"/>
      <c r="P113" s="506"/>
      <c r="Q113" s="506"/>
      <c r="R113" s="506"/>
      <c r="S113" s="506"/>
      <c r="U113" s="508"/>
      <c r="AF113" s="508"/>
      <c r="AI113" s="506"/>
      <c r="AJ113" s="508"/>
      <c r="AK113" s="508"/>
      <c r="AM113" s="508"/>
      <c r="AO113" s="508"/>
      <c r="AV113" s="827"/>
      <c r="AW113" s="827"/>
      <c r="AX113" s="827"/>
      <c r="AY113" s="827"/>
      <c r="AZ113" s="827"/>
      <c r="BA113" s="827"/>
      <c r="BB113" s="506"/>
      <c r="BC113" s="506"/>
      <c r="BD113" s="506"/>
      <c r="BE113" s="506"/>
      <c r="BF113" s="506"/>
      <c r="BG113" s="506"/>
      <c r="BH113" s="826"/>
      <c r="BI113" s="826"/>
      <c r="BJ113" s="826"/>
      <c r="BK113" s="826"/>
      <c r="BL113" s="826"/>
      <c r="BN113" s="826"/>
      <c r="BO113" s="826"/>
      <c r="BP113" s="826"/>
      <c r="BQ113" s="826"/>
      <c r="BR113" s="826"/>
      <c r="BS113" s="826"/>
      <c r="BT113" s="826"/>
      <c r="BU113" s="826"/>
      <c r="BV113" s="826"/>
      <c r="BW113" s="826"/>
      <c r="BX113" s="826"/>
      <c r="BY113" s="826"/>
      <c r="BZ113" s="508"/>
      <c r="CA113" s="508"/>
      <c r="CB113" s="826"/>
      <c r="CC113" s="508"/>
      <c r="CD113" s="508"/>
      <c r="CE113" s="508"/>
      <c r="CF113" s="508"/>
      <c r="CG113" s="508"/>
      <c r="CH113" s="508"/>
    </row>
    <row r="114" spans="8:86" s="154" customFormat="1">
      <c r="H114" s="828"/>
      <c r="I114" s="829"/>
      <c r="J114" s="829"/>
      <c r="K114" s="828"/>
      <c r="N114" s="506"/>
      <c r="O114" s="507"/>
      <c r="P114" s="506"/>
      <c r="Q114" s="506"/>
      <c r="R114" s="506"/>
      <c r="S114" s="506"/>
      <c r="U114" s="508"/>
      <c r="AF114" s="508"/>
      <c r="AI114" s="506"/>
      <c r="AJ114" s="508"/>
      <c r="AK114" s="508"/>
      <c r="AM114" s="508"/>
      <c r="AO114" s="508"/>
      <c r="AV114" s="827"/>
      <c r="AW114" s="827"/>
      <c r="AX114" s="827"/>
      <c r="AY114" s="827"/>
      <c r="AZ114" s="827"/>
      <c r="BA114" s="827"/>
      <c r="BB114" s="506"/>
      <c r="BC114" s="506"/>
      <c r="BD114" s="506"/>
      <c r="BE114" s="506"/>
      <c r="BF114" s="506"/>
      <c r="BG114" s="506"/>
      <c r="BH114" s="826"/>
      <c r="BI114" s="826"/>
      <c r="BJ114" s="826"/>
      <c r="BK114" s="826"/>
      <c r="BL114" s="826"/>
      <c r="BN114" s="826"/>
      <c r="BO114" s="826"/>
      <c r="BP114" s="826"/>
      <c r="BQ114" s="826"/>
      <c r="BR114" s="826"/>
      <c r="BS114" s="826"/>
      <c r="BT114" s="826"/>
      <c r="BU114" s="826"/>
      <c r="BV114" s="826"/>
      <c r="BW114" s="826"/>
      <c r="BX114" s="826"/>
      <c r="BY114" s="826"/>
      <c r="BZ114" s="508"/>
      <c r="CA114" s="508"/>
      <c r="CB114" s="826"/>
      <c r="CC114" s="508"/>
      <c r="CD114" s="508"/>
      <c r="CE114" s="508"/>
      <c r="CF114" s="508"/>
      <c r="CG114" s="508"/>
      <c r="CH114" s="508"/>
    </row>
    <row r="115" spans="8:86" s="154" customFormat="1">
      <c r="H115" s="828"/>
      <c r="I115" s="829"/>
      <c r="J115" s="829"/>
      <c r="K115" s="828"/>
      <c r="N115" s="506"/>
      <c r="O115" s="507"/>
      <c r="P115" s="506"/>
      <c r="Q115" s="506"/>
      <c r="R115" s="506"/>
      <c r="S115" s="506"/>
      <c r="U115" s="508"/>
      <c r="AF115" s="508"/>
      <c r="AI115" s="506"/>
      <c r="AJ115" s="508"/>
      <c r="AK115" s="508"/>
      <c r="AM115" s="508"/>
      <c r="AO115" s="508"/>
      <c r="AV115" s="827"/>
      <c r="AW115" s="827"/>
      <c r="AX115" s="827"/>
      <c r="AY115" s="827"/>
      <c r="AZ115" s="827"/>
      <c r="BA115" s="827"/>
      <c r="BB115" s="506"/>
      <c r="BC115" s="506"/>
      <c r="BD115" s="506"/>
      <c r="BE115" s="506"/>
      <c r="BF115" s="506"/>
      <c r="BG115" s="506"/>
      <c r="BH115" s="826"/>
      <c r="BI115" s="826"/>
      <c r="BJ115" s="826"/>
      <c r="BK115" s="826"/>
      <c r="BL115" s="826"/>
      <c r="BN115" s="826"/>
      <c r="BO115" s="826"/>
      <c r="BP115" s="826"/>
      <c r="BQ115" s="826"/>
      <c r="BR115" s="826"/>
      <c r="BS115" s="826"/>
      <c r="BT115" s="826"/>
      <c r="BU115" s="826"/>
      <c r="BV115" s="826"/>
      <c r="BW115" s="826"/>
      <c r="BX115" s="826"/>
      <c r="BY115" s="826"/>
      <c r="BZ115" s="508"/>
      <c r="CA115" s="508"/>
      <c r="CB115" s="826"/>
      <c r="CC115" s="508"/>
      <c r="CD115" s="508"/>
      <c r="CE115" s="508"/>
      <c r="CF115" s="508"/>
      <c r="CG115" s="508"/>
      <c r="CH115" s="508"/>
    </row>
    <row r="116" spans="8:86" s="154" customFormat="1">
      <c r="H116" s="828"/>
      <c r="I116" s="829"/>
      <c r="J116" s="829"/>
      <c r="K116" s="828"/>
      <c r="N116" s="506"/>
      <c r="O116" s="507"/>
      <c r="P116" s="506"/>
      <c r="Q116" s="506"/>
      <c r="R116" s="506"/>
      <c r="S116" s="506"/>
      <c r="U116" s="508"/>
      <c r="AF116" s="508"/>
      <c r="AI116" s="506"/>
      <c r="AJ116" s="508"/>
      <c r="AK116" s="508"/>
      <c r="AM116" s="508"/>
      <c r="AO116" s="508"/>
      <c r="AV116" s="827"/>
      <c r="AW116" s="827"/>
      <c r="AX116" s="827"/>
      <c r="AY116" s="827"/>
      <c r="AZ116" s="827"/>
      <c r="BA116" s="827"/>
      <c r="BB116" s="506"/>
      <c r="BC116" s="506"/>
      <c r="BD116" s="506"/>
      <c r="BE116" s="506"/>
      <c r="BF116" s="506"/>
      <c r="BG116" s="506"/>
      <c r="BH116" s="826"/>
      <c r="BI116" s="826"/>
      <c r="BJ116" s="826"/>
      <c r="BK116" s="826"/>
      <c r="BL116" s="826"/>
      <c r="BN116" s="826"/>
      <c r="BO116" s="826"/>
      <c r="BP116" s="826"/>
      <c r="BQ116" s="826"/>
      <c r="BR116" s="826"/>
      <c r="BS116" s="826"/>
      <c r="BT116" s="826"/>
      <c r="BU116" s="826"/>
      <c r="BV116" s="826"/>
      <c r="BW116" s="826"/>
      <c r="BX116" s="826"/>
      <c r="BY116" s="826"/>
      <c r="BZ116" s="508"/>
      <c r="CA116" s="508"/>
      <c r="CB116" s="826"/>
      <c r="CC116" s="508"/>
      <c r="CD116" s="508"/>
      <c r="CE116" s="508"/>
      <c r="CF116" s="508"/>
      <c r="CG116" s="508"/>
      <c r="CH116" s="508"/>
    </row>
    <row r="117" spans="8:86" s="154" customFormat="1">
      <c r="H117" s="828"/>
      <c r="I117" s="829"/>
      <c r="J117" s="829"/>
      <c r="K117" s="828"/>
      <c r="N117" s="506"/>
      <c r="O117" s="507"/>
      <c r="P117" s="506"/>
      <c r="Q117" s="506"/>
      <c r="R117" s="506"/>
      <c r="S117" s="506"/>
      <c r="U117" s="508"/>
      <c r="AF117" s="508"/>
      <c r="AI117" s="506"/>
      <c r="AJ117" s="508"/>
      <c r="AK117" s="508"/>
      <c r="AM117" s="508"/>
      <c r="AO117" s="508"/>
      <c r="AV117" s="827"/>
      <c r="AW117" s="827"/>
      <c r="AX117" s="827"/>
      <c r="AY117" s="827"/>
      <c r="AZ117" s="827"/>
      <c r="BA117" s="827"/>
      <c r="BB117" s="506"/>
      <c r="BC117" s="506"/>
      <c r="BD117" s="506"/>
      <c r="BE117" s="506"/>
      <c r="BF117" s="506"/>
      <c r="BG117" s="506"/>
      <c r="BH117" s="826"/>
      <c r="BI117" s="826"/>
      <c r="BJ117" s="826"/>
      <c r="BK117" s="826"/>
      <c r="BL117" s="826"/>
      <c r="BN117" s="826"/>
      <c r="BO117" s="826"/>
      <c r="BP117" s="826"/>
      <c r="BQ117" s="826"/>
      <c r="BR117" s="826"/>
      <c r="BS117" s="826"/>
      <c r="BT117" s="826"/>
      <c r="BU117" s="826"/>
      <c r="BV117" s="826"/>
      <c r="BW117" s="826"/>
      <c r="BX117" s="826"/>
      <c r="BY117" s="826"/>
      <c r="BZ117" s="508"/>
      <c r="CA117" s="508"/>
      <c r="CB117" s="826"/>
      <c r="CC117" s="508"/>
      <c r="CD117" s="508"/>
      <c r="CE117" s="508"/>
      <c r="CF117" s="508"/>
      <c r="CG117" s="508"/>
      <c r="CH117" s="508"/>
    </row>
    <row r="118" spans="8:86" s="154" customFormat="1">
      <c r="H118" s="828"/>
      <c r="I118" s="829"/>
      <c r="J118" s="829"/>
      <c r="K118" s="828"/>
      <c r="N118" s="506"/>
      <c r="O118" s="507"/>
      <c r="P118" s="506"/>
      <c r="Q118" s="506"/>
      <c r="R118" s="506"/>
      <c r="S118" s="506"/>
      <c r="U118" s="508"/>
      <c r="AF118" s="508"/>
      <c r="AI118" s="506"/>
      <c r="AJ118" s="508"/>
      <c r="AK118" s="508"/>
      <c r="AM118" s="508"/>
      <c r="AO118" s="508"/>
      <c r="AV118" s="827"/>
      <c r="AW118" s="827"/>
      <c r="AX118" s="827"/>
      <c r="AY118" s="827"/>
      <c r="AZ118" s="827"/>
      <c r="BA118" s="827"/>
      <c r="BB118" s="506"/>
      <c r="BC118" s="506"/>
      <c r="BD118" s="506"/>
      <c r="BE118" s="506"/>
      <c r="BF118" s="506"/>
      <c r="BG118" s="506"/>
      <c r="BH118" s="826"/>
      <c r="BI118" s="826"/>
      <c r="BJ118" s="826"/>
      <c r="BK118" s="826"/>
      <c r="BL118" s="826"/>
      <c r="BN118" s="826"/>
      <c r="BO118" s="826"/>
      <c r="BP118" s="826"/>
      <c r="BQ118" s="826"/>
      <c r="BR118" s="826"/>
      <c r="BS118" s="826"/>
      <c r="BT118" s="826"/>
      <c r="BU118" s="826"/>
      <c r="BV118" s="826"/>
      <c r="BW118" s="826"/>
      <c r="BX118" s="826"/>
      <c r="BY118" s="826"/>
      <c r="BZ118" s="508"/>
      <c r="CA118" s="508"/>
      <c r="CB118" s="826"/>
      <c r="CC118" s="508"/>
      <c r="CD118" s="508"/>
      <c r="CE118" s="508"/>
      <c r="CF118" s="508"/>
      <c r="CG118" s="508"/>
      <c r="CH118" s="508"/>
    </row>
    <row r="119" spans="8:86" s="154" customFormat="1">
      <c r="H119" s="828"/>
      <c r="I119" s="829"/>
      <c r="J119" s="829"/>
      <c r="K119" s="828"/>
      <c r="N119" s="506"/>
      <c r="O119" s="507"/>
      <c r="P119" s="506"/>
      <c r="Q119" s="506"/>
      <c r="R119" s="506"/>
      <c r="S119" s="506"/>
      <c r="U119" s="508"/>
      <c r="AF119" s="508"/>
      <c r="AI119" s="506"/>
      <c r="AJ119" s="508"/>
      <c r="AK119" s="508"/>
      <c r="AM119" s="508"/>
      <c r="AO119" s="508"/>
      <c r="AV119" s="827"/>
      <c r="AW119" s="827"/>
      <c r="AX119" s="827"/>
      <c r="AY119" s="827"/>
      <c r="AZ119" s="827"/>
      <c r="BA119" s="827"/>
      <c r="BB119" s="506"/>
      <c r="BC119" s="506"/>
      <c r="BD119" s="506"/>
      <c r="BE119" s="506"/>
      <c r="BF119" s="506"/>
      <c r="BG119" s="506"/>
      <c r="BH119" s="826"/>
      <c r="BI119" s="826"/>
      <c r="BJ119" s="826"/>
      <c r="BK119" s="826"/>
      <c r="BL119" s="826"/>
      <c r="BN119" s="826"/>
      <c r="BO119" s="826"/>
      <c r="BP119" s="826"/>
      <c r="BQ119" s="826"/>
      <c r="BR119" s="826"/>
      <c r="BS119" s="826"/>
      <c r="BT119" s="826"/>
      <c r="BU119" s="826"/>
      <c r="BV119" s="826"/>
      <c r="BW119" s="826"/>
      <c r="BX119" s="826"/>
      <c r="BY119" s="826"/>
      <c r="BZ119" s="508"/>
      <c r="CA119" s="508"/>
      <c r="CB119" s="826"/>
      <c r="CC119" s="508"/>
      <c r="CD119" s="508"/>
      <c r="CE119" s="508"/>
      <c r="CF119" s="508"/>
      <c r="CG119" s="508"/>
      <c r="CH119" s="508"/>
    </row>
    <row r="120" spans="8:86" s="154" customFormat="1">
      <c r="H120" s="828"/>
      <c r="I120" s="829"/>
      <c r="J120" s="829"/>
      <c r="K120" s="828"/>
      <c r="N120" s="506"/>
      <c r="O120" s="507"/>
      <c r="P120" s="506"/>
      <c r="Q120" s="506"/>
      <c r="R120" s="506"/>
      <c r="S120" s="506"/>
      <c r="U120" s="508"/>
      <c r="AF120" s="508"/>
      <c r="AI120" s="506"/>
      <c r="AJ120" s="508"/>
      <c r="AK120" s="508"/>
      <c r="AM120" s="508"/>
      <c r="AO120" s="508"/>
      <c r="AV120" s="827"/>
      <c r="AW120" s="827"/>
      <c r="AX120" s="827"/>
      <c r="AY120" s="827"/>
      <c r="AZ120" s="827"/>
      <c r="BA120" s="827"/>
      <c r="BB120" s="506"/>
      <c r="BC120" s="506"/>
      <c r="BD120" s="506"/>
      <c r="BE120" s="506"/>
      <c r="BF120" s="506"/>
      <c r="BG120" s="506"/>
      <c r="BH120" s="826"/>
      <c r="BI120" s="826"/>
      <c r="BJ120" s="826"/>
      <c r="BK120" s="826"/>
      <c r="BL120" s="826"/>
      <c r="BN120" s="826"/>
      <c r="BO120" s="826"/>
      <c r="BP120" s="826"/>
      <c r="BQ120" s="826"/>
      <c r="BR120" s="826"/>
      <c r="BS120" s="826"/>
      <c r="BT120" s="826"/>
      <c r="BU120" s="826"/>
      <c r="BV120" s="826"/>
      <c r="BW120" s="826"/>
      <c r="BX120" s="826"/>
      <c r="BY120" s="826"/>
      <c r="BZ120" s="508"/>
      <c r="CA120" s="508"/>
      <c r="CB120" s="826"/>
      <c r="CC120" s="508"/>
      <c r="CD120" s="508"/>
      <c r="CE120" s="508"/>
      <c r="CF120" s="508"/>
      <c r="CG120" s="508"/>
      <c r="CH120" s="508"/>
    </row>
    <row r="121" spans="8:86" s="154" customFormat="1">
      <c r="H121" s="828"/>
      <c r="I121" s="829"/>
      <c r="J121" s="829"/>
      <c r="K121" s="828"/>
      <c r="N121" s="506"/>
      <c r="O121" s="507"/>
      <c r="P121" s="506"/>
      <c r="Q121" s="506"/>
      <c r="R121" s="506"/>
      <c r="S121" s="506"/>
      <c r="U121" s="508"/>
      <c r="AF121" s="508"/>
      <c r="AI121" s="506"/>
      <c r="AJ121" s="508"/>
      <c r="AK121" s="508"/>
      <c r="AM121" s="508"/>
      <c r="AO121" s="508"/>
      <c r="AV121" s="827"/>
      <c r="AW121" s="827"/>
      <c r="AX121" s="827"/>
      <c r="AY121" s="827"/>
      <c r="AZ121" s="827"/>
      <c r="BA121" s="827"/>
      <c r="BB121" s="506"/>
      <c r="BC121" s="506"/>
      <c r="BD121" s="506"/>
      <c r="BE121" s="506"/>
      <c r="BF121" s="506"/>
      <c r="BG121" s="506"/>
      <c r="BH121" s="826"/>
      <c r="BI121" s="826"/>
      <c r="BJ121" s="826"/>
      <c r="BK121" s="826"/>
      <c r="BL121" s="826"/>
      <c r="BN121" s="826"/>
      <c r="BO121" s="826"/>
      <c r="BP121" s="826"/>
      <c r="BQ121" s="826"/>
      <c r="BR121" s="826"/>
      <c r="BS121" s="826"/>
      <c r="BT121" s="826"/>
      <c r="BU121" s="826"/>
      <c r="BV121" s="826"/>
      <c r="BW121" s="826"/>
      <c r="BX121" s="826"/>
      <c r="BY121" s="826"/>
      <c r="BZ121" s="508"/>
      <c r="CA121" s="508"/>
      <c r="CB121" s="826"/>
      <c r="CC121" s="508"/>
      <c r="CD121" s="508"/>
      <c r="CE121" s="508"/>
      <c r="CF121" s="508"/>
      <c r="CG121" s="508"/>
      <c r="CH121" s="508"/>
    </row>
    <row r="122" spans="8:86" s="154" customFormat="1">
      <c r="H122" s="828"/>
      <c r="I122" s="829"/>
      <c r="J122" s="829"/>
      <c r="K122" s="828"/>
      <c r="N122" s="506"/>
      <c r="O122" s="507"/>
      <c r="P122" s="506"/>
      <c r="Q122" s="506"/>
      <c r="R122" s="506"/>
      <c r="S122" s="506"/>
      <c r="U122" s="508"/>
      <c r="AF122" s="508"/>
      <c r="AI122" s="506"/>
      <c r="AJ122" s="508"/>
      <c r="AK122" s="508"/>
      <c r="AM122" s="508"/>
      <c r="AO122" s="508"/>
      <c r="AV122" s="827"/>
      <c r="AW122" s="827"/>
      <c r="AX122" s="827"/>
      <c r="AY122" s="827"/>
      <c r="AZ122" s="827"/>
      <c r="BA122" s="827"/>
      <c r="BB122" s="506"/>
      <c r="BC122" s="506"/>
      <c r="BD122" s="506"/>
      <c r="BE122" s="506"/>
      <c r="BF122" s="506"/>
      <c r="BG122" s="506"/>
      <c r="BH122" s="826"/>
      <c r="BI122" s="826"/>
      <c r="BJ122" s="826"/>
      <c r="BK122" s="826"/>
      <c r="BL122" s="826"/>
      <c r="BN122" s="826"/>
      <c r="BO122" s="826"/>
      <c r="BP122" s="826"/>
      <c r="BQ122" s="826"/>
      <c r="BR122" s="826"/>
      <c r="BS122" s="826"/>
      <c r="BT122" s="826"/>
      <c r="BU122" s="826"/>
      <c r="BV122" s="826"/>
      <c r="BW122" s="826"/>
      <c r="BX122" s="826"/>
      <c r="BY122" s="826"/>
      <c r="BZ122" s="508"/>
      <c r="CA122" s="508"/>
      <c r="CB122" s="826"/>
      <c r="CC122" s="508"/>
      <c r="CD122" s="508"/>
      <c r="CE122" s="508"/>
      <c r="CF122" s="508"/>
      <c r="CG122" s="508"/>
      <c r="CH122" s="508"/>
    </row>
    <row r="123" spans="8:86" s="154" customFormat="1">
      <c r="H123" s="828"/>
      <c r="I123" s="829"/>
      <c r="J123" s="829"/>
      <c r="K123" s="828"/>
      <c r="N123" s="506"/>
      <c r="O123" s="507"/>
      <c r="P123" s="506"/>
      <c r="Q123" s="506"/>
      <c r="R123" s="506"/>
      <c r="S123" s="506"/>
      <c r="U123" s="508"/>
      <c r="AF123" s="508"/>
      <c r="AI123" s="506"/>
      <c r="AJ123" s="508"/>
      <c r="AK123" s="508"/>
      <c r="AM123" s="508"/>
      <c r="AO123" s="508"/>
      <c r="AV123" s="827"/>
      <c r="AW123" s="827"/>
      <c r="AX123" s="827"/>
      <c r="AY123" s="827"/>
      <c r="AZ123" s="827"/>
      <c r="BA123" s="827"/>
      <c r="BB123" s="506"/>
      <c r="BC123" s="506"/>
      <c r="BD123" s="506"/>
      <c r="BE123" s="506"/>
      <c r="BF123" s="506"/>
      <c r="BG123" s="506"/>
      <c r="BH123" s="826"/>
      <c r="BI123" s="826"/>
      <c r="BJ123" s="826"/>
      <c r="BK123" s="826"/>
      <c r="BL123" s="826"/>
      <c r="BN123" s="826"/>
      <c r="BO123" s="826"/>
      <c r="BP123" s="826"/>
      <c r="BQ123" s="826"/>
      <c r="BR123" s="826"/>
      <c r="BS123" s="826"/>
      <c r="BT123" s="826"/>
      <c r="BU123" s="826"/>
      <c r="BV123" s="826"/>
      <c r="BW123" s="826"/>
      <c r="BX123" s="826"/>
      <c r="BY123" s="826"/>
      <c r="BZ123" s="508"/>
      <c r="CA123" s="508"/>
      <c r="CB123" s="826"/>
      <c r="CC123" s="508"/>
      <c r="CD123" s="508"/>
      <c r="CE123" s="508"/>
      <c r="CF123" s="508"/>
      <c r="CG123" s="508"/>
      <c r="CH123" s="508"/>
    </row>
    <row r="124" spans="8:86" s="154" customFormat="1">
      <c r="H124" s="828"/>
      <c r="I124" s="829"/>
      <c r="J124" s="829"/>
      <c r="K124" s="828"/>
      <c r="N124" s="506"/>
      <c r="O124" s="507"/>
      <c r="P124" s="506"/>
      <c r="Q124" s="506"/>
      <c r="R124" s="506"/>
      <c r="S124" s="506"/>
      <c r="U124" s="508"/>
      <c r="AF124" s="508"/>
      <c r="AI124" s="506"/>
      <c r="AJ124" s="508"/>
      <c r="AK124" s="508"/>
      <c r="AM124" s="508"/>
      <c r="AO124" s="508"/>
      <c r="AV124" s="827"/>
      <c r="AW124" s="827"/>
      <c r="AX124" s="827"/>
      <c r="AY124" s="827"/>
      <c r="AZ124" s="827"/>
      <c r="BA124" s="827"/>
      <c r="BB124" s="506"/>
      <c r="BC124" s="506"/>
      <c r="BD124" s="506"/>
      <c r="BE124" s="506"/>
      <c r="BF124" s="506"/>
      <c r="BG124" s="506"/>
      <c r="BH124" s="826"/>
      <c r="BI124" s="826"/>
      <c r="BJ124" s="826"/>
      <c r="BK124" s="826"/>
      <c r="BL124" s="826"/>
      <c r="BN124" s="826"/>
      <c r="BO124" s="826"/>
      <c r="BP124" s="826"/>
      <c r="BQ124" s="826"/>
      <c r="BR124" s="826"/>
      <c r="BS124" s="826"/>
      <c r="BT124" s="826"/>
      <c r="BU124" s="826"/>
      <c r="BV124" s="826"/>
      <c r="BW124" s="826"/>
      <c r="BX124" s="826"/>
      <c r="BY124" s="826"/>
      <c r="BZ124" s="508"/>
      <c r="CA124" s="508"/>
      <c r="CB124" s="826"/>
      <c r="CC124" s="508"/>
      <c r="CD124" s="508"/>
      <c r="CE124" s="508"/>
      <c r="CF124" s="508"/>
      <c r="CG124" s="508"/>
      <c r="CH124" s="508"/>
    </row>
    <row r="125" spans="8:86" s="154" customFormat="1">
      <c r="H125" s="828"/>
      <c r="I125" s="829"/>
      <c r="J125" s="829"/>
      <c r="K125" s="828"/>
      <c r="N125" s="506"/>
      <c r="O125" s="507"/>
      <c r="P125" s="506"/>
      <c r="Q125" s="506"/>
      <c r="R125" s="506"/>
      <c r="S125" s="506"/>
      <c r="U125" s="508"/>
      <c r="AF125" s="508"/>
      <c r="AI125" s="506"/>
      <c r="AJ125" s="508"/>
      <c r="AK125" s="508"/>
      <c r="AM125" s="508"/>
      <c r="AO125" s="508"/>
      <c r="AV125" s="827"/>
      <c r="AW125" s="827"/>
      <c r="AX125" s="827"/>
      <c r="AY125" s="827"/>
      <c r="AZ125" s="827"/>
      <c r="BA125" s="827"/>
      <c r="BB125" s="506"/>
      <c r="BC125" s="506"/>
      <c r="BD125" s="506"/>
      <c r="BE125" s="506"/>
      <c r="BF125" s="506"/>
      <c r="BG125" s="506"/>
      <c r="BH125" s="826"/>
      <c r="BI125" s="826"/>
      <c r="BJ125" s="826"/>
      <c r="BK125" s="826"/>
      <c r="BL125" s="826"/>
      <c r="BN125" s="826"/>
      <c r="BO125" s="826"/>
      <c r="BP125" s="826"/>
      <c r="BQ125" s="826"/>
      <c r="BR125" s="826"/>
      <c r="BS125" s="826"/>
      <c r="BT125" s="826"/>
      <c r="BU125" s="826"/>
      <c r="BV125" s="826"/>
      <c r="BW125" s="826"/>
      <c r="BX125" s="826"/>
      <c r="BY125" s="826"/>
      <c r="BZ125" s="508"/>
      <c r="CA125" s="508"/>
      <c r="CB125" s="826"/>
      <c r="CC125" s="508"/>
      <c r="CD125" s="508"/>
      <c r="CE125" s="508"/>
      <c r="CF125" s="508"/>
      <c r="CG125" s="508"/>
      <c r="CH125" s="508"/>
    </row>
    <row r="126" spans="8:86" s="154" customFormat="1">
      <c r="H126" s="828"/>
      <c r="I126" s="829"/>
      <c r="J126" s="829"/>
      <c r="K126" s="828"/>
      <c r="N126" s="506"/>
      <c r="O126" s="507"/>
      <c r="P126" s="506"/>
      <c r="Q126" s="506"/>
      <c r="R126" s="506"/>
      <c r="S126" s="506"/>
      <c r="U126" s="508"/>
      <c r="AF126" s="508"/>
      <c r="AI126" s="506"/>
      <c r="AJ126" s="508"/>
      <c r="AK126" s="508"/>
      <c r="AM126" s="508"/>
      <c r="AO126" s="508"/>
      <c r="AV126" s="827"/>
      <c r="AW126" s="827"/>
      <c r="AX126" s="827"/>
      <c r="AY126" s="827"/>
      <c r="AZ126" s="827"/>
      <c r="BA126" s="827"/>
      <c r="BB126" s="506"/>
      <c r="BC126" s="506"/>
      <c r="BD126" s="506"/>
      <c r="BE126" s="506"/>
      <c r="BF126" s="506"/>
      <c r="BG126" s="506"/>
      <c r="BH126" s="826"/>
      <c r="BI126" s="826"/>
      <c r="BJ126" s="826"/>
      <c r="BK126" s="826"/>
      <c r="BL126" s="826"/>
      <c r="BN126" s="826"/>
      <c r="BO126" s="826"/>
      <c r="BP126" s="826"/>
      <c r="BQ126" s="826"/>
      <c r="BR126" s="826"/>
      <c r="BS126" s="826"/>
      <c r="BT126" s="826"/>
      <c r="BU126" s="826"/>
      <c r="BV126" s="826"/>
      <c r="BW126" s="826"/>
      <c r="BX126" s="826"/>
      <c r="BY126" s="826"/>
      <c r="BZ126" s="508"/>
      <c r="CA126" s="508"/>
      <c r="CB126" s="826"/>
      <c r="CC126" s="508"/>
      <c r="CD126" s="508"/>
      <c r="CE126" s="508"/>
      <c r="CF126" s="508"/>
      <c r="CG126" s="508"/>
      <c r="CH126" s="508"/>
    </row>
    <row r="127" spans="8:86" s="154" customFormat="1">
      <c r="H127" s="828"/>
      <c r="I127" s="829"/>
      <c r="J127" s="829"/>
      <c r="K127" s="828"/>
      <c r="N127" s="506"/>
      <c r="O127" s="507"/>
      <c r="P127" s="506"/>
      <c r="Q127" s="506"/>
      <c r="R127" s="506"/>
      <c r="S127" s="506"/>
      <c r="U127" s="508"/>
      <c r="AF127" s="508"/>
      <c r="AI127" s="506"/>
      <c r="AJ127" s="508"/>
      <c r="AK127" s="508"/>
      <c r="AM127" s="508"/>
      <c r="AO127" s="508"/>
      <c r="AV127" s="827"/>
      <c r="AW127" s="827"/>
      <c r="AX127" s="827"/>
      <c r="AY127" s="827"/>
      <c r="AZ127" s="827"/>
      <c r="BA127" s="827"/>
      <c r="BB127" s="506"/>
      <c r="BC127" s="506"/>
      <c r="BD127" s="506"/>
      <c r="BE127" s="506"/>
      <c r="BF127" s="506"/>
      <c r="BG127" s="506"/>
      <c r="BH127" s="826"/>
      <c r="BI127" s="826"/>
      <c r="BJ127" s="826"/>
      <c r="BK127" s="826"/>
      <c r="BL127" s="826"/>
      <c r="BN127" s="826"/>
      <c r="BO127" s="826"/>
      <c r="BP127" s="826"/>
      <c r="BQ127" s="826"/>
      <c r="BR127" s="826"/>
      <c r="BS127" s="826"/>
      <c r="BT127" s="826"/>
      <c r="BU127" s="826"/>
      <c r="BV127" s="826"/>
      <c r="BW127" s="826"/>
      <c r="BX127" s="826"/>
      <c r="BY127" s="826"/>
      <c r="BZ127" s="508"/>
      <c r="CA127" s="508"/>
      <c r="CB127" s="826"/>
      <c r="CC127" s="508"/>
      <c r="CD127" s="508"/>
      <c r="CE127" s="508"/>
      <c r="CF127" s="508"/>
      <c r="CG127" s="508"/>
      <c r="CH127" s="508"/>
    </row>
    <row r="128" spans="8:86" s="154" customFormat="1">
      <c r="H128" s="828"/>
      <c r="I128" s="829"/>
      <c r="J128" s="829"/>
      <c r="K128" s="828"/>
      <c r="N128" s="506"/>
      <c r="O128" s="507"/>
      <c r="P128" s="506"/>
      <c r="Q128" s="506"/>
      <c r="R128" s="506"/>
      <c r="S128" s="506"/>
      <c r="U128" s="508"/>
      <c r="AF128" s="508"/>
      <c r="AI128" s="506"/>
      <c r="AJ128" s="508"/>
      <c r="AK128" s="508"/>
      <c r="AM128" s="508"/>
      <c r="AO128" s="508"/>
      <c r="AV128" s="827"/>
      <c r="AW128" s="827"/>
      <c r="AX128" s="827"/>
      <c r="AY128" s="827"/>
      <c r="AZ128" s="827"/>
      <c r="BA128" s="827"/>
      <c r="BB128" s="506"/>
      <c r="BC128" s="506"/>
      <c r="BD128" s="506"/>
      <c r="BE128" s="506"/>
      <c r="BF128" s="506"/>
      <c r="BG128" s="506"/>
      <c r="BH128" s="826"/>
      <c r="BI128" s="826"/>
      <c r="BJ128" s="826"/>
      <c r="BK128" s="826"/>
      <c r="BL128" s="826"/>
      <c r="BN128" s="826"/>
      <c r="BO128" s="826"/>
      <c r="BP128" s="826"/>
      <c r="BQ128" s="826"/>
      <c r="BR128" s="826"/>
      <c r="BS128" s="826"/>
      <c r="BT128" s="826"/>
      <c r="BU128" s="826"/>
      <c r="BV128" s="826"/>
      <c r="BW128" s="826"/>
      <c r="BX128" s="826"/>
      <c r="BY128" s="826"/>
      <c r="BZ128" s="508"/>
      <c r="CA128" s="508"/>
      <c r="CB128" s="826"/>
      <c r="CC128" s="508"/>
      <c r="CD128" s="508"/>
      <c r="CE128" s="508"/>
      <c r="CF128" s="508"/>
      <c r="CG128" s="508"/>
      <c r="CH128" s="508"/>
    </row>
    <row r="129" spans="8:86" s="154" customFormat="1">
      <c r="H129" s="828"/>
      <c r="I129" s="829"/>
      <c r="J129" s="829"/>
      <c r="K129" s="828"/>
      <c r="N129" s="506"/>
      <c r="O129" s="507"/>
      <c r="P129" s="506"/>
      <c r="Q129" s="506"/>
      <c r="R129" s="506"/>
      <c r="S129" s="506"/>
      <c r="U129" s="508"/>
      <c r="AF129" s="508"/>
      <c r="AI129" s="506"/>
      <c r="AJ129" s="508"/>
      <c r="AK129" s="508"/>
      <c r="AM129" s="508"/>
      <c r="AO129" s="508"/>
      <c r="AV129" s="827"/>
      <c r="AW129" s="827"/>
      <c r="AX129" s="827"/>
      <c r="AY129" s="827"/>
      <c r="AZ129" s="827"/>
      <c r="BA129" s="827"/>
      <c r="BB129" s="506"/>
      <c r="BC129" s="506"/>
      <c r="BD129" s="506"/>
      <c r="BE129" s="506"/>
      <c r="BF129" s="506"/>
      <c r="BG129" s="506"/>
      <c r="BH129" s="826"/>
      <c r="BI129" s="826"/>
      <c r="BJ129" s="826"/>
      <c r="BK129" s="826"/>
      <c r="BL129" s="826"/>
      <c r="BN129" s="826"/>
      <c r="BO129" s="826"/>
      <c r="BP129" s="826"/>
      <c r="BQ129" s="826"/>
      <c r="BR129" s="826"/>
      <c r="BS129" s="826"/>
      <c r="BT129" s="826"/>
      <c r="BU129" s="826"/>
      <c r="BV129" s="826"/>
      <c r="BW129" s="826"/>
      <c r="BX129" s="826"/>
      <c r="BY129" s="826"/>
      <c r="BZ129" s="508"/>
      <c r="CA129" s="508"/>
      <c r="CB129" s="826"/>
      <c r="CC129" s="508"/>
      <c r="CD129" s="508"/>
      <c r="CE129" s="508"/>
      <c r="CF129" s="508"/>
      <c r="CG129" s="508"/>
      <c r="CH129" s="508"/>
    </row>
    <row r="130" spans="8:86" s="154" customFormat="1">
      <c r="H130" s="828"/>
      <c r="I130" s="829"/>
      <c r="J130" s="829"/>
      <c r="K130" s="828"/>
      <c r="N130" s="506"/>
      <c r="O130" s="507"/>
      <c r="P130" s="506"/>
      <c r="Q130" s="506"/>
      <c r="R130" s="506"/>
      <c r="S130" s="506"/>
      <c r="U130" s="508"/>
      <c r="AF130" s="508"/>
      <c r="AI130" s="506"/>
      <c r="AJ130" s="508"/>
      <c r="AK130" s="508"/>
      <c r="AM130" s="508"/>
      <c r="AO130" s="508"/>
      <c r="AV130" s="827"/>
      <c r="AW130" s="827"/>
      <c r="AX130" s="827"/>
      <c r="AY130" s="827"/>
      <c r="AZ130" s="827"/>
      <c r="BA130" s="827"/>
      <c r="BB130" s="506"/>
      <c r="BC130" s="506"/>
      <c r="BD130" s="506"/>
      <c r="BE130" s="506"/>
      <c r="BF130" s="506"/>
      <c r="BG130" s="506"/>
      <c r="BH130" s="826"/>
      <c r="BI130" s="826"/>
      <c r="BJ130" s="826"/>
      <c r="BK130" s="826"/>
      <c r="BL130" s="826"/>
      <c r="BN130" s="826"/>
      <c r="BO130" s="826"/>
      <c r="BP130" s="826"/>
      <c r="BQ130" s="826"/>
      <c r="BR130" s="826"/>
      <c r="BS130" s="826"/>
      <c r="BT130" s="826"/>
      <c r="BU130" s="826"/>
      <c r="BV130" s="826"/>
      <c r="BW130" s="826"/>
      <c r="BX130" s="826"/>
      <c r="BY130" s="826"/>
      <c r="BZ130" s="508"/>
      <c r="CA130" s="508"/>
      <c r="CB130" s="826"/>
      <c r="CC130" s="508"/>
      <c r="CD130" s="508"/>
      <c r="CE130" s="508"/>
      <c r="CF130" s="508"/>
      <c r="CG130" s="508"/>
      <c r="CH130" s="508"/>
    </row>
    <row r="131" spans="8:86" s="154" customFormat="1">
      <c r="H131" s="828"/>
      <c r="I131" s="829"/>
      <c r="J131" s="829"/>
      <c r="K131" s="828"/>
      <c r="N131" s="506"/>
      <c r="O131" s="507"/>
      <c r="P131" s="506"/>
      <c r="Q131" s="506"/>
      <c r="R131" s="506"/>
      <c r="S131" s="506"/>
      <c r="U131" s="508"/>
      <c r="AF131" s="508"/>
      <c r="AI131" s="506"/>
      <c r="AJ131" s="508"/>
      <c r="AK131" s="508"/>
      <c r="AM131" s="508"/>
      <c r="AO131" s="508"/>
      <c r="AV131" s="827"/>
      <c r="AW131" s="827"/>
      <c r="AX131" s="827"/>
      <c r="AY131" s="827"/>
      <c r="AZ131" s="827"/>
      <c r="BA131" s="827"/>
      <c r="BB131" s="506"/>
      <c r="BC131" s="506"/>
      <c r="BD131" s="506"/>
      <c r="BE131" s="506"/>
      <c r="BF131" s="506"/>
      <c r="BG131" s="506"/>
      <c r="BH131" s="826"/>
      <c r="BI131" s="826"/>
      <c r="BJ131" s="826"/>
      <c r="BK131" s="826"/>
      <c r="BL131" s="826"/>
      <c r="BN131" s="826"/>
      <c r="BO131" s="826"/>
      <c r="BP131" s="826"/>
      <c r="BQ131" s="826"/>
      <c r="BR131" s="826"/>
      <c r="BS131" s="826"/>
      <c r="BT131" s="826"/>
      <c r="BU131" s="826"/>
      <c r="BV131" s="826"/>
      <c r="BW131" s="826"/>
      <c r="BX131" s="826"/>
      <c r="BY131" s="826"/>
      <c r="BZ131" s="508"/>
      <c r="CA131" s="508"/>
      <c r="CB131" s="826"/>
      <c r="CC131" s="508"/>
      <c r="CD131" s="508"/>
      <c r="CE131" s="508"/>
      <c r="CF131" s="508"/>
      <c r="CG131" s="508"/>
      <c r="CH131" s="508"/>
    </row>
    <row r="132" spans="8:86" s="154" customFormat="1">
      <c r="H132" s="828"/>
      <c r="I132" s="829"/>
      <c r="J132" s="829"/>
      <c r="K132" s="828"/>
      <c r="N132" s="506"/>
      <c r="O132" s="507"/>
      <c r="P132" s="506"/>
      <c r="Q132" s="506"/>
      <c r="R132" s="506"/>
      <c r="S132" s="506"/>
      <c r="U132" s="508"/>
      <c r="AF132" s="508"/>
      <c r="AI132" s="506"/>
      <c r="AJ132" s="508"/>
      <c r="AK132" s="508"/>
      <c r="AM132" s="508"/>
      <c r="AO132" s="508"/>
      <c r="AV132" s="827"/>
      <c r="AW132" s="827"/>
      <c r="AX132" s="827"/>
      <c r="AY132" s="827"/>
      <c r="AZ132" s="827"/>
      <c r="BA132" s="827"/>
      <c r="BB132" s="506"/>
      <c r="BC132" s="506"/>
      <c r="BD132" s="506"/>
      <c r="BE132" s="506"/>
      <c r="BF132" s="506"/>
      <c r="BG132" s="506"/>
      <c r="BH132" s="826"/>
      <c r="BI132" s="826"/>
      <c r="BJ132" s="826"/>
      <c r="BK132" s="826"/>
      <c r="BL132" s="826"/>
      <c r="BN132" s="826"/>
      <c r="BO132" s="826"/>
      <c r="BP132" s="826"/>
      <c r="BQ132" s="826"/>
      <c r="BR132" s="826"/>
      <c r="BS132" s="826"/>
      <c r="BT132" s="826"/>
      <c r="BU132" s="826"/>
      <c r="BV132" s="826"/>
      <c r="BW132" s="826"/>
      <c r="BX132" s="826"/>
      <c r="BY132" s="826"/>
      <c r="BZ132" s="508"/>
      <c r="CA132" s="508"/>
      <c r="CB132" s="826"/>
      <c r="CC132" s="508"/>
      <c r="CD132" s="508"/>
      <c r="CE132" s="508"/>
      <c r="CF132" s="508"/>
      <c r="CG132" s="508"/>
      <c r="CH132" s="508"/>
    </row>
    <row r="133" spans="8:86" s="154" customFormat="1">
      <c r="H133" s="828"/>
      <c r="I133" s="829"/>
      <c r="J133" s="829"/>
      <c r="K133" s="828"/>
      <c r="N133" s="506"/>
      <c r="O133" s="507"/>
      <c r="P133" s="506"/>
      <c r="Q133" s="506"/>
      <c r="R133" s="506"/>
      <c r="S133" s="506"/>
      <c r="U133" s="508"/>
      <c r="AF133" s="508"/>
      <c r="AI133" s="506"/>
      <c r="AJ133" s="508"/>
      <c r="AK133" s="508"/>
      <c r="AM133" s="508"/>
      <c r="AO133" s="508"/>
      <c r="AV133" s="827"/>
      <c r="AW133" s="827"/>
      <c r="AX133" s="827"/>
      <c r="AY133" s="827"/>
      <c r="AZ133" s="827"/>
      <c r="BA133" s="827"/>
      <c r="BB133" s="506"/>
      <c r="BC133" s="506"/>
      <c r="BD133" s="506"/>
      <c r="BE133" s="506"/>
      <c r="BF133" s="506"/>
      <c r="BG133" s="506"/>
      <c r="BH133" s="826"/>
      <c r="BI133" s="826"/>
      <c r="BJ133" s="826"/>
      <c r="BK133" s="826"/>
      <c r="BL133" s="826"/>
      <c r="BN133" s="826"/>
      <c r="BO133" s="826"/>
      <c r="BP133" s="826"/>
      <c r="BQ133" s="826"/>
      <c r="BR133" s="826"/>
      <c r="BS133" s="826"/>
      <c r="BT133" s="826"/>
      <c r="BU133" s="826"/>
      <c r="BV133" s="826"/>
      <c r="BW133" s="826"/>
      <c r="BX133" s="826"/>
      <c r="BY133" s="826"/>
      <c r="BZ133" s="508"/>
      <c r="CA133" s="508"/>
      <c r="CB133" s="826"/>
      <c r="CC133" s="508"/>
      <c r="CD133" s="508"/>
      <c r="CE133" s="508"/>
      <c r="CF133" s="508"/>
      <c r="CG133" s="508"/>
      <c r="CH133" s="508"/>
    </row>
    <row r="134" spans="8:86" s="154" customFormat="1">
      <c r="H134" s="828"/>
      <c r="I134" s="829"/>
      <c r="J134" s="829"/>
      <c r="K134" s="828"/>
      <c r="N134" s="506"/>
      <c r="O134" s="507"/>
      <c r="P134" s="506"/>
      <c r="Q134" s="506"/>
      <c r="R134" s="506"/>
      <c r="S134" s="506"/>
      <c r="U134" s="508"/>
      <c r="AF134" s="508"/>
      <c r="AI134" s="506"/>
      <c r="AJ134" s="508"/>
      <c r="AK134" s="508"/>
      <c r="AM134" s="508"/>
      <c r="AO134" s="508"/>
      <c r="AV134" s="827"/>
      <c r="AW134" s="827"/>
      <c r="AX134" s="827"/>
      <c r="AY134" s="827"/>
      <c r="AZ134" s="827"/>
      <c r="BA134" s="827"/>
      <c r="BB134" s="506"/>
      <c r="BC134" s="506"/>
      <c r="BD134" s="506"/>
      <c r="BE134" s="506"/>
      <c r="BF134" s="506"/>
      <c r="BG134" s="506"/>
      <c r="BH134" s="826"/>
      <c r="BI134" s="826"/>
      <c r="BJ134" s="826"/>
      <c r="BK134" s="826"/>
      <c r="BL134" s="826"/>
      <c r="BN134" s="826"/>
      <c r="BO134" s="826"/>
      <c r="BP134" s="826"/>
      <c r="BQ134" s="826"/>
      <c r="BR134" s="826"/>
      <c r="BS134" s="826"/>
      <c r="BT134" s="826"/>
      <c r="BU134" s="826"/>
      <c r="BV134" s="826"/>
      <c r="BW134" s="826"/>
      <c r="BX134" s="826"/>
      <c r="BY134" s="826"/>
      <c r="BZ134" s="508"/>
      <c r="CA134" s="508"/>
      <c r="CB134" s="826"/>
      <c r="CC134" s="508"/>
      <c r="CD134" s="508"/>
      <c r="CE134" s="508"/>
      <c r="CF134" s="508"/>
      <c r="CG134" s="508"/>
      <c r="CH134" s="508"/>
    </row>
    <row r="135" spans="8:86" s="154" customFormat="1">
      <c r="H135" s="828"/>
      <c r="I135" s="829"/>
      <c r="J135" s="829"/>
      <c r="K135" s="828"/>
      <c r="N135" s="506"/>
      <c r="O135" s="507"/>
      <c r="P135" s="506"/>
      <c r="Q135" s="506"/>
      <c r="R135" s="506"/>
      <c r="S135" s="506"/>
      <c r="U135" s="508"/>
      <c r="AF135" s="508"/>
      <c r="AI135" s="506"/>
      <c r="AJ135" s="508"/>
      <c r="AK135" s="508"/>
      <c r="AM135" s="508"/>
      <c r="AO135" s="508"/>
      <c r="AV135" s="827"/>
      <c r="AW135" s="827"/>
      <c r="AX135" s="827"/>
      <c r="AY135" s="827"/>
      <c r="AZ135" s="827"/>
      <c r="BA135" s="827"/>
      <c r="BB135" s="506"/>
      <c r="BC135" s="506"/>
      <c r="BD135" s="506"/>
      <c r="BE135" s="506"/>
      <c r="BF135" s="506"/>
      <c r="BG135" s="506"/>
      <c r="BH135" s="826"/>
      <c r="BI135" s="826"/>
      <c r="BJ135" s="826"/>
      <c r="BK135" s="826"/>
      <c r="BL135" s="826"/>
      <c r="BN135" s="826"/>
      <c r="BO135" s="826"/>
      <c r="BP135" s="826"/>
      <c r="BQ135" s="826"/>
      <c r="BR135" s="826"/>
      <c r="BS135" s="826"/>
      <c r="BT135" s="826"/>
      <c r="BU135" s="826"/>
      <c r="BV135" s="826"/>
      <c r="BW135" s="826"/>
      <c r="BX135" s="826"/>
      <c r="BY135" s="826"/>
      <c r="BZ135" s="508"/>
      <c r="CA135" s="508"/>
      <c r="CB135" s="826"/>
      <c r="CC135" s="508"/>
      <c r="CD135" s="508"/>
      <c r="CE135" s="508"/>
      <c r="CF135" s="508"/>
      <c r="CG135" s="508"/>
      <c r="CH135" s="508"/>
    </row>
    <row r="136" spans="8:86" s="154" customFormat="1">
      <c r="H136" s="828"/>
      <c r="I136" s="829"/>
      <c r="J136" s="829"/>
      <c r="K136" s="828"/>
      <c r="N136" s="506"/>
      <c r="O136" s="507"/>
      <c r="P136" s="506"/>
      <c r="Q136" s="506"/>
      <c r="R136" s="506"/>
      <c r="S136" s="506"/>
      <c r="U136" s="508"/>
      <c r="AF136" s="508"/>
      <c r="AI136" s="506"/>
      <c r="AJ136" s="508"/>
      <c r="AK136" s="508"/>
      <c r="AM136" s="508"/>
      <c r="AO136" s="508"/>
      <c r="AV136" s="827"/>
      <c r="AW136" s="827"/>
      <c r="AX136" s="827"/>
      <c r="AY136" s="827"/>
      <c r="AZ136" s="827"/>
      <c r="BA136" s="827"/>
      <c r="BB136" s="506"/>
      <c r="BC136" s="506"/>
      <c r="BD136" s="506"/>
      <c r="BE136" s="506"/>
      <c r="BF136" s="506"/>
      <c r="BG136" s="506"/>
      <c r="BH136" s="826"/>
      <c r="BI136" s="826"/>
      <c r="BJ136" s="826"/>
      <c r="BK136" s="826"/>
      <c r="BL136" s="826"/>
      <c r="BN136" s="826"/>
      <c r="BO136" s="826"/>
      <c r="BP136" s="826"/>
      <c r="BQ136" s="826"/>
      <c r="BR136" s="826"/>
      <c r="BS136" s="826"/>
      <c r="BT136" s="826"/>
      <c r="BU136" s="826"/>
      <c r="BV136" s="826"/>
      <c r="BW136" s="826"/>
      <c r="BX136" s="826"/>
      <c r="BY136" s="826"/>
      <c r="BZ136" s="508"/>
      <c r="CA136" s="508"/>
      <c r="CB136" s="826"/>
      <c r="CC136" s="508"/>
      <c r="CD136" s="508"/>
      <c r="CE136" s="508"/>
      <c r="CF136" s="508"/>
      <c r="CG136" s="508"/>
      <c r="CH136" s="508"/>
    </row>
    <row r="137" spans="8:86" s="154" customFormat="1">
      <c r="H137" s="828"/>
      <c r="I137" s="829"/>
      <c r="J137" s="829"/>
      <c r="K137" s="828"/>
      <c r="N137" s="506"/>
      <c r="O137" s="507"/>
      <c r="P137" s="506"/>
      <c r="Q137" s="506"/>
      <c r="R137" s="506"/>
      <c r="S137" s="506"/>
      <c r="U137" s="508"/>
      <c r="AF137" s="508"/>
      <c r="AI137" s="506"/>
      <c r="AJ137" s="508"/>
      <c r="AK137" s="508"/>
      <c r="AM137" s="508"/>
      <c r="AO137" s="508"/>
      <c r="AV137" s="827"/>
      <c r="AW137" s="827"/>
      <c r="AX137" s="827"/>
      <c r="AY137" s="827"/>
      <c r="AZ137" s="827"/>
      <c r="BA137" s="827"/>
      <c r="BB137" s="506"/>
      <c r="BC137" s="506"/>
      <c r="BD137" s="506"/>
      <c r="BE137" s="506"/>
      <c r="BF137" s="506"/>
      <c r="BG137" s="506"/>
      <c r="BH137" s="826"/>
      <c r="BI137" s="826"/>
      <c r="BJ137" s="826"/>
      <c r="BK137" s="826"/>
      <c r="BL137" s="826"/>
      <c r="BN137" s="826"/>
      <c r="BO137" s="826"/>
      <c r="BP137" s="826"/>
      <c r="BQ137" s="826"/>
      <c r="BR137" s="826"/>
      <c r="BS137" s="826"/>
      <c r="BT137" s="826"/>
      <c r="BU137" s="826"/>
      <c r="BV137" s="826"/>
      <c r="BW137" s="826"/>
      <c r="BX137" s="826"/>
      <c r="BY137" s="826"/>
      <c r="BZ137" s="508"/>
      <c r="CA137" s="508"/>
      <c r="CB137" s="826"/>
      <c r="CC137" s="508"/>
      <c r="CD137" s="508"/>
      <c r="CE137" s="508"/>
      <c r="CF137" s="508"/>
      <c r="CG137" s="508"/>
      <c r="CH137" s="508"/>
    </row>
    <row r="138" spans="8:86" s="154" customFormat="1">
      <c r="H138" s="828"/>
      <c r="I138" s="829"/>
      <c r="J138" s="829"/>
      <c r="K138" s="828"/>
      <c r="N138" s="506"/>
      <c r="O138" s="507"/>
      <c r="P138" s="506"/>
      <c r="Q138" s="506"/>
      <c r="R138" s="506"/>
      <c r="S138" s="506"/>
      <c r="U138" s="508"/>
      <c r="AF138" s="508"/>
      <c r="AI138" s="506"/>
      <c r="AJ138" s="508"/>
      <c r="AK138" s="508"/>
      <c r="AM138" s="508"/>
      <c r="AO138" s="508"/>
      <c r="AV138" s="827"/>
      <c r="AW138" s="827"/>
      <c r="AX138" s="827"/>
      <c r="AY138" s="827"/>
      <c r="AZ138" s="827"/>
      <c r="BA138" s="827"/>
      <c r="BB138" s="506"/>
      <c r="BC138" s="506"/>
      <c r="BD138" s="506"/>
      <c r="BE138" s="506"/>
      <c r="BF138" s="506"/>
      <c r="BG138" s="506"/>
      <c r="BH138" s="826"/>
      <c r="BI138" s="826"/>
      <c r="BJ138" s="826"/>
      <c r="BK138" s="826"/>
      <c r="BL138" s="826"/>
      <c r="BN138" s="826"/>
      <c r="BO138" s="826"/>
      <c r="BP138" s="826"/>
      <c r="BQ138" s="826"/>
      <c r="BR138" s="826"/>
      <c r="BS138" s="826"/>
      <c r="BT138" s="826"/>
      <c r="BU138" s="826"/>
      <c r="BV138" s="826"/>
      <c r="BW138" s="826"/>
      <c r="BX138" s="826"/>
      <c r="BY138" s="826"/>
      <c r="BZ138" s="508"/>
      <c r="CA138" s="508"/>
      <c r="CB138" s="826"/>
      <c r="CC138" s="508"/>
      <c r="CD138" s="508"/>
      <c r="CE138" s="508"/>
      <c r="CF138" s="508"/>
      <c r="CG138" s="508"/>
      <c r="CH138" s="508"/>
    </row>
    <row r="139" spans="8:86" s="154" customFormat="1">
      <c r="H139" s="828"/>
      <c r="I139" s="829"/>
      <c r="J139" s="829"/>
      <c r="K139" s="828"/>
      <c r="N139" s="506"/>
      <c r="O139" s="507"/>
      <c r="P139" s="506"/>
      <c r="Q139" s="506"/>
      <c r="R139" s="506"/>
      <c r="S139" s="506"/>
      <c r="U139" s="508"/>
      <c r="AF139" s="508"/>
      <c r="AI139" s="506"/>
      <c r="AJ139" s="508"/>
      <c r="AK139" s="508"/>
      <c r="AM139" s="508"/>
      <c r="AO139" s="508"/>
      <c r="AV139" s="827"/>
      <c r="AW139" s="827"/>
      <c r="AX139" s="827"/>
      <c r="AY139" s="827"/>
      <c r="AZ139" s="827"/>
      <c r="BA139" s="827"/>
      <c r="BB139" s="506"/>
      <c r="BC139" s="506"/>
      <c r="BD139" s="506"/>
      <c r="BE139" s="506"/>
      <c r="BF139" s="506"/>
      <c r="BG139" s="506"/>
      <c r="BH139" s="826"/>
      <c r="BI139" s="826"/>
      <c r="BJ139" s="826"/>
      <c r="BK139" s="826"/>
      <c r="BL139" s="826"/>
      <c r="BN139" s="826"/>
      <c r="BO139" s="826"/>
      <c r="BP139" s="826"/>
      <c r="BQ139" s="826"/>
      <c r="BR139" s="826"/>
      <c r="BS139" s="826"/>
      <c r="BT139" s="826"/>
      <c r="BU139" s="826"/>
      <c r="BV139" s="826"/>
      <c r="BW139" s="826"/>
      <c r="BX139" s="826"/>
      <c r="BY139" s="826"/>
      <c r="BZ139" s="508"/>
      <c r="CA139" s="508"/>
      <c r="CB139" s="826"/>
      <c r="CC139" s="508"/>
      <c r="CD139" s="508"/>
      <c r="CE139" s="508"/>
      <c r="CF139" s="508"/>
      <c r="CG139" s="508"/>
      <c r="CH139" s="508"/>
    </row>
    <row r="140" spans="8:86" s="154" customFormat="1">
      <c r="H140" s="828"/>
      <c r="I140" s="829"/>
      <c r="J140" s="829"/>
      <c r="K140" s="828"/>
      <c r="N140" s="506"/>
      <c r="O140" s="507"/>
      <c r="P140" s="506"/>
      <c r="Q140" s="506"/>
      <c r="R140" s="506"/>
      <c r="S140" s="506"/>
      <c r="U140" s="508"/>
      <c r="AF140" s="508"/>
      <c r="AI140" s="506"/>
      <c r="AJ140" s="508"/>
      <c r="AK140" s="508"/>
      <c r="AM140" s="508"/>
      <c r="AO140" s="508"/>
      <c r="AV140" s="827"/>
      <c r="AW140" s="827"/>
      <c r="AX140" s="827"/>
      <c r="AY140" s="827"/>
      <c r="AZ140" s="827"/>
      <c r="BA140" s="827"/>
      <c r="BB140" s="506"/>
      <c r="BC140" s="506"/>
      <c r="BD140" s="506"/>
      <c r="BE140" s="506"/>
      <c r="BF140" s="506"/>
      <c r="BG140" s="506"/>
      <c r="BH140" s="826"/>
      <c r="BI140" s="826"/>
      <c r="BJ140" s="826"/>
      <c r="BK140" s="826"/>
      <c r="BL140" s="826"/>
      <c r="BN140" s="826"/>
      <c r="BO140" s="826"/>
      <c r="BP140" s="826"/>
      <c r="BQ140" s="826"/>
      <c r="BR140" s="826"/>
      <c r="BS140" s="826"/>
      <c r="BT140" s="826"/>
      <c r="BU140" s="826"/>
      <c r="BV140" s="826"/>
      <c r="BW140" s="826"/>
      <c r="BX140" s="826"/>
      <c r="BY140" s="826"/>
      <c r="BZ140" s="508"/>
      <c r="CA140" s="508"/>
      <c r="CB140" s="826"/>
      <c r="CC140" s="508"/>
      <c r="CD140" s="508"/>
      <c r="CE140" s="508"/>
      <c r="CF140" s="508"/>
      <c r="CG140" s="508"/>
      <c r="CH140" s="508"/>
    </row>
    <row r="141" spans="8:86" s="154" customFormat="1">
      <c r="H141" s="828"/>
      <c r="I141" s="829"/>
      <c r="J141" s="829"/>
      <c r="K141" s="828"/>
      <c r="N141" s="506"/>
      <c r="O141" s="507"/>
      <c r="P141" s="506"/>
      <c r="Q141" s="506"/>
      <c r="R141" s="506"/>
      <c r="S141" s="506"/>
      <c r="U141" s="508"/>
      <c r="AF141" s="508"/>
      <c r="AI141" s="506"/>
      <c r="AJ141" s="508"/>
      <c r="AK141" s="508"/>
      <c r="AM141" s="508"/>
      <c r="AO141" s="508"/>
      <c r="AV141" s="827"/>
      <c r="AW141" s="827"/>
      <c r="AX141" s="827"/>
      <c r="AY141" s="827"/>
      <c r="AZ141" s="827"/>
      <c r="BA141" s="827"/>
      <c r="BB141" s="506"/>
      <c r="BC141" s="506"/>
      <c r="BD141" s="506"/>
      <c r="BE141" s="506"/>
      <c r="BF141" s="506"/>
      <c r="BG141" s="506"/>
      <c r="BH141" s="826"/>
      <c r="BI141" s="826"/>
      <c r="BJ141" s="826"/>
      <c r="BK141" s="826"/>
      <c r="BL141" s="826"/>
      <c r="BN141" s="826"/>
      <c r="BO141" s="826"/>
      <c r="BP141" s="826"/>
      <c r="BQ141" s="826"/>
      <c r="BR141" s="826"/>
      <c r="BS141" s="826"/>
      <c r="BT141" s="826"/>
      <c r="BU141" s="826"/>
      <c r="BV141" s="826"/>
      <c r="BW141" s="826"/>
      <c r="BX141" s="826"/>
      <c r="BY141" s="826"/>
      <c r="BZ141" s="508"/>
      <c r="CA141" s="508"/>
      <c r="CB141" s="826"/>
      <c r="CC141" s="508"/>
      <c r="CD141" s="508"/>
      <c r="CE141" s="508"/>
      <c r="CF141" s="508"/>
      <c r="CG141" s="508"/>
      <c r="CH141" s="508"/>
    </row>
    <row r="142" spans="8:86" s="154" customFormat="1">
      <c r="H142" s="828"/>
      <c r="I142" s="829"/>
      <c r="J142" s="829"/>
      <c r="K142" s="828"/>
      <c r="N142" s="506"/>
      <c r="O142" s="507"/>
      <c r="P142" s="506"/>
      <c r="Q142" s="506"/>
      <c r="R142" s="506"/>
      <c r="S142" s="506"/>
      <c r="U142" s="508"/>
      <c r="AF142" s="508"/>
      <c r="AI142" s="506"/>
      <c r="AJ142" s="508"/>
      <c r="AK142" s="508"/>
      <c r="AM142" s="508"/>
      <c r="AO142" s="508"/>
      <c r="AV142" s="827"/>
      <c r="AW142" s="827"/>
      <c r="AX142" s="827"/>
      <c r="AY142" s="827"/>
      <c r="AZ142" s="827"/>
      <c r="BA142" s="827"/>
      <c r="BB142" s="506"/>
      <c r="BC142" s="506"/>
      <c r="BD142" s="506"/>
      <c r="BE142" s="506"/>
      <c r="BF142" s="506"/>
      <c r="BG142" s="506"/>
      <c r="BH142" s="826"/>
      <c r="BI142" s="826"/>
      <c r="BJ142" s="826"/>
      <c r="BK142" s="826"/>
      <c r="BL142" s="826"/>
      <c r="BN142" s="826"/>
      <c r="BO142" s="826"/>
      <c r="BP142" s="826"/>
      <c r="BQ142" s="826"/>
      <c r="BR142" s="826"/>
      <c r="BS142" s="826"/>
      <c r="BT142" s="826"/>
      <c r="BU142" s="826"/>
      <c r="BV142" s="826"/>
      <c r="BW142" s="826"/>
      <c r="BX142" s="826"/>
      <c r="BY142" s="826"/>
      <c r="BZ142" s="508"/>
      <c r="CA142" s="508"/>
      <c r="CB142" s="826"/>
      <c r="CC142" s="508"/>
      <c r="CD142" s="508"/>
      <c r="CE142" s="508"/>
      <c r="CF142" s="508"/>
      <c r="CG142" s="508"/>
      <c r="CH142" s="508"/>
    </row>
    <row r="143" spans="8:86" s="154" customFormat="1">
      <c r="H143" s="828"/>
      <c r="I143" s="829"/>
      <c r="J143" s="829"/>
      <c r="K143" s="828"/>
      <c r="N143" s="506"/>
      <c r="O143" s="507"/>
      <c r="P143" s="506"/>
      <c r="Q143" s="506"/>
      <c r="R143" s="506"/>
      <c r="S143" s="506"/>
      <c r="U143" s="508"/>
      <c r="AF143" s="508"/>
      <c r="AI143" s="506"/>
      <c r="AJ143" s="508"/>
      <c r="AK143" s="508"/>
      <c r="AM143" s="508"/>
      <c r="AO143" s="508"/>
      <c r="AV143" s="827"/>
      <c r="AW143" s="827"/>
      <c r="AX143" s="827"/>
      <c r="AY143" s="827"/>
      <c r="AZ143" s="827"/>
      <c r="BA143" s="827"/>
      <c r="BB143" s="506"/>
      <c r="BC143" s="506"/>
      <c r="BD143" s="506"/>
      <c r="BE143" s="506"/>
      <c r="BF143" s="506"/>
      <c r="BG143" s="506"/>
      <c r="BH143" s="826"/>
      <c r="BI143" s="826"/>
      <c r="BJ143" s="826"/>
      <c r="BK143" s="826"/>
      <c r="BL143" s="826"/>
      <c r="BN143" s="826"/>
      <c r="BO143" s="826"/>
      <c r="BP143" s="826"/>
      <c r="BQ143" s="826"/>
      <c r="BR143" s="826"/>
      <c r="BS143" s="826"/>
      <c r="BT143" s="826"/>
      <c r="BU143" s="826"/>
      <c r="BV143" s="826"/>
      <c r="BW143" s="826"/>
      <c r="BX143" s="826"/>
      <c r="BY143" s="826"/>
      <c r="BZ143" s="508"/>
      <c r="CA143" s="508"/>
      <c r="CB143" s="826"/>
      <c r="CC143" s="508"/>
      <c r="CD143" s="508"/>
      <c r="CE143" s="508"/>
      <c r="CF143" s="508"/>
      <c r="CG143" s="508"/>
      <c r="CH143" s="508"/>
    </row>
    <row r="144" spans="8:86" s="154" customFormat="1">
      <c r="H144" s="828"/>
      <c r="I144" s="829"/>
      <c r="J144" s="829"/>
      <c r="K144" s="828"/>
      <c r="N144" s="506"/>
      <c r="O144" s="507"/>
      <c r="P144" s="506"/>
      <c r="Q144" s="506"/>
      <c r="R144" s="506"/>
      <c r="S144" s="506"/>
      <c r="U144" s="508"/>
      <c r="AF144" s="508"/>
      <c r="AI144" s="506"/>
      <c r="AJ144" s="508"/>
      <c r="AK144" s="508"/>
      <c r="AM144" s="508"/>
      <c r="AO144" s="508"/>
      <c r="AV144" s="827"/>
      <c r="AW144" s="827"/>
      <c r="AX144" s="827"/>
      <c r="AY144" s="827"/>
      <c r="AZ144" s="827"/>
      <c r="BA144" s="827"/>
      <c r="BB144" s="506"/>
      <c r="BC144" s="506"/>
      <c r="BD144" s="506"/>
      <c r="BE144" s="506"/>
      <c r="BF144" s="506"/>
      <c r="BG144" s="506"/>
      <c r="BH144" s="826"/>
      <c r="BI144" s="826"/>
      <c r="BJ144" s="826"/>
      <c r="BK144" s="826"/>
      <c r="BL144" s="826"/>
      <c r="BN144" s="826"/>
      <c r="BO144" s="826"/>
      <c r="BP144" s="826"/>
      <c r="BQ144" s="826"/>
      <c r="BR144" s="826"/>
      <c r="BS144" s="826"/>
      <c r="BT144" s="826"/>
      <c r="BU144" s="826"/>
      <c r="BV144" s="826"/>
      <c r="BW144" s="826"/>
      <c r="BX144" s="826"/>
      <c r="BY144" s="826"/>
      <c r="BZ144" s="508"/>
      <c r="CA144" s="508"/>
      <c r="CB144" s="826"/>
      <c r="CC144" s="508"/>
      <c r="CD144" s="508"/>
      <c r="CE144" s="508"/>
      <c r="CF144" s="508"/>
      <c r="CG144" s="508"/>
      <c r="CH144" s="508"/>
    </row>
    <row r="145" spans="8:86" s="154" customFormat="1">
      <c r="H145" s="828"/>
      <c r="I145" s="829"/>
      <c r="J145" s="829"/>
      <c r="K145" s="828"/>
      <c r="N145" s="506"/>
      <c r="O145" s="507"/>
      <c r="P145" s="506"/>
      <c r="Q145" s="506"/>
      <c r="R145" s="506"/>
      <c r="S145" s="506"/>
      <c r="U145" s="508"/>
      <c r="AF145" s="508"/>
      <c r="AI145" s="506"/>
      <c r="AJ145" s="508"/>
      <c r="AK145" s="508"/>
      <c r="AM145" s="508"/>
      <c r="AO145" s="508"/>
      <c r="AV145" s="827"/>
      <c r="AW145" s="827"/>
      <c r="AX145" s="827"/>
      <c r="AY145" s="827"/>
      <c r="AZ145" s="827"/>
      <c r="BA145" s="827"/>
      <c r="BB145" s="506"/>
      <c r="BC145" s="506"/>
      <c r="BD145" s="506"/>
      <c r="BE145" s="506"/>
      <c r="BF145" s="506"/>
      <c r="BG145" s="506"/>
      <c r="BH145" s="826"/>
      <c r="BI145" s="826"/>
      <c r="BJ145" s="826"/>
      <c r="BK145" s="826"/>
      <c r="BL145" s="826"/>
      <c r="BN145" s="826"/>
      <c r="BO145" s="826"/>
      <c r="BP145" s="826"/>
      <c r="BQ145" s="826"/>
      <c r="BR145" s="826"/>
      <c r="BS145" s="826"/>
      <c r="BT145" s="826"/>
      <c r="BU145" s="826"/>
      <c r="BV145" s="826"/>
      <c r="BW145" s="826"/>
      <c r="BX145" s="826"/>
      <c r="BY145" s="826"/>
      <c r="BZ145" s="508"/>
      <c r="CA145" s="508"/>
      <c r="CB145" s="826"/>
      <c r="CC145" s="508"/>
      <c r="CD145" s="508"/>
      <c r="CE145" s="508"/>
      <c r="CF145" s="508"/>
      <c r="CG145" s="508"/>
      <c r="CH145" s="508"/>
    </row>
    <row r="146" spans="8:86" s="154" customFormat="1">
      <c r="H146" s="828"/>
      <c r="I146" s="829"/>
      <c r="J146" s="829"/>
      <c r="K146" s="828"/>
      <c r="N146" s="506"/>
      <c r="O146" s="507"/>
      <c r="P146" s="506"/>
      <c r="Q146" s="506"/>
      <c r="R146" s="506"/>
      <c r="S146" s="506"/>
      <c r="U146" s="508"/>
      <c r="AF146" s="508"/>
      <c r="AI146" s="506"/>
      <c r="AJ146" s="508"/>
      <c r="AK146" s="508"/>
      <c r="AM146" s="508"/>
      <c r="AO146" s="508"/>
      <c r="AV146" s="827"/>
      <c r="AW146" s="827"/>
      <c r="AX146" s="827"/>
      <c r="AY146" s="827"/>
      <c r="AZ146" s="827"/>
      <c r="BA146" s="827"/>
      <c r="BB146" s="506"/>
      <c r="BC146" s="506"/>
      <c r="BD146" s="506"/>
      <c r="BE146" s="506"/>
      <c r="BF146" s="506"/>
      <c r="BG146" s="506"/>
      <c r="BH146" s="826"/>
      <c r="BI146" s="826"/>
      <c r="BJ146" s="826"/>
      <c r="BK146" s="826"/>
      <c r="BL146" s="826"/>
      <c r="BN146" s="826"/>
      <c r="BO146" s="826"/>
      <c r="BP146" s="826"/>
      <c r="BQ146" s="826"/>
      <c r="BR146" s="826"/>
      <c r="BS146" s="826"/>
      <c r="BT146" s="826"/>
      <c r="BU146" s="826"/>
      <c r="BV146" s="826"/>
      <c r="BW146" s="826"/>
      <c r="BX146" s="826"/>
      <c r="BY146" s="826"/>
      <c r="BZ146" s="508"/>
      <c r="CA146" s="508"/>
      <c r="CB146" s="826"/>
      <c r="CC146" s="508"/>
      <c r="CD146" s="508"/>
      <c r="CE146" s="508"/>
      <c r="CF146" s="508"/>
      <c r="CG146" s="508"/>
      <c r="CH146" s="508"/>
    </row>
    <row r="147" spans="8:86" s="154" customFormat="1">
      <c r="H147" s="828"/>
      <c r="I147" s="829"/>
      <c r="J147" s="829"/>
      <c r="K147" s="828"/>
      <c r="N147" s="506"/>
      <c r="O147" s="507"/>
      <c r="P147" s="506"/>
      <c r="Q147" s="506"/>
      <c r="R147" s="506"/>
      <c r="S147" s="506"/>
      <c r="U147" s="508"/>
      <c r="AF147" s="508"/>
      <c r="AI147" s="506"/>
      <c r="AJ147" s="508"/>
      <c r="AK147" s="508"/>
      <c r="AM147" s="508"/>
      <c r="AO147" s="508"/>
      <c r="AV147" s="827"/>
      <c r="AW147" s="827"/>
      <c r="AX147" s="827"/>
      <c r="AY147" s="827"/>
      <c r="AZ147" s="827"/>
      <c r="BA147" s="827"/>
      <c r="BB147" s="506"/>
      <c r="BC147" s="506"/>
      <c r="BD147" s="506"/>
      <c r="BE147" s="506"/>
      <c r="BF147" s="506"/>
      <c r="BG147" s="506"/>
      <c r="BH147" s="826"/>
      <c r="BI147" s="826"/>
      <c r="BJ147" s="826"/>
      <c r="BK147" s="826"/>
      <c r="BL147" s="826"/>
      <c r="BN147" s="826"/>
      <c r="BO147" s="826"/>
      <c r="BP147" s="826"/>
      <c r="BQ147" s="826"/>
      <c r="BR147" s="826"/>
      <c r="BS147" s="826"/>
      <c r="BT147" s="826"/>
      <c r="BU147" s="826"/>
      <c r="BV147" s="826"/>
      <c r="BW147" s="826"/>
      <c r="BX147" s="826"/>
      <c r="BY147" s="826"/>
      <c r="BZ147" s="508"/>
      <c r="CA147" s="508"/>
      <c r="CB147" s="826"/>
      <c r="CC147" s="508"/>
      <c r="CD147" s="508"/>
      <c r="CE147" s="508"/>
      <c r="CF147" s="508"/>
      <c r="CG147" s="508"/>
      <c r="CH147" s="508"/>
    </row>
    <row r="148" spans="8:86" s="154" customFormat="1">
      <c r="H148" s="828"/>
      <c r="I148" s="829"/>
      <c r="J148" s="829"/>
      <c r="K148" s="828"/>
      <c r="N148" s="506"/>
      <c r="O148" s="507"/>
      <c r="P148" s="506"/>
      <c r="Q148" s="506"/>
      <c r="R148" s="506"/>
      <c r="S148" s="506"/>
      <c r="U148" s="508"/>
      <c r="AF148" s="508"/>
      <c r="AI148" s="506"/>
      <c r="AJ148" s="508"/>
      <c r="AK148" s="508"/>
      <c r="AM148" s="508"/>
      <c r="AO148" s="508"/>
      <c r="AV148" s="827"/>
      <c r="AW148" s="827"/>
      <c r="AX148" s="827"/>
      <c r="AY148" s="827"/>
      <c r="AZ148" s="827"/>
      <c r="BA148" s="827"/>
      <c r="BB148" s="506"/>
      <c r="BC148" s="506"/>
      <c r="BD148" s="506"/>
      <c r="BE148" s="506"/>
      <c r="BF148" s="506"/>
      <c r="BG148" s="506"/>
      <c r="BH148" s="826"/>
      <c r="BI148" s="826"/>
      <c r="BJ148" s="826"/>
      <c r="BK148" s="826"/>
      <c r="BL148" s="826"/>
      <c r="BN148" s="826"/>
      <c r="BO148" s="826"/>
      <c r="BP148" s="826"/>
      <c r="BQ148" s="826"/>
      <c r="BR148" s="826"/>
      <c r="BS148" s="826"/>
      <c r="BT148" s="826"/>
      <c r="BU148" s="826"/>
      <c r="BV148" s="826"/>
      <c r="BW148" s="826"/>
      <c r="BX148" s="826"/>
      <c r="BY148" s="826"/>
      <c r="BZ148" s="508"/>
      <c r="CA148" s="508"/>
      <c r="CB148" s="826"/>
      <c r="CC148" s="508"/>
      <c r="CD148" s="508"/>
      <c r="CE148" s="508"/>
      <c r="CF148" s="508"/>
      <c r="CG148" s="508"/>
      <c r="CH148" s="508"/>
    </row>
    <row r="149" spans="8:86" s="154" customFormat="1">
      <c r="H149" s="828"/>
      <c r="I149" s="829"/>
      <c r="J149" s="829"/>
      <c r="K149" s="828"/>
      <c r="N149" s="506"/>
      <c r="O149" s="507"/>
      <c r="P149" s="506"/>
      <c r="Q149" s="506"/>
      <c r="R149" s="506"/>
      <c r="S149" s="506"/>
      <c r="U149" s="508"/>
      <c r="AF149" s="508"/>
      <c r="AI149" s="506"/>
      <c r="AJ149" s="508"/>
      <c r="AK149" s="508"/>
      <c r="AM149" s="508"/>
      <c r="AO149" s="508"/>
      <c r="AV149" s="827"/>
      <c r="AW149" s="827"/>
      <c r="AX149" s="827"/>
      <c r="AY149" s="827"/>
      <c r="AZ149" s="827"/>
      <c r="BA149" s="827"/>
      <c r="BB149" s="506"/>
      <c r="BC149" s="506"/>
      <c r="BD149" s="506"/>
      <c r="BE149" s="506"/>
      <c r="BF149" s="506"/>
      <c r="BG149" s="506"/>
      <c r="BH149" s="826"/>
      <c r="BI149" s="826"/>
      <c r="BJ149" s="826"/>
      <c r="BK149" s="826"/>
      <c r="BL149" s="826"/>
      <c r="BN149" s="826"/>
      <c r="BO149" s="826"/>
      <c r="BP149" s="826"/>
      <c r="BQ149" s="826"/>
      <c r="BR149" s="826"/>
      <c r="BS149" s="826"/>
      <c r="BT149" s="826"/>
      <c r="BU149" s="826"/>
      <c r="BV149" s="826"/>
      <c r="BW149" s="826"/>
      <c r="BX149" s="826"/>
      <c r="BY149" s="826"/>
      <c r="BZ149" s="508"/>
      <c r="CA149" s="508"/>
      <c r="CB149" s="826"/>
      <c r="CC149" s="508"/>
      <c r="CD149" s="508"/>
      <c r="CE149" s="508"/>
      <c r="CF149" s="508"/>
      <c r="CG149" s="508"/>
      <c r="CH149" s="508"/>
    </row>
    <row r="150" spans="8:86" s="154" customFormat="1">
      <c r="H150" s="828"/>
      <c r="I150" s="829"/>
      <c r="J150" s="829"/>
      <c r="K150" s="828"/>
      <c r="N150" s="506"/>
      <c r="O150" s="507"/>
      <c r="P150" s="506"/>
      <c r="Q150" s="506"/>
      <c r="R150" s="506"/>
      <c r="S150" s="506"/>
      <c r="U150" s="508"/>
      <c r="AF150" s="508"/>
      <c r="AI150" s="506"/>
      <c r="AJ150" s="508"/>
      <c r="AK150" s="508"/>
      <c r="AM150" s="508"/>
      <c r="AO150" s="508"/>
      <c r="AV150" s="827"/>
      <c r="AW150" s="827"/>
      <c r="AX150" s="827"/>
      <c r="AY150" s="827"/>
      <c r="AZ150" s="827"/>
      <c r="BA150" s="827"/>
      <c r="BB150" s="506"/>
      <c r="BC150" s="506"/>
      <c r="BD150" s="506"/>
      <c r="BE150" s="506"/>
      <c r="BF150" s="506"/>
      <c r="BG150" s="506"/>
      <c r="BH150" s="826"/>
      <c r="BI150" s="826"/>
      <c r="BJ150" s="826"/>
      <c r="BK150" s="826"/>
      <c r="BL150" s="826"/>
      <c r="BN150" s="826"/>
      <c r="BO150" s="826"/>
      <c r="BP150" s="826"/>
      <c r="BQ150" s="826"/>
      <c r="BR150" s="826"/>
      <c r="BS150" s="826"/>
      <c r="BT150" s="826"/>
      <c r="BU150" s="826"/>
      <c r="BV150" s="826"/>
      <c r="BW150" s="826"/>
      <c r="BX150" s="826"/>
      <c r="BY150" s="826"/>
      <c r="BZ150" s="508"/>
      <c r="CA150" s="508"/>
      <c r="CB150" s="826"/>
      <c r="CC150" s="508"/>
      <c r="CD150" s="508"/>
      <c r="CE150" s="508"/>
      <c r="CF150" s="508"/>
      <c r="CG150" s="508"/>
      <c r="CH150" s="508"/>
    </row>
    <row r="151" spans="8:86" s="154" customFormat="1">
      <c r="H151" s="828"/>
      <c r="I151" s="829"/>
      <c r="J151" s="829"/>
      <c r="K151" s="828"/>
      <c r="N151" s="506"/>
      <c r="O151" s="507"/>
      <c r="P151" s="506"/>
      <c r="Q151" s="506"/>
      <c r="R151" s="506"/>
      <c r="S151" s="506"/>
      <c r="U151" s="508"/>
      <c r="AF151" s="508"/>
      <c r="AI151" s="506"/>
      <c r="AJ151" s="508"/>
      <c r="AK151" s="508"/>
      <c r="AM151" s="508"/>
      <c r="AO151" s="508"/>
      <c r="AV151" s="827"/>
      <c r="AW151" s="827"/>
      <c r="AX151" s="827"/>
      <c r="AY151" s="827"/>
      <c r="AZ151" s="827"/>
      <c r="BA151" s="827"/>
      <c r="BB151" s="506"/>
      <c r="BC151" s="506"/>
      <c r="BD151" s="506"/>
      <c r="BE151" s="506"/>
      <c r="BF151" s="506"/>
      <c r="BG151" s="506"/>
      <c r="BH151" s="826"/>
      <c r="BI151" s="826"/>
      <c r="BJ151" s="826"/>
      <c r="BK151" s="826"/>
      <c r="BL151" s="826"/>
      <c r="BN151" s="826"/>
      <c r="BO151" s="826"/>
      <c r="BP151" s="826"/>
      <c r="BQ151" s="826"/>
      <c r="BR151" s="826"/>
      <c r="BS151" s="826"/>
      <c r="BT151" s="826"/>
      <c r="BU151" s="826"/>
      <c r="BV151" s="826"/>
      <c r="BW151" s="826"/>
      <c r="BX151" s="826"/>
      <c r="BY151" s="826"/>
      <c r="BZ151" s="508"/>
      <c r="CA151" s="508"/>
      <c r="CB151" s="826"/>
      <c r="CC151" s="508"/>
      <c r="CD151" s="508"/>
      <c r="CE151" s="508"/>
      <c r="CF151" s="508"/>
      <c r="CG151" s="508"/>
      <c r="CH151" s="508"/>
    </row>
    <row r="152" spans="8:86" s="154" customFormat="1">
      <c r="H152" s="828"/>
      <c r="I152" s="829"/>
      <c r="J152" s="829"/>
      <c r="K152" s="828"/>
      <c r="N152" s="506"/>
      <c r="O152" s="507"/>
      <c r="P152" s="506"/>
      <c r="Q152" s="506"/>
      <c r="R152" s="506"/>
      <c r="S152" s="506"/>
      <c r="U152" s="508"/>
      <c r="AF152" s="508"/>
      <c r="AI152" s="506"/>
      <c r="AJ152" s="508"/>
      <c r="AK152" s="508"/>
      <c r="AM152" s="508"/>
      <c r="AO152" s="508"/>
      <c r="AV152" s="827"/>
      <c r="AW152" s="827"/>
      <c r="AX152" s="827"/>
      <c r="AY152" s="827"/>
      <c r="AZ152" s="827"/>
      <c r="BA152" s="827"/>
      <c r="BB152" s="506"/>
      <c r="BC152" s="506"/>
      <c r="BD152" s="506"/>
      <c r="BE152" s="506"/>
      <c r="BF152" s="506"/>
      <c r="BG152" s="506"/>
      <c r="BH152" s="826"/>
      <c r="BI152" s="826"/>
      <c r="BJ152" s="826"/>
      <c r="BK152" s="826"/>
      <c r="BL152" s="826"/>
      <c r="BN152" s="826"/>
      <c r="BO152" s="826"/>
      <c r="BP152" s="826"/>
      <c r="BQ152" s="826"/>
      <c r="BR152" s="826"/>
      <c r="BS152" s="826"/>
      <c r="BT152" s="826"/>
      <c r="BU152" s="826"/>
      <c r="BV152" s="826"/>
      <c r="BW152" s="826"/>
      <c r="BX152" s="826"/>
      <c r="BY152" s="826"/>
      <c r="BZ152" s="508"/>
      <c r="CA152" s="508"/>
      <c r="CB152" s="826"/>
      <c r="CC152" s="508"/>
      <c r="CD152" s="508"/>
      <c r="CE152" s="508"/>
      <c r="CF152" s="508"/>
      <c r="CG152" s="508"/>
      <c r="CH152" s="508"/>
    </row>
    <row r="153" spans="8:86" s="154" customFormat="1">
      <c r="H153" s="828"/>
      <c r="I153" s="829"/>
      <c r="J153" s="829"/>
      <c r="K153" s="828"/>
      <c r="N153" s="506"/>
      <c r="O153" s="507"/>
      <c r="P153" s="506"/>
      <c r="Q153" s="506"/>
      <c r="R153" s="506"/>
      <c r="S153" s="506"/>
      <c r="U153" s="508"/>
      <c r="AF153" s="508"/>
      <c r="AI153" s="506"/>
      <c r="AJ153" s="508"/>
      <c r="AK153" s="508"/>
      <c r="AM153" s="508"/>
      <c r="AO153" s="508"/>
      <c r="AV153" s="827"/>
      <c r="AW153" s="827"/>
      <c r="AX153" s="827"/>
      <c r="AY153" s="827"/>
      <c r="AZ153" s="827"/>
      <c r="BA153" s="827"/>
      <c r="BB153" s="506"/>
      <c r="BC153" s="506"/>
      <c r="BD153" s="506"/>
      <c r="BE153" s="506"/>
      <c r="BF153" s="506"/>
      <c r="BG153" s="506"/>
      <c r="BH153" s="826"/>
      <c r="BI153" s="826"/>
      <c r="BJ153" s="826"/>
      <c r="BK153" s="826"/>
      <c r="BL153" s="826"/>
      <c r="BN153" s="826"/>
      <c r="BO153" s="826"/>
      <c r="BP153" s="826"/>
      <c r="BQ153" s="826"/>
      <c r="BR153" s="826"/>
      <c r="BS153" s="826"/>
      <c r="BT153" s="826"/>
      <c r="BU153" s="826"/>
      <c r="BV153" s="826"/>
      <c r="BW153" s="826"/>
      <c r="BX153" s="826"/>
      <c r="BY153" s="826"/>
      <c r="BZ153" s="508"/>
      <c r="CA153" s="508"/>
      <c r="CB153" s="826"/>
      <c r="CC153" s="508"/>
      <c r="CD153" s="508"/>
      <c r="CE153" s="508"/>
      <c r="CF153" s="508"/>
      <c r="CG153" s="508"/>
      <c r="CH153" s="508"/>
    </row>
    <row r="154" spans="8:86" s="154" customFormat="1">
      <c r="H154" s="828"/>
      <c r="I154" s="829"/>
      <c r="J154" s="829"/>
      <c r="K154" s="828"/>
      <c r="N154" s="506"/>
      <c r="O154" s="507"/>
      <c r="P154" s="506"/>
      <c r="Q154" s="506"/>
      <c r="R154" s="506"/>
      <c r="S154" s="506"/>
      <c r="U154" s="508"/>
      <c r="AF154" s="508"/>
      <c r="AI154" s="506"/>
      <c r="AJ154" s="508"/>
      <c r="AK154" s="508"/>
      <c r="AM154" s="508"/>
      <c r="AO154" s="508"/>
      <c r="AV154" s="827"/>
      <c r="AW154" s="827"/>
      <c r="AX154" s="827"/>
      <c r="AY154" s="827"/>
      <c r="AZ154" s="827"/>
      <c r="BA154" s="827"/>
      <c r="BB154" s="506"/>
      <c r="BC154" s="506"/>
      <c r="BD154" s="506"/>
      <c r="BE154" s="506"/>
      <c r="BF154" s="506"/>
      <c r="BG154" s="506"/>
      <c r="BH154" s="826"/>
      <c r="BI154" s="826"/>
      <c r="BJ154" s="826"/>
      <c r="BK154" s="826"/>
      <c r="BL154" s="826"/>
      <c r="BN154" s="826"/>
      <c r="BO154" s="826"/>
      <c r="BP154" s="826"/>
      <c r="BQ154" s="826"/>
      <c r="BR154" s="826"/>
      <c r="BS154" s="826"/>
      <c r="BT154" s="826"/>
      <c r="BU154" s="826"/>
      <c r="BV154" s="826"/>
      <c r="BW154" s="826"/>
      <c r="BX154" s="826"/>
      <c r="BY154" s="826"/>
      <c r="BZ154" s="508"/>
      <c r="CA154" s="508"/>
      <c r="CB154" s="826"/>
      <c r="CC154" s="508"/>
      <c r="CD154" s="508"/>
      <c r="CE154" s="508"/>
      <c r="CF154" s="508"/>
      <c r="CG154" s="508"/>
      <c r="CH154" s="508"/>
    </row>
    <row r="155" spans="8:86" s="154" customFormat="1">
      <c r="H155" s="828"/>
      <c r="I155" s="829"/>
      <c r="J155" s="829"/>
      <c r="K155" s="828"/>
      <c r="N155" s="506"/>
      <c r="O155" s="507"/>
      <c r="P155" s="506"/>
      <c r="Q155" s="506"/>
      <c r="R155" s="506"/>
      <c r="S155" s="506"/>
      <c r="U155" s="508"/>
      <c r="AF155" s="508"/>
      <c r="AI155" s="506"/>
      <c r="AJ155" s="508"/>
      <c r="AK155" s="508"/>
      <c r="AM155" s="508"/>
      <c r="AO155" s="508"/>
      <c r="AV155" s="827"/>
      <c r="AW155" s="827"/>
      <c r="AX155" s="827"/>
      <c r="AY155" s="827"/>
      <c r="AZ155" s="827"/>
      <c r="BA155" s="827"/>
      <c r="BB155" s="506"/>
      <c r="BC155" s="506"/>
      <c r="BD155" s="506"/>
      <c r="BE155" s="506"/>
      <c r="BF155" s="506"/>
      <c r="BG155" s="506"/>
      <c r="BH155" s="826"/>
      <c r="BI155" s="826"/>
      <c r="BJ155" s="826"/>
      <c r="BK155" s="826"/>
      <c r="BL155" s="826"/>
      <c r="BN155" s="826"/>
      <c r="BO155" s="826"/>
      <c r="BP155" s="826"/>
      <c r="BQ155" s="826"/>
      <c r="BR155" s="826"/>
      <c r="BS155" s="826"/>
      <c r="BT155" s="826"/>
      <c r="BU155" s="826"/>
      <c r="BV155" s="826"/>
      <c r="BW155" s="826"/>
      <c r="BX155" s="826"/>
      <c r="BY155" s="826"/>
      <c r="BZ155" s="508"/>
      <c r="CA155" s="508"/>
      <c r="CB155" s="826"/>
      <c r="CC155" s="508"/>
      <c r="CD155" s="508"/>
      <c r="CE155" s="508"/>
      <c r="CF155" s="508"/>
      <c r="CG155" s="508"/>
      <c r="CH155" s="508"/>
    </row>
    <row r="156" spans="8:86" s="154" customFormat="1">
      <c r="H156" s="828"/>
      <c r="I156" s="829"/>
      <c r="J156" s="829"/>
      <c r="K156" s="828"/>
      <c r="N156" s="506"/>
      <c r="O156" s="507"/>
      <c r="P156" s="506"/>
      <c r="Q156" s="506"/>
      <c r="R156" s="506"/>
      <c r="S156" s="506"/>
      <c r="U156" s="508"/>
      <c r="AF156" s="508"/>
      <c r="AI156" s="506"/>
      <c r="AJ156" s="508"/>
      <c r="AK156" s="508"/>
      <c r="AM156" s="508"/>
      <c r="AO156" s="508"/>
      <c r="AV156" s="827"/>
      <c r="AW156" s="827"/>
      <c r="AX156" s="827"/>
      <c r="AY156" s="827"/>
      <c r="AZ156" s="827"/>
      <c r="BA156" s="827"/>
      <c r="BB156" s="506"/>
      <c r="BC156" s="506"/>
      <c r="BD156" s="506"/>
      <c r="BE156" s="506"/>
      <c r="BF156" s="506"/>
      <c r="BG156" s="506"/>
      <c r="BH156" s="826"/>
      <c r="BI156" s="826"/>
      <c r="BJ156" s="826"/>
      <c r="BK156" s="826"/>
      <c r="BL156" s="826"/>
      <c r="BN156" s="826"/>
      <c r="BO156" s="826"/>
      <c r="BP156" s="826"/>
      <c r="BQ156" s="826"/>
      <c r="BR156" s="826"/>
      <c r="BS156" s="826"/>
      <c r="BT156" s="826"/>
      <c r="BU156" s="826"/>
      <c r="BV156" s="826"/>
      <c r="BW156" s="826"/>
      <c r="BX156" s="826"/>
      <c r="BY156" s="826"/>
      <c r="BZ156" s="508"/>
      <c r="CA156" s="508"/>
      <c r="CB156" s="826"/>
      <c r="CC156" s="508"/>
      <c r="CD156" s="508"/>
      <c r="CE156" s="508"/>
      <c r="CF156" s="508"/>
      <c r="CG156" s="508"/>
      <c r="CH156" s="508"/>
    </row>
    <row r="157" spans="8:86" s="154" customFormat="1">
      <c r="H157" s="828"/>
      <c r="I157" s="829"/>
      <c r="J157" s="829"/>
      <c r="K157" s="828"/>
      <c r="N157" s="506"/>
      <c r="O157" s="507"/>
      <c r="P157" s="506"/>
      <c r="Q157" s="506"/>
      <c r="R157" s="506"/>
      <c r="S157" s="506"/>
      <c r="U157" s="508"/>
      <c r="AF157" s="508"/>
      <c r="AI157" s="506"/>
      <c r="AJ157" s="508"/>
      <c r="AK157" s="508"/>
      <c r="AM157" s="508"/>
      <c r="AO157" s="508"/>
      <c r="AV157" s="827"/>
      <c r="AW157" s="827"/>
      <c r="AX157" s="827"/>
      <c r="AY157" s="827"/>
      <c r="AZ157" s="827"/>
      <c r="BA157" s="827"/>
      <c r="BB157" s="506"/>
      <c r="BC157" s="506"/>
      <c r="BD157" s="506"/>
      <c r="BE157" s="506"/>
      <c r="BF157" s="506"/>
      <c r="BG157" s="506"/>
      <c r="BH157" s="826"/>
      <c r="BI157" s="826"/>
      <c r="BJ157" s="826"/>
      <c r="BK157" s="826"/>
      <c r="BL157" s="826"/>
      <c r="BN157" s="826"/>
      <c r="BO157" s="826"/>
      <c r="BP157" s="826"/>
      <c r="BQ157" s="826"/>
      <c r="BR157" s="826"/>
      <c r="BS157" s="826"/>
      <c r="BT157" s="826"/>
      <c r="BU157" s="826"/>
      <c r="BV157" s="826"/>
      <c r="BW157" s="826"/>
      <c r="BX157" s="826"/>
      <c r="BY157" s="826"/>
      <c r="BZ157" s="508"/>
      <c r="CA157" s="508"/>
      <c r="CB157" s="826"/>
      <c r="CC157" s="508"/>
      <c r="CD157" s="508"/>
      <c r="CE157" s="508"/>
      <c r="CF157" s="508"/>
      <c r="CG157" s="508"/>
      <c r="CH157" s="508"/>
    </row>
    <row r="158" spans="8:86" s="154" customFormat="1">
      <c r="H158" s="828"/>
      <c r="I158" s="829"/>
      <c r="J158" s="829"/>
      <c r="K158" s="828"/>
      <c r="N158" s="506"/>
      <c r="O158" s="507"/>
      <c r="P158" s="506"/>
      <c r="Q158" s="506"/>
      <c r="R158" s="506"/>
      <c r="S158" s="506"/>
      <c r="U158" s="508"/>
      <c r="AF158" s="508"/>
      <c r="AI158" s="506"/>
      <c r="AJ158" s="508"/>
      <c r="AK158" s="508"/>
      <c r="AM158" s="508"/>
      <c r="AO158" s="508"/>
      <c r="AV158" s="827"/>
      <c r="AW158" s="827"/>
      <c r="AX158" s="827"/>
      <c r="AY158" s="827"/>
      <c r="AZ158" s="827"/>
      <c r="BA158" s="827"/>
      <c r="BB158" s="506"/>
      <c r="BC158" s="506"/>
      <c r="BD158" s="506"/>
      <c r="BE158" s="506"/>
      <c r="BF158" s="506"/>
      <c r="BG158" s="506"/>
      <c r="BH158" s="826"/>
      <c r="BI158" s="826"/>
      <c r="BJ158" s="826"/>
      <c r="BK158" s="826"/>
      <c r="BL158" s="826"/>
      <c r="BN158" s="826"/>
      <c r="BO158" s="826"/>
      <c r="BP158" s="826"/>
      <c r="BQ158" s="826"/>
      <c r="BR158" s="826"/>
      <c r="BS158" s="826"/>
      <c r="BT158" s="826"/>
      <c r="BU158" s="826"/>
      <c r="BV158" s="826"/>
      <c r="BW158" s="826"/>
      <c r="BX158" s="826"/>
      <c r="BY158" s="826"/>
      <c r="BZ158" s="508"/>
      <c r="CA158" s="508"/>
      <c r="CB158" s="826"/>
      <c r="CC158" s="508"/>
      <c r="CD158" s="508"/>
      <c r="CE158" s="508"/>
      <c r="CF158" s="508"/>
      <c r="CG158" s="508"/>
      <c r="CH158" s="508"/>
    </row>
    <row r="159" spans="8:86" s="154" customFormat="1">
      <c r="H159" s="828"/>
      <c r="I159" s="829"/>
      <c r="J159" s="829"/>
      <c r="K159" s="828"/>
      <c r="N159" s="506"/>
      <c r="O159" s="507"/>
      <c r="P159" s="506"/>
      <c r="Q159" s="506"/>
      <c r="R159" s="506"/>
      <c r="S159" s="506"/>
      <c r="U159" s="508"/>
      <c r="AF159" s="508"/>
      <c r="AI159" s="506"/>
      <c r="AJ159" s="508"/>
      <c r="AK159" s="508"/>
      <c r="AM159" s="508"/>
      <c r="AO159" s="508"/>
      <c r="AV159" s="827"/>
      <c r="AW159" s="827"/>
      <c r="AX159" s="827"/>
      <c r="AY159" s="827"/>
      <c r="AZ159" s="827"/>
      <c r="BA159" s="827"/>
      <c r="BB159" s="506"/>
      <c r="BC159" s="506"/>
      <c r="BD159" s="506"/>
      <c r="BE159" s="506"/>
      <c r="BF159" s="506"/>
      <c r="BG159" s="506"/>
      <c r="BH159" s="826"/>
      <c r="BI159" s="826"/>
      <c r="BJ159" s="826"/>
      <c r="BK159" s="826"/>
      <c r="BL159" s="826"/>
      <c r="BN159" s="826"/>
      <c r="BO159" s="826"/>
      <c r="BP159" s="826"/>
      <c r="BQ159" s="826"/>
      <c r="BR159" s="826"/>
      <c r="BS159" s="826"/>
      <c r="BT159" s="826"/>
      <c r="BU159" s="826"/>
      <c r="BV159" s="826"/>
      <c r="BW159" s="826"/>
      <c r="BX159" s="826"/>
      <c r="BY159" s="826"/>
      <c r="BZ159" s="508"/>
      <c r="CA159" s="508"/>
      <c r="CB159" s="826"/>
      <c r="CC159" s="508"/>
      <c r="CD159" s="508"/>
      <c r="CE159" s="508"/>
      <c r="CF159" s="508"/>
      <c r="CG159" s="508"/>
      <c r="CH159" s="508"/>
    </row>
    <row r="160" spans="8:86" s="154" customFormat="1">
      <c r="H160" s="828"/>
      <c r="I160" s="829"/>
      <c r="J160" s="829"/>
      <c r="K160" s="828"/>
      <c r="N160" s="506"/>
      <c r="O160" s="507"/>
      <c r="P160" s="506"/>
      <c r="Q160" s="506"/>
      <c r="R160" s="506"/>
      <c r="S160" s="506"/>
      <c r="U160" s="508"/>
      <c r="AF160" s="508"/>
      <c r="AI160" s="506"/>
      <c r="AJ160" s="508"/>
      <c r="AK160" s="508"/>
      <c r="AM160" s="508"/>
      <c r="AO160" s="508"/>
      <c r="AV160" s="827"/>
      <c r="AW160" s="827"/>
      <c r="AX160" s="827"/>
      <c r="AY160" s="827"/>
      <c r="AZ160" s="827"/>
      <c r="BA160" s="827"/>
      <c r="BB160" s="506"/>
      <c r="BC160" s="506"/>
      <c r="BD160" s="506"/>
      <c r="BE160" s="506"/>
      <c r="BF160" s="506"/>
      <c r="BG160" s="506"/>
      <c r="BH160" s="826"/>
      <c r="BI160" s="826"/>
      <c r="BJ160" s="826"/>
      <c r="BK160" s="826"/>
      <c r="BL160" s="826"/>
      <c r="BN160" s="826"/>
      <c r="BO160" s="826"/>
      <c r="BP160" s="826"/>
      <c r="BQ160" s="826"/>
      <c r="BR160" s="826"/>
      <c r="BS160" s="826"/>
      <c r="BT160" s="826"/>
      <c r="BU160" s="826"/>
      <c r="BV160" s="826"/>
      <c r="BW160" s="826"/>
      <c r="BX160" s="826"/>
      <c r="BY160" s="826"/>
      <c r="BZ160" s="508"/>
      <c r="CA160" s="508"/>
      <c r="CB160" s="826"/>
      <c r="CC160" s="508"/>
      <c r="CD160" s="508"/>
      <c r="CE160" s="508"/>
      <c r="CF160" s="508"/>
      <c r="CG160" s="508"/>
      <c r="CH160" s="508"/>
    </row>
    <row r="161" spans="8:86" s="154" customFormat="1">
      <c r="H161" s="828"/>
      <c r="I161" s="829"/>
      <c r="J161" s="829"/>
      <c r="K161" s="828"/>
      <c r="N161" s="506"/>
      <c r="O161" s="507"/>
      <c r="P161" s="506"/>
      <c r="Q161" s="506"/>
      <c r="R161" s="506"/>
      <c r="S161" s="506"/>
      <c r="U161" s="508"/>
      <c r="AF161" s="508"/>
      <c r="AI161" s="506"/>
      <c r="AJ161" s="508"/>
      <c r="AK161" s="508"/>
      <c r="AM161" s="508"/>
      <c r="AO161" s="508"/>
      <c r="AV161" s="827"/>
      <c r="AW161" s="827"/>
      <c r="AX161" s="827"/>
      <c r="AY161" s="827"/>
      <c r="AZ161" s="827"/>
      <c r="BA161" s="827"/>
      <c r="BB161" s="506"/>
      <c r="BC161" s="506"/>
      <c r="BD161" s="506"/>
      <c r="BE161" s="506"/>
      <c r="BF161" s="506"/>
      <c r="BG161" s="506"/>
      <c r="BH161" s="826"/>
      <c r="BI161" s="826"/>
      <c r="BJ161" s="826"/>
      <c r="BK161" s="826"/>
      <c r="BL161" s="826"/>
      <c r="BN161" s="826"/>
      <c r="BO161" s="826"/>
      <c r="BP161" s="826"/>
      <c r="BQ161" s="826"/>
      <c r="BR161" s="826"/>
      <c r="BS161" s="826"/>
      <c r="BT161" s="826"/>
      <c r="BU161" s="826"/>
      <c r="BV161" s="826"/>
      <c r="BW161" s="826"/>
      <c r="BX161" s="826"/>
      <c r="BY161" s="826"/>
      <c r="BZ161" s="508"/>
      <c r="CA161" s="508"/>
      <c r="CB161" s="826"/>
      <c r="CC161" s="508"/>
      <c r="CD161" s="508"/>
      <c r="CE161" s="508"/>
      <c r="CF161" s="508"/>
      <c r="CG161" s="508"/>
      <c r="CH161" s="508"/>
    </row>
    <row r="162" spans="8:86" s="154" customFormat="1">
      <c r="H162" s="828"/>
      <c r="I162" s="829"/>
      <c r="J162" s="829"/>
      <c r="K162" s="828"/>
      <c r="N162" s="506"/>
      <c r="O162" s="507"/>
      <c r="P162" s="506"/>
      <c r="Q162" s="506"/>
      <c r="R162" s="506"/>
      <c r="S162" s="506"/>
      <c r="U162" s="508"/>
      <c r="AF162" s="508"/>
      <c r="AI162" s="506"/>
      <c r="AJ162" s="508"/>
      <c r="AK162" s="508"/>
      <c r="AM162" s="508"/>
      <c r="AO162" s="508"/>
      <c r="AV162" s="827"/>
      <c r="AW162" s="827"/>
      <c r="AX162" s="827"/>
      <c r="AY162" s="827"/>
      <c r="AZ162" s="827"/>
      <c r="BA162" s="827"/>
      <c r="BB162" s="506"/>
      <c r="BC162" s="506"/>
      <c r="BD162" s="506"/>
      <c r="BE162" s="506"/>
      <c r="BF162" s="506"/>
      <c r="BG162" s="506"/>
      <c r="BH162" s="826"/>
      <c r="BI162" s="826"/>
      <c r="BJ162" s="826"/>
      <c r="BK162" s="826"/>
      <c r="BL162" s="826"/>
      <c r="BN162" s="826"/>
      <c r="BO162" s="826"/>
      <c r="BP162" s="826"/>
      <c r="BQ162" s="826"/>
      <c r="BR162" s="826"/>
      <c r="BS162" s="826"/>
      <c r="BT162" s="826"/>
      <c r="BU162" s="826"/>
      <c r="BV162" s="826"/>
      <c r="BW162" s="826"/>
      <c r="BX162" s="826"/>
      <c r="BY162" s="826"/>
      <c r="BZ162" s="508"/>
      <c r="CA162" s="508"/>
      <c r="CB162" s="826"/>
      <c r="CC162" s="508"/>
      <c r="CD162" s="508"/>
      <c r="CE162" s="508"/>
      <c r="CF162" s="508"/>
      <c r="CG162" s="508"/>
      <c r="CH162" s="508"/>
    </row>
    <row r="163" spans="8:86" s="154" customFormat="1">
      <c r="H163" s="828"/>
      <c r="I163" s="829"/>
      <c r="J163" s="829"/>
      <c r="K163" s="828"/>
      <c r="N163" s="506"/>
      <c r="O163" s="507"/>
      <c r="P163" s="506"/>
      <c r="Q163" s="506"/>
      <c r="R163" s="506"/>
      <c r="S163" s="506"/>
      <c r="U163" s="508"/>
      <c r="AF163" s="508"/>
      <c r="AI163" s="506"/>
      <c r="AJ163" s="508"/>
      <c r="AK163" s="508"/>
      <c r="AM163" s="508"/>
      <c r="AO163" s="508"/>
      <c r="AV163" s="827"/>
      <c r="AW163" s="827"/>
      <c r="AX163" s="827"/>
      <c r="AY163" s="827"/>
      <c r="AZ163" s="827"/>
      <c r="BA163" s="827"/>
      <c r="BB163" s="506"/>
      <c r="BC163" s="506"/>
      <c r="BD163" s="506"/>
      <c r="BE163" s="506"/>
      <c r="BF163" s="506"/>
      <c r="BG163" s="506"/>
      <c r="BH163" s="826"/>
      <c r="BI163" s="826"/>
      <c r="BJ163" s="826"/>
      <c r="BK163" s="826"/>
      <c r="BL163" s="826"/>
      <c r="BN163" s="826"/>
      <c r="BO163" s="826"/>
      <c r="BP163" s="826"/>
      <c r="BQ163" s="826"/>
      <c r="BR163" s="826"/>
      <c r="BS163" s="826"/>
      <c r="BT163" s="826"/>
      <c r="BU163" s="826"/>
      <c r="BV163" s="826"/>
      <c r="BW163" s="826"/>
      <c r="BX163" s="826"/>
      <c r="BY163" s="826"/>
      <c r="BZ163" s="508"/>
      <c r="CA163" s="508"/>
      <c r="CB163" s="826"/>
      <c r="CC163" s="508"/>
      <c r="CD163" s="508"/>
      <c r="CE163" s="508"/>
      <c r="CF163" s="508"/>
      <c r="CG163" s="508"/>
      <c r="CH163" s="508"/>
    </row>
    <row r="164" spans="8:86" s="154" customFormat="1">
      <c r="H164" s="828"/>
      <c r="I164" s="829"/>
      <c r="J164" s="829"/>
      <c r="K164" s="828"/>
      <c r="N164" s="506"/>
      <c r="O164" s="507"/>
      <c r="P164" s="506"/>
      <c r="Q164" s="506"/>
      <c r="R164" s="506"/>
      <c r="S164" s="506"/>
      <c r="U164" s="508"/>
      <c r="AF164" s="508"/>
      <c r="AI164" s="506"/>
      <c r="AJ164" s="508"/>
      <c r="AK164" s="508"/>
      <c r="AM164" s="508"/>
      <c r="AO164" s="508"/>
      <c r="AV164" s="827"/>
      <c r="AW164" s="827"/>
      <c r="AX164" s="827"/>
      <c r="AY164" s="827"/>
      <c r="AZ164" s="827"/>
      <c r="BA164" s="827"/>
      <c r="BB164" s="506"/>
      <c r="BC164" s="506"/>
      <c r="BD164" s="506"/>
      <c r="BE164" s="506"/>
      <c r="BF164" s="506"/>
      <c r="BG164" s="506"/>
      <c r="BH164" s="826"/>
      <c r="BI164" s="826"/>
      <c r="BJ164" s="826"/>
      <c r="BK164" s="826"/>
      <c r="BL164" s="826"/>
      <c r="BN164" s="826"/>
      <c r="BO164" s="826"/>
      <c r="BP164" s="826"/>
      <c r="BQ164" s="826"/>
      <c r="BR164" s="826"/>
      <c r="BS164" s="826"/>
      <c r="BT164" s="826"/>
      <c r="BU164" s="826"/>
      <c r="BV164" s="826"/>
      <c r="BW164" s="826"/>
      <c r="BX164" s="826"/>
      <c r="BY164" s="826"/>
      <c r="BZ164" s="508"/>
      <c r="CA164" s="508"/>
      <c r="CB164" s="826"/>
      <c r="CC164" s="508"/>
      <c r="CD164" s="508"/>
      <c r="CE164" s="508"/>
      <c r="CF164" s="508"/>
      <c r="CG164" s="508"/>
      <c r="CH164" s="508"/>
    </row>
    <row r="165" spans="8:86" s="154" customFormat="1">
      <c r="H165" s="828"/>
      <c r="I165" s="829"/>
      <c r="J165" s="829"/>
      <c r="K165" s="828"/>
      <c r="N165" s="506"/>
      <c r="O165" s="507"/>
      <c r="P165" s="506"/>
      <c r="Q165" s="506"/>
      <c r="R165" s="506"/>
      <c r="S165" s="506"/>
      <c r="U165" s="508"/>
      <c r="AF165" s="508"/>
      <c r="AI165" s="506"/>
      <c r="AJ165" s="508"/>
      <c r="AK165" s="508"/>
      <c r="AM165" s="508"/>
      <c r="AO165" s="508"/>
      <c r="AV165" s="827"/>
      <c r="AW165" s="827"/>
      <c r="AX165" s="827"/>
      <c r="AY165" s="827"/>
      <c r="AZ165" s="827"/>
      <c r="BA165" s="827"/>
      <c r="BB165" s="506"/>
      <c r="BC165" s="506"/>
      <c r="BD165" s="506"/>
      <c r="BE165" s="506"/>
      <c r="BF165" s="506"/>
      <c r="BG165" s="506"/>
      <c r="BH165" s="826"/>
      <c r="BI165" s="826"/>
      <c r="BJ165" s="826"/>
      <c r="BK165" s="826"/>
      <c r="BL165" s="826"/>
      <c r="BN165" s="826"/>
      <c r="BO165" s="826"/>
      <c r="BP165" s="826"/>
      <c r="BQ165" s="826"/>
      <c r="BR165" s="826"/>
      <c r="BS165" s="826"/>
      <c r="BT165" s="826"/>
      <c r="BU165" s="826"/>
      <c r="BV165" s="826"/>
      <c r="BW165" s="826"/>
      <c r="BX165" s="826"/>
      <c r="BY165" s="826"/>
      <c r="BZ165" s="508"/>
      <c r="CA165" s="508"/>
      <c r="CB165" s="826"/>
      <c r="CC165" s="508"/>
      <c r="CD165" s="508"/>
      <c r="CE165" s="508"/>
      <c r="CF165" s="508"/>
      <c r="CG165" s="508"/>
      <c r="CH165" s="508"/>
    </row>
    <row r="166" spans="8:86" s="154" customFormat="1">
      <c r="H166" s="828"/>
      <c r="I166" s="829"/>
      <c r="J166" s="829"/>
      <c r="K166" s="828"/>
      <c r="N166" s="506"/>
      <c r="O166" s="507"/>
      <c r="P166" s="506"/>
      <c r="Q166" s="506"/>
      <c r="R166" s="506"/>
      <c r="S166" s="506"/>
      <c r="U166" s="508"/>
      <c r="AF166" s="508"/>
      <c r="AI166" s="506"/>
      <c r="AJ166" s="508"/>
      <c r="AK166" s="508"/>
      <c r="AM166" s="508"/>
      <c r="AO166" s="508"/>
      <c r="AV166" s="827"/>
      <c r="AW166" s="827"/>
      <c r="AX166" s="827"/>
      <c r="AY166" s="827"/>
      <c r="AZ166" s="827"/>
      <c r="BA166" s="827"/>
      <c r="BB166" s="506"/>
      <c r="BC166" s="506"/>
      <c r="BD166" s="506"/>
      <c r="BE166" s="506"/>
      <c r="BF166" s="506"/>
      <c r="BG166" s="506"/>
      <c r="BH166" s="826"/>
      <c r="BI166" s="826"/>
      <c r="BJ166" s="826"/>
      <c r="BK166" s="826"/>
      <c r="BL166" s="826"/>
      <c r="BN166" s="826"/>
      <c r="BO166" s="826"/>
      <c r="BP166" s="826"/>
      <c r="BQ166" s="826"/>
      <c r="BR166" s="826"/>
      <c r="BS166" s="826"/>
      <c r="BT166" s="826"/>
      <c r="BU166" s="826"/>
      <c r="BV166" s="826"/>
      <c r="BW166" s="826"/>
      <c r="BX166" s="826"/>
      <c r="BY166" s="826"/>
      <c r="BZ166" s="508"/>
      <c r="CA166" s="508"/>
      <c r="CB166" s="826"/>
      <c r="CC166" s="508"/>
      <c r="CD166" s="508"/>
      <c r="CE166" s="508"/>
      <c r="CF166" s="508"/>
      <c r="CG166" s="508"/>
      <c r="CH166" s="508"/>
    </row>
    <row r="167" spans="8:86" s="154" customFormat="1">
      <c r="H167" s="828"/>
      <c r="I167" s="829"/>
      <c r="J167" s="829"/>
      <c r="K167" s="828"/>
      <c r="N167" s="506"/>
      <c r="O167" s="507"/>
      <c r="P167" s="506"/>
      <c r="Q167" s="506"/>
      <c r="R167" s="506"/>
      <c r="S167" s="506"/>
      <c r="U167" s="508"/>
      <c r="AF167" s="508"/>
      <c r="AI167" s="506"/>
      <c r="AJ167" s="508"/>
      <c r="AK167" s="508"/>
      <c r="AM167" s="508"/>
      <c r="AO167" s="508"/>
      <c r="AV167" s="827"/>
      <c r="AW167" s="827"/>
      <c r="AX167" s="827"/>
      <c r="AY167" s="827"/>
      <c r="AZ167" s="827"/>
      <c r="BA167" s="827"/>
      <c r="BB167" s="506"/>
      <c r="BC167" s="506"/>
      <c r="BD167" s="506"/>
      <c r="BE167" s="506"/>
      <c r="BF167" s="506"/>
      <c r="BG167" s="506"/>
      <c r="BH167" s="826"/>
      <c r="BI167" s="826"/>
      <c r="BJ167" s="826"/>
      <c r="BK167" s="826"/>
      <c r="BL167" s="826"/>
      <c r="BN167" s="826"/>
      <c r="BO167" s="826"/>
      <c r="BP167" s="826"/>
      <c r="BQ167" s="826"/>
      <c r="BR167" s="826"/>
      <c r="BS167" s="826"/>
      <c r="BT167" s="826"/>
      <c r="BU167" s="826"/>
      <c r="BV167" s="826"/>
      <c r="BW167" s="826"/>
      <c r="BX167" s="826"/>
      <c r="BY167" s="826"/>
      <c r="BZ167" s="508"/>
      <c r="CA167" s="508"/>
      <c r="CB167" s="826"/>
      <c r="CC167" s="508"/>
      <c r="CD167" s="508"/>
      <c r="CE167" s="508"/>
      <c r="CF167" s="508"/>
      <c r="CG167" s="508"/>
      <c r="CH167" s="508"/>
    </row>
    <row r="168" spans="8:86" s="154" customFormat="1">
      <c r="H168" s="828"/>
      <c r="I168" s="829"/>
      <c r="J168" s="829"/>
      <c r="K168" s="828"/>
      <c r="N168" s="506"/>
      <c r="O168" s="507"/>
      <c r="P168" s="506"/>
      <c r="Q168" s="506"/>
      <c r="R168" s="506"/>
      <c r="S168" s="506"/>
      <c r="U168" s="508"/>
      <c r="AF168" s="508"/>
      <c r="AI168" s="506"/>
      <c r="AJ168" s="508"/>
      <c r="AK168" s="508"/>
      <c r="AM168" s="508"/>
      <c r="AO168" s="508"/>
      <c r="AV168" s="827"/>
      <c r="AW168" s="827"/>
      <c r="AX168" s="827"/>
      <c r="AY168" s="827"/>
      <c r="AZ168" s="827"/>
      <c r="BA168" s="827"/>
      <c r="BB168" s="506"/>
      <c r="BC168" s="506"/>
      <c r="BD168" s="506"/>
      <c r="BE168" s="506"/>
      <c r="BF168" s="506"/>
      <c r="BG168" s="506"/>
      <c r="BH168" s="826"/>
      <c r="BI168" s="826"/>
      <c r="BJ168" s="826"/>
      <c r="BK168" s="826"/>
      <c r="BL168" s="826"/>
      <c r="BN168" s="826"/>
      <c r="BO168" s="826"/>
      <c r="BP168" s="826"/>
      <c r="BQ168" s="826"/>
      <c r="BR168" s="826"/>
      <c r="BS168" s="826"/>
      <c r="BT168" s="826"/>
      <c r="BU168" s="826"/>
      <c r="BV168" s="826"/>
      <c r="BW168" s="826"/>
      <c r="BX168" s="826"/>
      <c r="BY168" s="826"/>
      <c r="BZ168" s="508"/>
      <c r="CA168" s="508"/>
      <c r="CB168" s="826"/>
      <c r="CC168" s="508"/>
      <c r="CD168" s="508"/>
      <c r="CE168" s="508"/>
      <c r="CF168" s="508"/>
      <c r="CG168" s="508"/>
      <c r="CH168" s="508"/>
    </row>
    <row r="169" spans="8:86" s="154" customFormat="1">
      <c r="H169" s="828"/>
      <c r="I169" s="829"/>
      <c r="J169" s="829"/>
      <c r="K169" s="828"/>
      <c r="N169" s="506"/>
      <c r="O169" s="507"/>
      <c r="P169" s="506"/>
      <c r="Q169" s="506"/>
      <c r="R169" s="506"/>
      <c r="S169" s="506"/>
      <c r="U169" s="508"/>
      <c r="AF169" s="508"/>
      <c r="AI169" s="506"/>
      <c r="AJ169" s="508"/>
      <c r="AK169" s="508"/>
      <c r="AM169" s="508"/>
      <c r="AO169" s="508"/>
      <c r="AV169" s="827"/>
      <c r="AW169" s="827"/>
      <c r="AX169" s="827"/>
      <c r="AY169" s="827"/>
      <c r="AZ169" s="827"/>
      <c r="BA169" s="827"/>
      <c r="BB169" s="506"/>
      <c r="BC169" s="506"/>
      <c r="BD169" s="506"/>
      <c r="BE169" s="506"/>
      <c r="BF169" s="506"/>
      <c r="BG169" s="506"/>
      <c r="BH169" s="826"/>
      <c r="BI169" s="826"/>
      <c r="BJ169" s="826"/>
      <c r="BK169" s="826"/>
      <c r="BL169" s="826"/>
      <c r="BN169" s="826"/>
      <c r="BO169" s="826"/>
      <c r="BP169" s="826"/>
      <c r="BQ169" s="826"/>
      <c r="BR169" s="826"/>
      <c r="BS169" s="826"/>
      <c r="BT169" s="826"/>
      <c r="BU169" s="826"/>
      <c r="BV169" s="826"/>
      <c r="BW169" s="826"/>
      <c r="BX169" s="826"/>
      <c r="BY169" s="826"/>
      <c r="BZ169" s="508"/>
      <c r="CA169" s="508"/>
      <c r="CB169" s="826"/>
      <c r="CC169" s="508"/>
      <c r="CD169" s="508"/>
      <c r="CE169" s="508"/>
      <c r="CF169" s="508"/>
      <c r="CG169" s="508"/>
      <c r="CH169" s="508"/>
    </row>
    <row r="170" spans="8:86" s="154" customFormat="1">
      <c r="H170" s="828"/>
      <c r="I170" s="829"/>
      <c r="J170" s="829"/>
      <c r="K170" s="828"/>
      <c r="N170" s="506"/>
      <c r="O170" s="507"/>
      <c r="P170" s="506"/>
      <c r="Q170" s="506"/>
      <c r="R170" s="506"/>
      <c r="S170" s="506"/>
      <c r="U170" s="508"/>
      <c r="AF170" s="508"/>
      <c r="AI170" s="506"/>
      <c r="AJ170" s="508"/>
      <c r="AK170" s="508"/>
      <c r="AM170" s="508"/>
      <c r="AO170" s="508"/>
      <c r="AV170" s="827"/>
      <c r="AW170" s="827"/>
      <c r="AX170" s="827"/>
      <c r="AY170" s="827"/>
      <c r="AZ170" s="827"/>
      <c r="BA170" s="827"/>
      <c r="BB170" s="506"/>
      <c r="BC170" s="506"/>
      <c r="BD170" s="506"/>
      <c r="BE170" s="506"/>
      <c r="BF170" s="506"/>
      <c r="BG170" s="506"/>
      <c r="BH170" s="826"/>
      <c r="BI170" s="826"/>
      <c r="BJ170" s="826"/>
      <c r="BK170" s="826"/>
      <c r="BL170" s="826"/>
      <c r="BN170" s="826"/>
      <c r="BO170" s="826"/>
      <c r="BP170" s="826"/>
      <c r="BQ170" s="826"/>
      <c r="BR170" s="826"/>
      <c r="BS170" s="826"/>
      <c r="BT170" s="826"/>
      <c r="BU170" s="826"/>
      <c r="BV170" s="826"/>
      <c r="BW170" s="826"/>
      <c r="BX170" s="826"/>
      <c r="BY170" s="826"/>
      <c r="BZ170" s="508"/>
      <c r="CA170" s="508"/>
      <c r="CB170" s="826"/>
      <c r="CC170" s="508"/>
      <c r="CD170" s="508"/>
      <c r="CE170" s="508"/>
      <c r="CF170" s="508"/>
      <c r="CG170" s="508"/>
      <c r="CH170" s="508"/>
    </row>
    <row r="171" spans="8:86" s="154" customFormat="1">
      <c r="H171" s="828"/>
      <c r="I171" s="829"/>
      <c r="J171" s="829"/>
      <c r="K171" s="828"/>
      <c r="N171" s="506"/>
      <c r="O171" s="507"/>
      <c r="P171" s="506"/>
      <c r="Q171" s="506"/>
      <c r="R171" s="506"/>
      <c r="S171" s="506"/>
      <c r="U171" s="508"/>
      <c r="AF171" s="508"/>
      <c r="AI171" s="506"/>
      <c r="AJ171" s="508"/>
      <c r="AK171" s="508"/>
      <c r="AM171" s="508"/>
      <c r="AO171" s="508"/>
      <c r="AV171" s="827"/>
      <c r="AW171" s="827"/>
      <c r="AX171" s="827"/>
      <c r="AY171" s="827"/>
      <c r="AZ171" s="827"/>
      <c r="BA171" s="827"/>
      <c r="BB171" s="506"/>
      <c r="BC171" s="506"/>
      <c r="BD171" s="506"/>
      <c r="BE171" s="506"/>
      <c r="BF171" s="506"/>
      <c r="BG171" s="506"/>
      <c r="BH171" s="826"/>
      <c r="BI171" s="826"/>
      <c r="BJ171" s="826"/>
      <c r="BK171" s="826"/>
      <c r="BL171" s="826"/>
      <c r="BN171" s="826"/>
      <c r="BO171" s="826"/>
      <c r="BP171" s="826"/>
      <c r="BQ171" s="826"/>
      <c r="BR171" s="826"/>
      <c r="BS171" s="826"/>
      <c r="BT171" s="826"/>
      <c r="BU171" s="826"/>
      <c r="BV171" s="826"/>
      <c r="BW171" s="826"/>
      <c r="BX171" s="826"/>
      <c r="BY171" s="826"/>
      <c r="BZ171" s="508"/>
      <c r="CA171" s="508"/>
      <c r="CB171" s="826"/>
      <c r="CC171" s="508"/>
      <c r="CD171" s="508"/>
      <c r="CE171" s="508"/>
      <c r="CF171" s="508"/>
      <c r="CG171" s="508"/>
      <c r="CH171" s="508"/>
    </row>
    <row r="172" spans="8:86" s="154" customFormat="1">
      <c r="H172" s="828"/>
      <c r="I172" s="829"/>
      <c r="J172" s="829"/>
      <c r="K172" s="828"/>
      <c r="N172" s="506"/>
      <c r="O172" s="507"/>
      <c r="P172" s="506"/>
      <c r="Q172" s="506"/>
      <c r="R172" s="506"/>
      <c r="S172" s="506"/>
      <c r="U172" s="508"/>
      <c r="AF172" s="508"/>
      <c r="AI172" s="506"/>
      <c r="AJ172" s="508"/>
      <c r="AK172" s="508"/>
      <c r="AM172" s="508"/>
      <c r="AO172" s="508"/>
      <c r="AV172" s="827"/>
      <c r="AW172" s="827"/>
      <c r="AX172" s="827"/>
      <c r="AY172" s="827"/>
      <c r="AZ172" s="827"/>
      <c r="BA172" s="827"/>
      <c r="BB172" s="506"/>
      <c r="BC172" s="506"/>
      <c r="BD172" s="506"/>
      <c r="BE172" s="506"/>
      <c r="BF172" s="506"/>
      <c r="BG172" s="506"/>
      <c r="BH172" s="826"/>
      <c r="BI172" s="826"/>
      <c r="BJ172" s="826"/>
      <c r="BK172" s="826"/>
      <c r="BL172" s="826"/>
      <c r="BN172" s="826"/>
      <c r="BO172" s="826"/>
      <c r="BP172" s="826"/>
      <c r="BQ172" s="826"/>
      <c r="BR172" s="826"/>
      <c r="BS172" s="826"/>
      <c r="BT172" s="826"/>
      <c r="BU172" s="826"/>
      <c r="BV172" s="826"/>
      <c r="BW172" s="826"/>
      <c r="BX172" s="826"/>
      <c r="BY172" s="826"/>
      <c r="BZ172" s="508"/>
      <c r="CA172" s="508"/>
      <c r="CB172" s="826"/>
      <c r="CC172" s="508"/>
      <c r="CD172" s="508"/>
      <c r="CE172" s="508"/>
      <c r="CF172" s="508"/>
      <c r="CG172" s="508"/>
      <c r="CH172" s="508"/>
    </row>
    <row r="173" spans="8:86" s="154" customFormat="1">
      <c r="H173" s="828"/>
      <c r="I173" s="829"/>
      <c r="J173" s="829"/>
      <c r="K173" s="828"/>
      <c r="N173" s="506"/>
      <c r="O173" s="507"/>
      <c r="P173" s="506"/>
      <c r="Q173" s="506"/>
      <c r="R173" s="506"/>
      <c r="S173" s="506"/>
      <c r="U173" s="508"/>
      <c r="AF173" s="508"/>
      <c r="AI173" s="506"/>
      <c r="AJ173" s="508"/>
      <c r="AK173" s="508"/>
      <c r="AM173" s="508"/>
      <c r="AO173" s="508"/>
      <c r="AV173" s="827"/>
      <c r="AW173" s="827"/>
      <c r="AX173" s="827"/>
      <c r="AY173" s="827"/>
      <c r="AZ173" s="827"/>
      <c r="BA173" s="827"/>
      <c r="BB173" s="506"/>
      <c r="BC173" s="506"/>
      <c r="BD173" s="506"/>
      <c r="BE173" s="506"/>
      <c r="BF173" s="506"/>
      <c r="BG173" s="506"/>
      <c r="BH173" s="826"/>
      <c r="BI173" s="826"/>
      <c r="BJ173" s="826"/>
      <c r="BK173" s="826"/>
      <c r="BL173" s="826"/>
      <c r="BN173" s="826"/>
      <c r="BO173" s="826"/>
      <c r="BP173" s="826"/>
      <c r="BQ173" s="826"/>
      <c r="BR173" s="826"/>
      <c r="BS173" s="826"/>
      <c r="BT173" s="826"/>
      <c r="BU173" s="826"/>
      <c r="BV173" s="826"/>
      <c r="BW173" s="826"/>
      <c r="BX173" s="826"/>
      <c r="BY173" s="826"/>
      <c r="BZ173" s="508"/>
      <c r="CA173" s="508"/>
      <c r="CB173" s="826"/>
      <c r="CC173" s="508"/>
      <c r="CD173" s="508"/>
      <c r="CE173" s="508"/>
      <c r="CF173" s="508"/>
      <c r="CG173" s="508"/>
      <c r="CH173" s="508"/>
    </row>
    <row r="174" spans="8:86" s="154" customFormat="1">
      <c r="H174" s="828"/>
      <c r="I174" s="829"/>
      <c r="J174" s="829"/>
      <c r="K174" s="828"/>
      <c r="N174" s="506"/>
      <c r="O174" s="507"/>
      <c r="P174" s="506"/>
      <c r="Q174" s="506"/>
      <c r="R174" s="506"/>
      <c r="S174" s="506"/>
      <c r="U174" s="508"/>
      <c r="AF174" s="508"/>
      <c r="AI174" s="506"/>
      <c r="AJ174" s="508"/>
      <c r="AK174" s="508"/>
      <c r="AM174" s="508"/>
      <c r="AO174" s="508"/>
      <c r="AV174" s="827"/>
      <c r="AW174" s="827"/>
      <c r="AX174" s="827"/>
      <c r="AY174" s="827"/>
      <c r="AZ174" s="827"/>
      <c r="BA174" s="827"/>
      <c r="BB174" s="506"/>
      <c r="BC174" s="506"/>
      <c r="BD174" s="506"/>
      <c r="BE174" s="506"/>
      <c r="BF174" s="506"/>
      <c r="BG174" s="506"/>
      <c r="BH174" s="826"/>
      <c r="BI174" s="826"/>
      <c r="BJ174" s="826"/>
      <c r="BK174" s="826"/>
      <c r="BL174" s="826"/>
      <c r="BN174" s="826"/>
      <c r="BO174" s="826"/>
      <c r="BP174" s="826"/>
      <c r="BQ174" s="826"/>
      <c r="BR174" s="826"/>
      <c r="BS174" s="826"/>
      <c r="BT174" s="826"/>
      <c r="BU174" s="826"/>
      <c r="BV174" s="826"/>
      <c r="BW174" s="826"/>
      <c r="BX174" s="826"/>
      <c r="BY174" s="826"/>
      <c r="BZ174" s="508"/>
      <c r="CA174" s="508"/>
      <c r="CB174" s="826"/>
      <c r="CC174" s="508"/>
      <c r="CD174" s="508"/>
      <c r="CE174" s="508"/>
      <c r="CF174" s="508"/>
      <c r="CG174" s="508"/>
      <c r="CH174" s="508"/>
    </row>
    <row r="175" spans="8:86" s="154" customFormat="1">
      <c r="H175" s="828"/>
      <c r="I175" s="829"/>
      <c r="J175" s="829"/>
      <c r="K175" s="828"/>
      <c r="N175" s="506"/>
      <c r="O175" s="507"/>
      <c r="P175" s="506"/>
      <c r="Q175" s="506"/>
      <c r="R175" s="506"/>
      <c r="S175" s="506"/>
      <c r="U175" s="508"/>
      <c r="AF175" s="508"/>
      <c r="AI175" s="506"/>
      <c r="AJ175" s="508"/>
      <c r="AK175" s="508"/>
      <c r="AM175" s="508"/>
      <c r="AO175" s="508"/>
      <c r="AV175" s="827"/>
      <c r="AW175" s="827"/>
      <c r="AX175" s="827"/>
      <c r="AY175" s="827"/>
      <c r="AZ175" s="827"/>
      <c r="BA175" s="827"/>
      <c r="BB175" s="506"/>
      <c r="BC175" s="506"/>
      <c r="BD175" s="506"/>
      <c r="BE175" s="506"/>
      <c r="BF175" s="506"/>
      <c r="BG175" s="506"/>
      <c r="BH175" s="826"/>
      <c r="BI175" s="826"/>
      <c r="BJ175" s="826"/>
      <c r="BK175" s="826"/>
      <c r="BL175" s="826"/>
      <c r="BN175" s="826"/>
      <c r="BO175" s="826"/>
      <c r="BP175" s="826"/>
      <c r="BQ175" s="826"/>
      <c r="BR175" s="826"/>
      <c r="BS175" s="826"/>
      <c r="BT175" s="826"/>
      <c r="BU175" s="826"/>
      <c r="BV175" s="826"/>
      <c r="BW175" s="826"/>
      <c r="BX175" s="826"/>
      <c r="BY175" s="826"/>
      <c r="BZ175" s="508"/>
      <c r="CA175" s="508"/>
      <c r="CB175" s="826"/>
      <c r="CC175" s="508"/>
      <c r="CD175" s="508"/>
      <c r="CE175" s="508"/>
      <c r="CF175" s="508"/>
      <c r="CG175" s="508"/>
      <c r="CH175" s="508"/>
    </row>
    <row r="176" spans="8:86" s="154" customFormat="1">
      <c r="H176" s="828"/>
      <c r="I176" s="829"/>
      <c r="J176" s="829"/>
      <c r="K176" s="828"/>
      <c r="N176" s="506"/>
      <c r="O176" s="507"/>
      <c r="P176" s="506"/>
      <c r="Q176" s="506"/>
      <c r="R176" s="506"/>
      <c r="S176" s="506"/>
      <c r="U176" s="508"/>
      <c r="AF176" s="508"/>
      <c r="AI176" s="506"/>
      <c r="AJ176" s="508"/>
      <c r="AK176" s="508"/>
      <c r="AM176" s="508"/>
      <c r="AO176" s="508"/>
      <c r="AV176" s="827"/>
      <c r="AW176" s="827"/>
      <c r="AX176" s="827"/>
      <c r="AY176" s="827"/>
      <c r="AZ176" s="827"/>
      <c r="BA176" s="827"/>
      <c r="BB176" s="506"/>
      <c r="BC176" s="506"/>
      <c r="BD176" s="506"/>
      <c r="BE176" s="506"/>
      <c r="BF176" s="506"/>
      <c r="BG176" s="506"/>
      <c r="BH176" s="826"/>
      <c r="BI176" s="826"/>
      <c r="BJ176" s="826"/>
      <c r="BK176" s="826"/>
      <c r="BL176" s="826"/>
      <c r="BN176" s="826"/>
      <c r="BO176" s="826"/>
      <c r="BP176" s="826"/>
      <c r="BQ176" s="826"/>
      <c r="BR176" s="826"/>
      <c r="BS176" s="826"/>
      <c r="BT176" s="826"/>
      <c r="BU176" s="826"/>
      <c r="BV176" s="826"/>
      <c r="BW176" s="826"/>
      <c r="BX176" s="826"/>
      <c r="BY176" s="826"/>
      <c r="BZ176" s="508"/>
      <c r="CA176" s="508"/>
      <c r="CB176" s="826"/>
      <c r="CC176" s="508"/>
      <c r="CD176" s="508"/>
      <c r="CE176" s="508"/>
      <c r="CF176" s="508"/>
      <c r="CG176" s="508"/>
      <c r="CH176" s="508"/>
    </row>
    <row r="177" spans="4:86" s="154" customFormat="1">
      <c r="H177" s="828"/>
      <c r="I177" s="829"/>
      <c r="J177" s="829"/>
      <c r="K177" s="828"/>
      <c r="N177" s="506"/>
      <c r="O177" s="507"/>
      <c r="P177" s="506"/>
      <c r="Q177" s="506"/>
      <c r="R177" s="506"/>
      <c r="S177" s="506"/>
      <c r="U177" s="508"/>
      <c r="AF177" s="508"/>
      <c r="AI177" s="506"/>
      <c r="AJ177" s="508"/>
      <c r="AK177" s="508"/>
      <c r="AM177" s="508"/>
      <c r="AO177" s="508"/>
      <c r="AV177" s="827"/>
      <c r="AW177" s="827"/>
      <c r="AX177" s="827"/>
      <c r="AY177" s="827"/>
      <c r="AZ177" s="827"/>
      <c r="BA177" s="827"/>
      <c r="BB177" s="506"/>
      <c r="BC177" s="506"/>
      <c r="BD177" s="506"/>
      <c r="BE177" s="506"/>
      <c r="BF177" s="506"/>
      <c r="BG177" s="506"/>
      <c r="BH177" s="826"/>
      <c r="BI177" s="826"/>
      <c r="BJ177" s="826"/>
      <c r="BK177" s="826"/>
      <c r="BL177" s="826"/>
      <c r="BN177" s="826"/>
      <c r="BO177" s="826"/>
      <c r="BP177" s="826"/>
      <c r="BQ177" s="826"/>
      <c r="BR177" s="826"/>
      <c r="BS177" s="826"/>
      <c r="BT177" s="826"/>
      <c r="BU177" s="826"/>
      <c r="BV177" s="826"/>
      <c r="BW177" s="826"/>
      <c r="BX177" s="826"/>
      <c r="BY177" s="826"/>
      <c r="BZ177" s="508"/>
      <c r="CA177" s="508"/>
      <c r="CB177" s="826"/>
      <c r="CC177" s="508"/>
      <c r="CD177" s="508"/>
      <c r="CE177" s="508"/>
      <c r="CF177" s="508"/>
      <c r="CG177" s="508"/>
      <c r="CH177" s="508"/>
    </row>
    <row r="178" spans="4:86" s="154" customFormat="1">
      <c r="H178" s="828"/>
      <c r="I178" s="829"/>
      <c r="J178" s="829"/>
      <c r="K178" s="828"/>
      <c r="N178" s="506"/>
      <c r="O178" s="507"/>
      <c r="P178" s="506"/>
      <c r="Q178" s="506"/>
      <c r="R178" s="506"/>
      <c r="S178" s="506"/>
      <c r="U178" s="508"/>
      <c r="AF178" s="508"/>
      <c r="AI178" s="506"/>
      <c r="AJ178" s="508"/>
      <c r="AK178" s="508"/>
      <c r="AM178" s="508"/>
      <c r="AO178" s="508"/>
      <c r="AV178" s="827"/>
      <c r="AW178" s="827"/>
      <c r="AX178" s="827"/>
      <c r="AY178" s="827"/>
      <c r="AZ178" s="827"/>
      <c r="BA178" s="827"/>
      <c r="BB178" s="506"/>
      <c r="BC178" s="506"/>
      <c r="BD178" s="506"/>
      <c r="BE178" s="506"/>
      <c r="BF178" s="506"/>
      <c r="BG178" s="506"/>
      <c r="BH178" s="826"/>
      <c r="BI178" s="826"/>
      <c r="BJ178" s="826"/>
      <c r="BK178" s="826"/>
      <c r="BL178" s="826"/>
      <c r="BN178" s="826"/>
      <c r="BO178" s="826"/>
      <c r="BP178" s="826"/>
      <c r="BQ178" s="826"/>
      <c r="BR178" s="826"/>
      <c r="BS178" s="826"/>
      <c r="BT178" s="826"/>
      <c r="BU178" s="826"/>
      <c r="BV178" s="826"/>
      <c r="BW178" s="826"/>
      <c r="BX178" s="826"/>
      <c r="BY178" s="826"/>
      <c r="BZ178" s="508"/>
      <c r="CA178" s="508"/>
      <c r="CB178" s="826"/>
      <c r="CC178" s="508"/>
      <c r="CD178" s="508"/>
      <c r="CE178" s="508"/>
      <c r="CF178" s="508"/>
      <c r="CG178" s="508"/>
      <c r="CH178" s="508"/>
    </row>
    <row r="179" spans="4:86" s="154" customFormat="1">
      <c r="H179" s="828"/>
      <c r="I179" s="829"/>
      <c r="J179" s="829"/>
      <c r="K179" s="828"/>
      <c r="N179" s="506"/>
      <c r="O179" s="507"/>
      <c r="P179" s="506"/>
      <c r="Q179" s="506"/>
      <c r="R179" s="506"/>
      <c r="S179" s="506"/>
      <c r="U179" s="508"/>
      <c r="AF179" s="508"/>
      <c r="AI179" s="506"/>
      <c r="AJ179" s="508"/>
      <c r="AK179" s="508"/>
      <c r="AM179" s="508"/>
      <c r="AO179" s="508"/>
      <c r="AV179" s="827"/>
      <c r="AW179" s="827"/>
      <c r="AX179" s="827"/>
      <c r="AY179" s="827"/>
      <c r="AZ179" s="827"/>
      <c r="BA179" s="827"/>
      <c r="BB179" s="506"/>
      <c r="BC179" s="506"/>
      <c r="BD179" s="506"/>
      <c r="BE179" s="506"/>
      <c r="BF179" s="506"/>
      <c r="BG179" s="506"/>
      <c r="BH179" s="826"/>
      <c r="BI179" s="826"/>
      <c r="BJ179" s="826"/>
      <c r="BK179" s="826"/>
      <c r="BL179" s="826"/>
      <c r="BN179" s="826"/>
      <c r="BO179" s="826"/>
      <c r="BP179" s="826"/>
      <c r="BQ179" s="826"/>
      <c r="BR179" s="826"/>
      <c r="BS179" s="826"/>
      <c r="BT179" s="826"/>
      <c r="BU179" s="826"/>
      <c r="BV179" s="826"/>
      <c r="BW179" s="826"/>
      <c r="BX179" s="826"/>
      <c r="BY179" s="826"/>
      <c r="BZ179" s="508"/>
      <c r="CA179" s="508"/>
      <c r="CB179" s="826"/>
      <c r="CC179" s="508"/>
      <c r="CD179" s="508"/>
      <c r="CE179" s="508"/>
      <c r="CF179" s="508"/>
      <c r="CG179" s="508"/>
      <c r="CH179" s="508"/>
    </row>
    <row r="180" spans="4:86" s="154" customFormat="1">
      <c r="H180" s="828"/>
      <c r="I180" s="829"/>
      <c r="J180" s="829"/>
      <c r="K180" s="828"/>
      <c r="N180" s="506"/>
      <c r="O180" s="507"/>
      <c r="P180" s="506"/>
      <c r="Q180" s="506"/>
      <c r="R180" s="506"/>
      <c r="S180" s="506"/>
      <c r="U180" s="508"/>
      <c r="AF180" s="508"/>
      <c r="AI180" s="506"/>
      <c r="AJ180" s="508"/>
      <c r="AK180" s="508"/>
      <c r="AM180" s="508"/>
      <c r="AO180" s="508"/>
      <c r="AV180" s="827"/>
      <c r="AW180" s="827"/>
      <c r="AX180" s="827"/>
      <c r="AY180" s="827"/>
      <c r="AZ180" s="827"/>
      <c r="BA180" s="827"/>
      <c r="BB180" s="506"/>
      <c r="BC180" s="506"/>
      <c r="BD180" s="506"/>
      <c r="BE180" s="506"/>
      <c r="BF180" s="506"/>
      <c r="BG180" s="506"/>
      <c r="BH180" s="826"/>
      <c r="BI180" s="826"/>
      <c r="BJ180" s="826"/>
      <c r="BK180" s="826"/>
      <c r="BL180" s="826"/>
      <c r="BN180" s="826"/>
      <c r="BO180" s="826"/>
      <c r="BP180" s="826"/>
      <c r="BQ180" s="826"/>
      <c r="BR180" s="826"/>
      <c r="BS180" s="826"/>
      <c r="BT180" s="826"/>
      <c r="BU180" s="826"/>
      <c r="BV180" s="826"/>
      <c r="BW180" s="826"/>
      <c r="BX180" s="826"/>
      <c r="BY180" s="826"/>
      <c r="BZ180" s="508"/>
      <c r="CA180" s="508"/>
      <c r="CB180" s="826"/>
      <c r="CC180" s="508"/>
      <c r="CD180" s="508"/>
      <c r="CE180" s="508"/>
      <c r="CF180" s="508"/>
      <c r="CG180" s="508"/>
      <c r="CH180" s="508"/>
    </row>
    <row r="181" spans="4:86" s="154" customFormat="1">
      <c r="H181" s="828"/>
      <c r="I181" s="829"/>
      <c r="J181" s="829"/>
      <c r="K181" s="828"/>
      <c r="N181" s="506"/>
      <c r="O181" s="507"/>
      <c r="P181" s="506"/>
      <c r="Q181" s="506"/>
      <c r="R181" s="506"/>
      <c r="S181" s="506"/>
      <c r="U181" s="508"/>
      <c r="AF181" s="508"/>
      <c r="AI181" s="506"/>
      <c r="AJ181" s="508"/>
      <c r="AK181" s="508"/>
      <c r="AM181" s="508"/>
      <c r="AO181" s="508"/>
      <c r="AV181" s="827"/>
      <c r="AW181" s="827"/>
      <c r="AX181" s="827"/>
      <c r="AY181" s="827"/>
      <c r="AZ181" s="827"/>
      <c r="BA181" s="827"/>
      <c r="BB181" s="506"/>
      <c r="BC181" s="506"/>
      <c r="BD181" s="506"/>
      <c r="BE181" s="506"/>
      <c r="BF181" s="506"/>
      <c r="BG181" s="506"/>
      <c r="BH181" s="826"/>
      <c r="BI181" s="826"/>
      <c r="BJ181" s="826"/>
      <c r="BK181" s="826"/>
      <c r="BL181" s="826"/>
      <c r="BN181" s="826"/>
      <c r="BO181" s="826"/>
      <c r="BP181" s="826"/>
      <c r="BQ181" s="826"/>
      <c r="BR181" s="826"/>
      <c r="BS181" s="826"/>
      <c r="BT181" s="826"/>
      <c r="BU181" s="826"/>
      <c r="BV181" s="826"/>
      <c r="BW181" s="826"/>
      <c r="BX181" s="826"/>
      <c r="BY181" s="826"/>
      <c r="BZ181" s="508"/>
      <c r="CA181" s="508"/>
      <c r="CB181" s="826"/>
      <c r="CC181" s="508"/>
      <c r="CD181" s="508"/>
      <c r="CE181" s="508"/>
      <c r="CF181" s="508"/>
      <c r="CG181" s="508"/>
      <c r="CH181" s="508"/>
    </row>
    <row r="182" spans="4:86" s="154" customFormat="1">
      <c r="H182" s="828"/>
      <c r="I182" s="829"/>
      <c r="J182" s="829"/>
      <c r="K182" s="828"/>
      <c r="N182" s="506"/>
      <c r="O182" s="507"/>
      <c r="P182" s="506"/>
      <c r="Q182" s="506"/>
      <c r="R182" s="506"/>
      <c r="S182" s="506"/>
      <c r="U182" s="508"/>
      <c r="AF182" s="508"/>
      <c r="AI182" s="506"/>
      <c r="AJ182" s="508"/>
      <c r="AK182" s="508"/>
      <c r="AM182" s="508"/>
      <c r="AO182" s="508"/>
      <c r="AV182" s="827"/>
      <c r="AW182" s="827"/>
      <c r="AX182" s="827"/>
      <c r="AY182" s="827"/>
      <c r="AZ182" s="827"/>
      <c r="BA182" s="827"/>
      <c r="BB182" s="506"/>
      <c r="BC182" s="506"/>
      <c r="BD182" s="506"/>
      <c r="BE182" s="506"/>
      <c r="BF182" s="506"/>
      <c r="BG182" s="506"/>
      <c r="BH182" s="826"/>
      <c r="BI182" s="826"/>
      <c r="BJ182" s="826"/>
      <c r="BK182" s="826"/>
      <c r="BL182" s="826"/>
      <c r="BN182" s="826"/>
      <c r="BO182" s="826"/>
      <c r="BP182" s="826"/>
      <c r="BQ182" s="826"/>
      <c r="BR182" s="826"/>
      <c r="BS182" s="826"/>
      <c r="BT182" s="826"/>
      <c r="BU182" s="826"/>
      <c r="BV182" s="826"/>
      <c r="BW182" s="826"/>
      <c r="BX182" s="826"/>
      <c r="BY182" s="826"/>
      <c r="BZ182" s="508"/>
      <c r="CA182" s="508"/>
      <c r="CB182" s="826"/>
      <c r="CC182" s="508"/>
      <c r="CD182" s="508"/>
      <c r="CE182" s="508"/>
      <c r="CF182" s="508"/>
      <c r="CG182" s="508"/>
      <c r="CH182" s="508"/>
    </row>
    <row r="183" spans="4:86" s="154" customFormat="1">
      <c r="H183" s="828"/>
      <c r="I183" s="829"/>
      <c r="J183" s="829"/>
      <c r="K183" s="828"/>
      <c r="N183" s="506"/>
      <c r="O183" s="507"/>
      <c r="P183" s="506"/>
      <c r="Q183" s="506"/>
      <c r="R183" s="506"/>
      <c r="S183" s="506"/>
      <c r="U183" s="508"/>
      <c r="AF183" s="508"/>
      <c r="AI183" s="506"/>
      <c r="AJ183" s="508"/>
      <c r="AK183" s="508"/>
      <c r="AM183" s="508"/>
      <c r="AO183" s="508"/>
      <c r="AV183" s="827"/>
      <c r="AW183" s="827"/>
      <c r="AX183" s="827"/>
      <c r="AY183" s="827"/>
      <c r="AZ183" s="827"/>
      <c r="BA183" s="827"/>
      <c r="BB183" s="506"/>
      <c r="BC183" s="506"/>
      <c r="BD183" s="506"/>
      <c r="BE183" s="506"/>
      <c r="BF183" s="506"/>
      <c r="BG183" s="506"/>
      <c r="BH183" s="826"/>
      <c r="BI183" s="826"/>
      <c r="BJ183" s="826"/>
      <c r="BK183" s="826"/>
      <c r="BL183" s="826"/>
      <c r="BN183" s="826"/>
      <c r="BO183" s="826"/>
      <c r="BP183" s="826"/>
      <c r="BQ183" s="826"/>
      <c r="BR183" s="826"/>
      <c r="BS183" s="826"/>
      <c r="BT183" s="826"/>
      <c r="BU183" s="826"/>
      <c r="BV183" s="826"/>
      <c r="BW183" s="826"/>
      <c r="BX183" s="826"/>
      <c r="BY183" s="826"/>
      <c r="BZ183" s="508"/>
      <c r="CA183" s="508"/>
      <c r="CB183" s="826"/>
      <c r="CC183" s="508"/>
      <c r="CD183" s="508"/>
      <c r="CE183" s="508"/>
      <c r="CF183" s="508"/>
      <c r="CG183" s="508"/>
      <c r="CH183" s="508"/>
    </row>
    <row r="184" spans="4:86" s="154" customFormat="1">
      <c r="H184" s="828"/>
      <c r="I184" s="829"/>
      <c r="J184" s="829"/>
      <c r="K184" s="828"/>
      <c r="N184" s="506"/>
      <c r="O184" s="507"/>
      <c r="P184" s="506"/>
      <c r="Q184" s="506"/>
      <c r="R184" s="506"/>
      <c r="S184" s="506"/>
      <c r="U184" s="508"/>
      <c r="AF184" s="508"/>
      <c r="AI184" s="506"/>
      <c r="AJ184" s="508"/>
      <c r="AK184" s="508"/>
      <c r="AM184" s="508"/>
      <c r="AO184" s="508"/>
      <c r="AV184" s="827"/>
      <c r="AW184" s="827"/>
      <c r="AX184" s="827"/>
      <c r="AY184" s="827"/>
      <c r="AZ184" s="827"/>
      <c r="BA184" s="827"/>
      <c r="BB184" s="506"/>
      <c r="BC184" s="506"/>
      <c r="BD184" s="506"/>
      <c r="BE184" s="506"/>
      <c r="BF184" s="506"/>
      <c r="BG184" s="506"/>
      <c r="BH184" s="826"/>
      <c r="BI184" s="826"/>
      <c r="BJ184" s="826"/>
      <c r="BK184" s="826"/>
      <c r="BL184" s="826"/>
      <c r="BN184" s="826"/>
      <c r="BO184" s="826"/>
      <c r="BP184" s="826"/>
      <c r="BQ184" s="826"/>
      <c r="BR184" s="826"/>
      <c r="BS184" s="826"/>
      <c r="BT184" s="826"/>
      <c r="BU184" s="826"/>
      <c r="BV184" s="826"/>
      <c r="BW184" s="826"/>
      <c r="BX184" s="826"/>
      <c r="BY184" s="826"/>
      <c r="BZ184" s="508"/>
      <c r="CA184" s="508"/>
      <c r="CB184" s="826"/>
      <c r="CC184" s="508"/>
      <c r="CD184" s="508"/>
      <c r="CE184" s="508"/>
      <c r="CF184" s="508"/>
      <c r="CG184" s="508"/>
      <c r="CH184" s="508"/>
    </row>
    <row r="185" spans="4:86" s="154" customFormat="1">
      <c r="H185" s="828"/>
      <c r="I185" s="829"/>
      <c r="J185" s="829"/>
      <c r="K185" s="828"/>
      <c r="N185" s="506"/>
      <c r="O185" s="507"/>
      <c r="P185" s="506"/>
      <c r="Q185" s="506"/>
      <c r="R185" s="506"/>
      <c r="S185" s="506"/>
      <c r="U185" s="508"/>
      <c r="AF185" s="508"/>
      <c r="AI185" s="506"/>
      <c r="AJ185" s="508"/>
      <c r="AK185" s="508"/>
      <c r="AM185" s="508"/>
      <c r="AO185" s="508"/>
      <c r="AV185" s="827"/>
      <c r="AW185" s="827"/>
      <c r="AX185" s="827"/>
      <c r="AY185" s="827"/>
      <c r="AZ185" s="827"/>
      <c r="BA185" s="827"/>
      <c r="BB185" s="506"/>
      <c r="BC185" s="506"/>
      <c r="BD185" s="506"/>
      <c r="BE185" s="506"/>
      <c r="BF185" s="506"/>
      <c r="BG185" s="506"/>
      <c r="BH185" s="826"/>
      <c r="BI185" s="826"/>
      <c r="BJ185" s="826"/>
      <c r="BK185" s="826"/>
      <c r="BL185" s="826"/>
      <c r="BN185" s="826"/>
      <c r="BO185" s="826"/>
      <c r="BP185" s="826"/>
      <c r="BQ185" s="826"/>
      <c r="BR185" s="826"/>
      <c r="BS185" s="826"/>
      <c r="BT185" s="826"/>
      <c r="BU185" s="826"/>
      <c r="BV185" s="826"/>
      <c r="BW185" s="826"/>
      <c r="BX185" s="826"/>
      <c r="BY185" s="826"/>
      <c r="BZ185" s="508"/>
      <c r="CA185" s="508"/>
      <c r="CB185" s="826"/>
      <c r="CC185" s="508"/>
      <c r="CD185" s="508"/>
      <c r="CE185" s="508"/>
      <c r="CF185" s="508"/>
      <c r="CG185" s="508"/>
      <c r="CH185" s="508"/>
    </row>
    <row r="186" spans="4:86" s="154" customFormat="1">
      <c r="H186" s="828"/>
      <c r="I186" s="829"/>
      <c r="J186" s="829"/>
      <c r="K186" s="828"/>
      <c r="N186" s="506"/>
      <c r="O186" s="507"/>
      <c r="P186" s="506"/>
      <c r="Q186" s="506"/>
      <c r="R186" s="506"/>
      <c r="S186" s="506"/>
      <c r="U186" s="508"/>
      <c r="AF186" s="508"/>
      <c r="AI186" s="506"/>
      <c r="AJ186" s="508"/>
      <c r="AK186" s="508"/>
      <c r="AM186" s="508"/>
      <c r="AO186" s="508"/>
      <c r="AV186" s="827"/>
      <c r="AW186" s="827"/>
      <c r="AX186" s="827"/>
      <c r="AY186" s="827"/>
      <c r="AZ186" s="827"/>
      <c r="BA186" s="827"/>
      <c r="BB186" s="506"/>
      <c r="BC186" s="506"/>
      <c r="BD186" s="506"/>
      <c r="BE186" s="506"/>
      <c r="BF186" s="506"/>
      <c r="BG186" s="506"/>
      <c r="BH186" s="826"/>
      <c r="BI186" s="826"/>
      <c r="BJ186" s="826"/>
      <c r="BK186" s="826"/>
      <c r="BL186" s="826"/>
      <c r="BN186" s="826"/>
      <c r="BO186" s="826"/>
      <c r="BP186" s="826"/>
      <c r="BQ186" s="826"/>
      <c r="BR186" s="826"/>
      <c r="BS186" s="826"/>
      <c r="BT186" s="826"/>
      <c r="BU186" s="826"/>
      <c r="BV186" s="826"/>
      <c r="BW186" s="826"/>
      <c r="BX186" s="826"/>
      <c r="BY186" s="826"/>
      <c r="BZ186" s="508"/>
      <c r="CA186" s="508"/>
      <c r="CB186" s="826"/>
      <c r="CC186" s="508"/>
      <c r="CD186" s="508"/>
      <c r="CE186" s="508"/>
      <c r="CF186" s="508"/>
      <c r="CG186" s="508"/>
      <c r="CH186" s="508"/>
    </row>
    <row r="187" spans="4:86" s="154" customFormat="1">
      <c r="H187" s="828"/>
      <c r="I187" s="829"/>
      <c r="J187" s="829"/>
      <c r="K187" s="828"/>
      <c r="N187" s="506"/>
      <c r="O187" s="507"/>
      <c r="P187" s="506"/>
      <c r="Q187" s="506"/>
      <c r="R187" s="506"/>
      <c r="S187" s="506"/>
      <c r="U187" s="508"/>
      <c r="AF187" s="508"/>
      <c r="AI187" s="506"/>
      <c r="AJ187" s="508"/>
      <c r="AK187" s="508"/>
      <c r="AM187" s="508"/>
      <c r="AO187" s="508"/>
      <c r="AV187" s="827"/>
      <c r="AW187" s="827"/>
      <c r="AX187" s="827"/>
      <c r="AY187" s="827"/>
      <c r="AZ187" s="827"/>
      <c r="BA187" s="827"/>
      <c r="BB187" s="506"/>
      <c r="BC187" s="506"/>
      <c r="BD187" s="506"/>
      <c r="BE187" s="506"/>
      <c r="BF187" s="506"/>
      <c r="BG187" s="506"/>
      <c r="BH187" s="826"/>
      <c r="BI187" s="826"/>
      <c r="BJ187" s="826"/>
      <c r="BK187" s="826"/>
      <c r="BL187" s="826"/>
      <c r="BN187" s="826"/>
      <c r="BO187" s="826"/>
      <c r="BP187" s="826"/>
      <c r="BQ187" s="826"/>
      <c r="BR187" s="826"/>
      <c r="BS187" s="826"/>
      <c r="BT187" s="826"/>
      <c r="BU187" s="826"/>
      <c r="BV187" s="826"/>
      <c r="BW187" s="826"/>
      <c r="BX187" s="826"/>
      <c r="BY187" s="826"/>
      <c r="BZ187" s="508"/>
      <c r="CA187" s="508"/>
      <c r="CB187" s="826"/>
      <c r="CC187" s="508"/>
      <c r="CD187" s="508"/>
      <c r="CE187" s="508"/>
      <c r="CF187" s="508"/>
      <c r="CG187" s="508"/>
      <c r="CH187" s="508"/>
    </row>
    <row r="188" spans="4:86" s="154" customFormat="1">
      <c r="H188" s="828"/>
      <c r="I188" s="829"/>
      <c r="J188" s="829"/>
      <c r="K188" s="828"/>
      <c r="N188" s="506"/>
      <c r="O188" s="507"/>
      <c r="P188" s="506"/>
      <c r="Q188" s="506"/>
      <c r="R188" s="506"/>
      <c r="S188" s="506"/>
      <c r="U188" s="508"/>
      <c r="AF188" s="508"/>
      <c r="AI188" s="506"/>
      <c r="AJ188" s="508"/>
      <c r="AK188" s="508"/>
      <c r="AM188" s="508"/>
      <c r="AO188" s="508"/>
      <c r="AV188" s="827"/>
      <c r="AW188" s="827"/>
      <c r="AX188" s="827"/>
      <c r="AY188" s="827"/>
      <c r="AZ188" s="827"/>
      <c r="BA188" s="827"/>
      <c r="BB188" s="506"/>
      <c r="BC188" s="506"/>
      <c r="BD188" s="506"/>
      <c r="BE188" s="506"/>
      <c r="BF188" s="506"/>
      <c r="BG188" s="506"/>
      <c r="BH188" s="826"/>
      <c r="BI188" s="826"/>
      <c r="BJ188" s="826"/>
      <c r="BK188" s="826"/>
      <c r="BL188" s="826"/>
      <c r="BN188" s="826"/>
      <c r="BO188" s="826"/>
      <c r="BP188" s="826"/>
      <c r="BQ188" s="826"/>
      <c r="BR188" s="826"/>
      <c r="BS188" s="826"/>
      <c r="BT188" s="826"/>
      <c r="BU188" s="826"/>
      <c r="BV188" s="826"/>
      <c r="BW188" s="826"/>
      <c r="BX188" s="826"/>
      <c r="BY188" s="826"/>
      <c r="BZ188" s="508"/>
      <c r="CA188" s="508"/>
      <c r="CB188" s="826"/>
      <c r="CC188" s="508"/>
      <c r="CD188" s="508"/>
      <c r="CE188" s="508"/>
      <c r="CF188" s="508"/>
      <c r="CG188" s="508"/>
      <c r="CH188" s="508"/>
    </row>
    <row r="189" spans="4:86" s="154" customFormat="1">
      <c r="H189" s="828"/>
      <c r="I189" s="829"/>
      <c r="J189" s="829"/>
      <c r="K189" s="828"/>
      <c r="N189" s="506"/>
      <c r="O189" s="507"/>
      <c r="P189" s="506"/>
      <c r="Q189" s="506"/>
      <c r="R189" s="506"/>
      <c r="S189" s="506"/>
      <c r="U189" s="508"/>
      <c r="AF189" s="508"/>
      <c r="AI189" s="506"/>
      <c r="AJ189" s="508"/>
      <c r="AK189" s="508"/>
      <c r="AM189" s="508"/>
      <c r="AO189" s="508"/>
      <c r="AV189" s="827"/>
      <c r="AW189" s="827"/>
      <c r="AX189" s="827"/>
      <c r="AY189" s="827"/>
      <c r="AZ189" s="827"/>
      <c r="BA189" s="827"/>
      <c r="BB189" s="506"/>
      <c r="BC189" s="506"/>
      <c r="BD189" s="506"/>
      <c r="BE189" s="506"/>
      <c r="BF189" s="506"/>
      <c r="BG189" s="506"/>
      <c r="BH189" s="826"/>
      <c r="BI189" s="826"/>
      <c r="BJ189" s="826"/>
      <c r="BK189" s="826"/>
      <c r="BL189" s="826"/>
      <c r="BN189" s="826"/>
      <c r="BO189" s="826"/>
      <c r="BP189" s="826"/>
      <c r="BQ189" s="826"/>
      <c r="BR189" s="826"/>
      <c r="BS189" s="826"/>
      <c r="BT189" s="826"/>
      <c r="BU189" s="826"/>
      <c r="BV189" s="826"/>
      <c r="BW189" s="826"/>
      <c r="BX189" s="826"/>
      <c r="BY189" s="826"/>
      <c r="BZ189" s="508"/>
      <c r="CA189" s="508"/>
      <c r="CB189" s="826"/>
      <c r="CC189" s="508"/>
      <c r="CD189" s="508"/>
      <c r="CE189" s="508"/>
      <c r="CF189" s="508"/>
      <c r="CG189" s="508"/>
      <c r="CH189" s="508"/>
    </row>
    <row r="190" spans="4:86" s="154" customFormat="1">
      <c r="H190" s="828"/>
      <c r="I190" s="829"/>
      <c r="J190" s="829"/>
      <c r="K190" s="828"/>
      <c r="N190" s="506"/>
      <c r="O190" s="507"/>
      <c r="P190" s="506"/>
      <c r="Q190" s="506"/>
      <c r="R190" s="506"/>
      <c r="S190" s="506"/>
      <c r="U190" s="508"/>
      <c r="AF190" s="508"/>
      <c r="AI190" s="506"/>
      <c r="AJ190" s="508"/>
      <c r="AK190" s="508"/>
      <c r="AM190" s="508"/>
      <c r="AO190" s="508"/>
      <c r="AV190" s="827"/>
      <c r="AW190" s="827"/>
      <c r="AX190" s="827"/>
      <c r="AY190" s="827"/>
      <c r="AZ190" s="827"/>
      <c r="BA190" s="827"/>
      <c r="BB190" s="506"/>
      <c r="BC190" s="506"/>
      <c r="BD190" s="506"/>
      <c r="BE190" s="506"/>
      <c r="BF190" s="506"/>
      <c r="BG190" s="506"/>
      <c r="BH190" s="826"/>
      <c r="BI190" s="826"/>
      <c r="BJ190" s="826"/>
      <c r="BK190" s="826"/>
      <c r="BL190" s="826"/>
      <c r="BN190" s="826"/>
      <c r="BO190" s="826"/>
      <c r="BP190" s="826"/>
      <c r="BQ190" s="826"/>
      <c r="BR190" s="826"/>
      <c r="BS190" s="826"/>
      <c r="BT190" s="826"/>
      <c r="BU190" s="826"/>
      <c r="BV190" s="826"/>
      <c r="BW190" s="826"/>
      <c r="BX190" s="826"/>
      <c r="BY190" s="826"/>
      <c r="BZ190" s="508"/>
      <c r="CA190" s="508"/>
      <c r="CB190" s="826"/>
      <c r="CC190" s="508"/>
      <c r="CD190" s="508"/>
      <c r="CE190" s="508"/>
      <c r="CF190" s="508"/>
      <c r="CG190" s="508"/>
      <c r="CH190" s="508"/>
    </row>
    <row r="191" spans="4:86" s="154" customFormat="1">
      <c r="H191" s="828"/>
      <c r="I191" s="829"/>
      <c r="J191" s="829"/>
      <c r="K191" s="828"/>
      <c r="N191" s="506"/>
      <c r="O191" s="507"/>
      <c r="P191" s="506"/>
      <c r="Q191" s="506"/>
      <c r="R191" s="506"/>
      <c r="S191" s="506"/>
      <c r="U191" s="508"/>
      <c r="AF191" s="508"/>
      <c r="AI191" s="506"/>
      <c r="AJ191" s="508"/>
      <c r="AK191" s="508"/>
      <c r="AM191" s="508"/>
      <c r="AO191" s="508"/>
      <c r="AV191" s="827"/>
      <c r="AW191" s="827"/>
      <c r="AX191" s="827"/>
      <c r="AY191" s="827"/>
      <c r="AZ191" s="827"/>
      <c r="BA191" s="827"/>
      <c r="BB191" s="506"/>
      <c r="BC191" s="506"/>
      <c r="BD191" s="506"/>
      <c r="BE191" s="506"/>
      <c r="BF191" s="506"/>
      <c r="BG191" s="506"/>
      <c r="BH191" s="826"/>
      <c r="BI191" s="826"/>
      <c r="BJ191" s="826"/>
      <c r="BK191" s="826"/>
      <c r="BL191" s="826"/>
      <c r="BN191" s="826"/>
      <c r="BO191" s="826"/>
      <c r="BP191" s="826"/>
      <c r="BQ191" s="826"/>
      <c r="BR191" s="826"/>
      <c r="BS191" s="826"/>
      <c r="BT191" s="826"/>
      <c r="BU191" s="826"/>
      <c r="BV191" s="826"/>
      <c r="BW191" s="826"/>
      <c r="BX191" s="826"/>
      <c r="BY191" s="826"/>
      <c r="BZ191" s="508"/>
      <c r="CA191" s="508"/>
      <c r="CB191" s="826"/>
      <c r="CC191" s="508"/>
      <c r="CD191" s="508"/>
      <c r="CE191" s="508"/>
      <c r="CF191" s="508"/>
      <c r="CG191" s="508"/>
      <c r="CH191" s="508"/>
    </row>
    <row r="192" spans="4:86">
      <c r="D192" s="154"/>
    </row>
  </sheetData>
  <mergeCells count="14">
    <mergeCell ref="BT8:BY8"/>
    <mergeCell ref="BZ8:CH8"/>
    <mergeCell ref="AL8:AO8"/>
    <mergeCell ref="AP8:AU8"/>
    <mergeCell ref="AV8:BA8"/>
    <mergeCell ref="BB8:BG8"/>
    <mergeCell ref="BH8:BM8"/>
    <mergeCell ref="BN8:BS8"/>
    <mergeCell ref="AI8:AK8"/>
    <mergeCell ref="A2:C2"/>
    <mergeCell ref="E8:M8"/>
    <mergeCell ref="N8:S8"/>
    <mergeCell ref="T8:AE8"/>
    <mergeCell ref="AF8:AH8"/>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AJ220"/>
  <sheetViews>
    <sheetView topLeftCell="A88" zoomScale="80" zoomScaleNormal="80" workbookViewId="0">
      <selection activeCell="E95" sqref="E95:H95"/>
    </sheetView>
  </sheetViews>
  <sheetFormatPr defaultColWidth="9.1796875" defaultRowHeight="14.5"/>
  <cols>
    <col min="1" max="1" width="3.81640625" style="1" customWidth="1"/>
    <col min="2" max="2" width="5.26953125" style="1" customWidth="1"/>
    <col min="3" max="3" width="24.54296875" style="1" customWidth="1"/>
    <col min="4" max="4" width="18.7265625" style="1" customWidth="1"/>
    <col min="5" max="5" width="37.81640625" style="1" customWidth="1"/>
    <col min="6" max="6" width="14.1796875" style="1" customWidth="1"/>
    <col min="7" max="8" width="16.1796875" style="1" customWidth="1"/>
    <col min="9" max="9" width="16.453125" style="1" customWidth="1"/>
    <col min="10" max="11" width="19" style="1" customWidth="1"/>
    <col min="12" max="12" width="13" style="1" customWidth="1"/>
    <col min="13" max="13" width="13.1796875" style="1" customWidth="1"/>
    <col min="14" max="15" width="11.54296875" style="1" customWidth="1"/>
    <col min="16" max="16" width="14.54296875" style="1" bestFit="1" customWidth="1"/>
    <col min="17" max="17" width="11.1796875" style="1" customWidth="1"/>
    <col min="18" max="16384" width="9.1796875" style="1"/>
  </cols>
  <sheetData>
    <row r="1" spans="1:16">
      <c r="J1" s="1073" t="s">
        <v>1720</v>
      </c>
    </row>
    <row r="2" spans="1:16" ht="18.5">
      <c r="A2" s="124" t="s">
        <v>1117</v>
      </c>
    </row>
    <row r="4" spans="1:16">
      <c r="A4" s="3" t="s">
        <v>1116</v>
      </c>
      <c r="C4" s="3" t="s">
        <v>1115</v>
      </c>
      <c r="E4" s="819"/>
    </row>
    <row r="5" spans="1:16">
      <c r="A5" s="1" t="s">
        <v>1114</v>
      </c>
    </row>
    <row r="6" spans="1:16">
      <c r="A6" s="70" t="s">
        <v>1113</v>
      </c>
      <c r="C6" s="1" t="s">
        <v>1112</v>
      </c>
    </row>
    <row r="7" spans="1:16">
      <c r="A7" s="70" t="s">
        <v>12</v>
      </c>
      <c r="C7" s="1" t="s">
        <v>1112</v>
      </c>
    </row>
    <row r="9" spans="1:16">
      <c r="A9" s="1" t="s">
        <v>1056</v>
      </c>
      <c r="C9" s="1" t="s">
        <v>1112</v>
      </c>
      <c r="L9" s="181"/>
      <c r="M9" s="180"/>
    </row>
    <row r="11" spans="1:16">
      <c r="A11" s="1" t="s">
        <v>1111</v>
      </c>
      <c r="C11" s="1" t="s">
        <v>1110</v>
      </c>
      <c r="E11" s="715"/>
      <c r="K11" s="818"/>
      <c r="L11" s="817"/>
      <c r="M11" s="201"/>
    </row>
    <row r="12" spans="1:16">
      <c r="C12" s="1" t="s">
        <v>1109</v>
      </c>
      <c r="E12" s="816">
        <v>4207.8530000000001</v>
      </c>
      <c r="F12" s="879" t="s">
        <v>1287</v>
      </c>
      <c r="L12" s="815"/>
      <c r="M12" s="282"/>
    </row>
    <row r="13" spans="1:16">
      <c r="C13" s="1" t="s">
        <v>1108</v>
      </c>
      <c r="E13" s="814">
        <f>'BA Inputs'!E12/Assumptions!E44</f>
        <v>0.84241301301301308</v>
      </c>
      <c r="F13" s="1" t="s">
        <v>1107</v>
      </c>
      <c r="L13" s="4"/>
    </row>
    <row r="14" spans="1:16">
      <c r="E14" s="814"/>
      <c r="F14" s="121"/>
      <c r="L14" s="180"/>
      <c r="N14" s="6"/>
      <c r="O14" s="6"/>
      <c r="P14" s="6"/>
    </row>
    <row r="15" spans="1:16">
      <c r="D15" s="1" t="s">
        <v>1106</v>
      </c>
      <c r="E15" s="1" t="s">
        <v>1094</v>
      </c>
      <c r="F15" s="4">
        <v>0.9</v>
      </c>
      <c r="M15" s="129"/>
      <c r="N15" s="129"/>
      <c r="O15" s="129"/>
    </row>
    <row r="16" spans="1:16">
      <c r="E16" s="1" t="s">
        <v>1105</v>
      </c>
      <c r="F16" s="4">
        <f>100%-F15</f>
        <v>9.9999999999999978E-2</v>
      </c>
      <c r="M16" s="129"/>
      <c r="N16" s="129"/>
      <c r="O16" s="129"/>
    </row>
    <row r="17" spans="1:36">
      <c r="C17" s="445"/>
      <c r="E17" s="1" t="s">
        <v>1085</v>
      </c>
      <c r="F17" s="445">
        <f>'Time Savings'!D69*'BA Inputs'!G17*I17</f>
        <v>6.5660607886326217</v>
      </c>
      <c r="G17" s="1">
        <v>8</v>
      </c>
      <c r="H17" s="1" t="s">
        <v>1104</v>
      </c>
      <c r="I17" s="4">
        <v>0.7</v>
      </c>
      <c r="J17" s="1" t="s">
        <v>1103</v>
      </c>
      <c r="M17" s="129" t="s">
        <v>1402</v>
      </c>
      <c r="N17" s="129"/>
      <c r="O17" s="129"/>
    </row>
    <row r="18" spans="1:36">
      <c r="E18" s="1" t="s">
        <v>1102</v>
      </c>
      <c r="F18" s="1">
        <v>3</v>
      </c>
      <c r="G18" s="1">
        <f>F18*I18</f>
        <v>1095</v>
      </c>
      <c r="H18" s="1" t="s">
        <v>1101</v>
      </c>
      <c r="I18" s="1">
        <v>365</v>
      </c>
      <c r="J18" s="1" t="s">
        <v>1100</v>
      </c>
      <c r="M18" s="129" t="s">
        <v>1099</v>
      </c>
      <c r="N18" s="129"/>
      <c r="O18" s="129"/>
    </row>
    <row r="19" spans="1:36">
      <c r="E19" s="1" t="s">
        <v>1080</v>
      </c>
      <c r="F19" s="1">
        <v>7</v>
      </c>
      <c r="L19" s="123" t="s">
        <v>1098</v>
      </c>
      <c r="M19" s="123" t="s">
        <v>1097</v>
      </c>
    </row>
    <row r="20" spans="1:36">
      <c r="E20" s="1" t="s">
        <v>1096</v>
      </c>
      <c r="F20" s="4">
        <v>0.5</v>
      </c>
      <c r="L20" s="123">
        <v>1</v>
      </c>
      <c r="M20" s="812">
        <v>251162.72541600838</v>
      </c>
      <c r="O20" s="102"/>
    </row>
    <row r="21" spans="1:36">
      <c r="E21" s="1" t="s">
        <v>1095</v>
      </c>
      <c r="F21" s="174">
        <f>(F15*G18*F17+F16*F17*F19*G18)*F20</f>
        <v>5751.8692508421764</v>
      </c>
      <c r="L21" s="123">
        <v>2</v>
      </c>
      <c r="M21" s="812">
        <v>768888.7807414711</v>
      </c>
      <c r="O21" s="102"/>
    </row>
    <row r="22" spans="1:36">
      <c r="A22" s="1" t="s">
        <v>133</v>
      </c>
      <c r="E22" s="1" t="s">
        <v>1094</v>
      </c>
      <c r="F22" s="174" t="s">
        <v>1093</v>
      </c>
      <c r="L22" s="813" t="s">
        <v>1092</v>
      </c>
      <c r="M22" s="812">
        <v>1087863.5853769309</v>
      </c>
      <c r="O22" s="102"/>
    </row>
    <row r="23" spans="1:36">
      <c r="E23" s="1" t="s">
        <v>1091</v>
      </c>
      <c r="F23" s="1" t="s">
        <v>1090</v>
      </c>
      <c r="L23" s="813" t="s">
        <v>1089</v>
      </c>
      <c r="M23" s="812">
        <v>1087863.5853769309</v>
      </c>
      <c r="O23" s="102"/>
    </row>
    <row r="25" spans="1:36">
      <c r="D25" s="1" t="s">
        <v>1088</v>
      </c>
    </row>
    <row r="26" spans="1:36">
      <c r="D26" s="811">
        <f>SUM(M36:R36)*1000000</f>
        <v>7431402.2639999995</v>
      </c>
      <c r="E26" s="1" t="s">
        <v>1314</v>
      </c>
    </row>
    <row r="27" spans="1:36">
      <c r="D27" s="4">
        <f>F15</f>
        <v>0.9</v>
      </c>
      <c r="E27" s="1" t="s">
        <v>1087</v>
      </c>
    </row>
    <row r="28" spans="1:36">
      <c r="D28" s="4">
        <f>F16</f>
        <v>9.9999999999999978E-2</v>
      </c>
      <c r="E28" s="1" t="s">
        <v>1086</v>
      </c>
    </row>
    <row r="29" spans="1:36">
      <c r="C29" s="102">
        <f>D29*Assumptions!E44</f>
        <v>32797.473639219948</v>
      </c>
      <c r="D29" s="445">
        <f>F17</f>
        <v>6.5660607886326217</v>
      </c>
      <c r="E29" s="1" t="s">
        <v>1085</v>
      </c>
      <c r="K29" s="879" t="s">
        <v>1315</v>
      </c>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row>
    <row r="30" spans="1:36">
      <c r="C30" s="111" t="s">
        <v>1084</v>
      </c>
      <c r="D30" s="1">
        <f>F18</f>
        <v>3</v>
      </c>
      <c r="E30" s="1" t="s">
        <v>1083</v>
      </c>
      <c r="F30" s="9">
        <v>50</v>
      </c>
      <c r="G30" s="1" t="s">
        <v>1082</v>
      </c>
      <c r="H30" s="9">
        <v>5</v>
      </c>
      <c r="I30" s="1" t="s">
        <v>1081</v>
      </c>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row>
    <row r="31" spans="1:36">
      <c r="D31" s="1">
        <f>F19</f>
        <v>7</v>
      </c>
      <c r="E31" s="1" t="s">
        <v>1080</v>
      </c>
      <c r="K31" s="879" t="s">
        <v>465</v>
      </c>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row>
    <row r="32" spans="1:36">
      <c r="C32" s="1" t="s">
        <v>1079</v>
      </c>
      <c r="D32" s="810">
        <v>984.60372078409853</v>
      </c>
      <c r="E32" s="1" t="s">
        <v>1078</v>
      </c>
      <c r="K32" s="879"/>
      <c r="L32" s="879"/>
      <c r="M32" s="879"/>
      <c r="N32" s="879" t="s">
        <v>1316</v>
      </c>
      <c r="O32" s="879"/>
      <c r="P32" s="879"/>
      <c r="Q32" s="879"/>
      <c r="R32" s="879"/>
      <c r="S32" s="879"/>
      <c r="T32" s="879"/>
      <c r="U32" s="879"/>
      <c r="V32" s="879"/>
      <c r="W32" s="879"/>
      <c r="X32" s="879"/>
      <c r="Y32" s="879"/>
      <c r="Z32" s="879"/>
      <c r="AA32" s="879"/>
      <c r="AB32" s="879"/>
      <c r="AC32" s="879"/>
      <c r="AD32" s="879"/>
      <c r="AE32" s="879"/>
      <c r="AF32" s="879"/>
      <c r="AG32" s="879"/>
      <c r="AH32" s="879"/>
      <c r="AI32" s="879" t="s">
        <v>1317</v>
      </c>
      <c r="AJ32" s="879" t="s">
        <v>1318</v>
      </c>
    </row>
    <row r="33" spans="1:36">
      <c r="D33" s="816">
        <f>(D28/D27)*D32</f>
        <v>109.40041342045537</v>
      </c>
      <c r="E33" s="1" t="s">
        <v>1077</v>
      </c>
      <c r="F33" s="1" t="s">
        <v>1076</v>
      </c>
      <c r="H33" s="4">
        <v>0.5</v>
      </c>
      <c r="I33" s="1" t="s">
        <v>1118</v>
      </c>
      <c r="K33" s="879"/>
      <c r="L33" s="445" t="s">
        <v>414</v>
      </c>
      <c r="M33" s="879">
        <v>2012</v>
      </c>
      <c r="N33" s="879">
        <v>2013</v>
      </c>
      <c r="O33" s="879">
        <v>2014</v>
      </c>
      <c r="P33" s="879">
        <v>2015</v>
      </c>
      <c r="Q33" s="879">
        <v>2016</v>
      </c>
      <c r="R33" s="879">
        <v>2017</v>
      </c>
      <c r="S33" s="879">
        <v>2018</v>
      </c>
      <c r="T33" s="879">
        <v>2019</v>
      </c>
      <c r="U33" s="879">
        <v>2020</v>
      </c>
      <c r="V33" s="879">
        <v>2021</v>
      </c>
      <c r="W33" s="879">
        <v>2022</v>
      </c>
      <c r="X33" s="879">
        <v>2023</v>
      </c>
      <c r="Y33" s="879">
        <v>2024</v>
      </c>
      <c r="Z33" s="879">
        <v>2025</v>
      </c>
      <c r="AA33" s="879">
        <v>2026</v>
      </c>
      <c r="AB33" s="879">
        <v>2027</v>
      </c>
      <c r="AC33" s="879">
        <v>2028</v>
      </c>
      <c r="AD33" s="879">
        <v>2029</v>
      </c>
      <c r="AE33" s="879">
        <v>2030</v>
      </c>
      <c r="AF33" s="879">
        <v>2031</v>
      </c>
      <c r="AG33" s="879">
        <v>2032</v>
      </c>
      <c r="AH33" s="879"/>
      <c r="AI33" s="879" t="s">
        <v>1319</v>
      </c>
      <c r="AJ33" s="879" t="s">
        <v>1319</v>
      </c>
    </row>
    <row r="34" spans="1:36">
      <c r="D34" s="102">
        <f>D32+D33</f>
        <v>1094.0041342045538</v>
      </c>
      <c r="E34" s="1" t="s">
        <v>1075</v>
      </c>
      <c r="F34" s="1" t="s">
        <v>1074</v>
      </c>
      <c r="K34" s="879"/>
      <c r="L34" s="445"/>
      <c r="M34" s="879">
        <v>0</v>
      </c>
      <c r="N34" s="879">
        <v>1</v>
      </c>
      <c r="O34" s="879">
        <v>2</v>
      </c>
      <c r="P34" s="879">
        <v>3</v>
      </c>
      <c r="Q34" s="879">
        <v>4</v>
      </c>
      <c r="R34" s="879">
        <v>5</v>
      </c>
      <c r="S34" s="879">
        <v>6</v>
      </c>
      <c r="T34" s="879">
        <v>7</v>
      </c>
      <c r="U34" s="879">
        <v>8</v>
      </c>
      <c r="V34" s="879">
        <v>9</v>
      </c>
      <c r="W34" s="879">
        <v>10</v>
      </c>
      <c r="X34" s="879">
        <v>11</v>
      </c>
      <c r="Y34" s="879">
        <v>12</v>
      </c>
      <c r="Z34" s="879">
        <v>13</v>
      </c>
      <c r="AA34" s="879">
        <v>14</v>
      </c>
      <c r="AB34" s="879">
        <v>15</v>
      </c>
      <c r="AC34" s="879">
        <v>16</v>
      </c>
      <c r="AD34" s="879">
        <v>17</v>
      </c>
      <c r="AE34" s="879">
        <v>18</v>
      </c>
      <c r="AF34" s="879">
        <v>19</v>
      </c>
      <c r="AG34" s="879">
        <v>20</v>
      </c>
      <c r="AH34" s="879"/>
      <c r="AI34" s="879"/>
      <c r="AJ34" s="879"/>
    </row>
    <row r="35" spans="1:36">
      <c r="D35" s="102">
        <f>D32*D29*D30*F30*H30</f>
        <v>4848725.9125366891</v>
      </c>
      <c r="E35" s="1" t="s">
        <v>1073</v>
      </c>
      <c r="F35" s="1" t="s">
        <v>626</v>
      </c>
      <c r="G35" s="102">
        <f>D35/D32*$H$33</f>
        <v>2462.2727957372335</v>
      </c>
      <c r="K35" s="879"/>
      <c r="L35" s="445"/>
      <c r="M35" s="445"/>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879"/>
    </row>
    <row r="36" spans="1:36">
      <c r="D36" s="102">
        <f>D33*D29*D31*D30*F30*H30</f>
        <v>3771231.2653063126</v>
      </c>
      <c r="E36" s="1" t="s">
        <v>1072</v>
      </c>
      <c r="F36" s="1" t="s">
        <v>625</v>
      </c>
      <c r="G36" s="102">
        <f>D36/D33*$H$33</f>
        <v>17235.909570160631</v>
      </c>
      <c r="K36" s="879" t="s">
        <v>1320</v>
      </c>
      <c r="L36" s="879" t="s">
        <v>684</v>
      </c>
      <c r="M36" s="961">
        <v>0</v>
      </c>
      <c r="N36" s="961">
        <v>3.8611430144946432E-2</v>
      </c>
      <c r="O36" s="961">
        <v>1.5703519681237004</v>
      </c>
      <c r="P36" s="961">
        <v>2.1933649890435003</v>
      </c>
      <c r="Q36" s="961">
        <v>2.175085681513472</v>
      </c>
      <c r="R36" s="961">
        <v>1.4539881951743809</v>
      </c>
      <c r="S36" s="961">
        <v>0</v>
      </c>
      <c r="T36" s="961">
        <v>0</v>
      </c>
      <c r="U36" s="961">
        <v>0</v>
      </c>
      <c r="V36" s="961">
        <v>0</v>
      </c>
      <c r="W36" s="961">
        <v>0</v>
      </c>
      <c r="X36" s="961">
        <v>0</v>
      </c>
      <c r="Y36" s="961">
        <v>0</v>
      </c>
      <c r="Z36" s="961">
        <v>0</v>
      </c>
      <c r="AA36" s="961">
        <v>0</v>
      </c>
      <c r="AB36" s="961">
        <v>0</v>
      </c>
      <c r="AC36" s="961">
        <v>0</v>
      </c>
      <c r="AD36" s="961">
        <v>0</v>
      </c>
      <c r="AE36" s="961">
        <v>0</v>
      </c>
      <c r="AF36" s="961">
        <v>0</v>
      </c>
      <c r="AG36" s="961">
        <v>0</v>
      </c>
      <c r="AH36" s="2"/>
      <c r="AI36" s="961">
        <v>4.8811322590809425</v>
      </c>
      <c r="AJ36" s="4">
        <v>1</v>
      </c>
    </row>
    <row r="37" spans="1:36">
      <c r="D37" s="809">
        <f>D35+D36</f>
        <v>8619957.1778430007</v>
      </c>
      <c r="E37" s="1" t="s">
        <v>1071</v>
      </c>
      <c r="K37" s="879" t="s">
        <v>1032</v>
      </c>
      <c r="L37" s="879"/>
      <c r="M37" s="961"/>
      <c r="N37" s="961"/>
      <c r="O37" s="961"/>
      <c r="P37" s="961"/>
      <c r="Q37" s="961"/>
      <c r="R37" s="961"/>
      <c r="S37" s="961"/>
      <c r="T37" s="961"/>
      <c r="U37" s="961"/>
      <c r="V37" s="961"/>
      <c r="W37" s="961"/>
      <c r="X37" s="961"/>
      <c r="Y37" s="961"/>
      <c r="Z37" s="961"/>
      <c r="AA37" s="961"/>
      <c r="AB37" s="961"/>
      <c r="AC37" s="961"/>
      <c r="AD37" s="961"/>
      <c r="AE37" s="961"/>
      <c r="AF37" s="961"/>
      <c r="AG37" s="961"/>
      <c r="AH37" s="188"/>
      <c r="AI37" s="2"/>
      <c r="AJ37" s="4"/>
    </row>
    <row r="38" spans="1:36">
      <c r="C38" s="808" t="s">
        <v>1070</v>
      </c>
      <c r="D38" s="807">
        <f>D26-D37</f>
        <v>-1188554.9138430012</v>
      </c>
      <c r="E38" s="806" t="s">
        <v>1069</v>
      </c>
      <c r="K38" s="879" t="s">
        <v>698</v>
      </c>
      <c r="L38" s="879" t="s">
        <v>684</v>
      </c>
      <c r="M38" s="961">
        <v>0</v>
      </c>
      <c r="N38" s="961">
        <v>0</v>
      </c>
      <c r="O38" s="961">
        <v>0.69619227600000011</v>
      </c>
      <c r="P38" s="961">
        <v>1.0442884139999999</v>
      </c>
      <c r="Q38" s="961">
        <v>1.0442884139999999</v>
      </c>
      <c r="R38" s="961">
        <v>0.69619227600000011</v>
      </c>
      <c r="S38" s="961">
        <v>0</v>
      </c>
      <c r="T38" s="961">
        <v>0</v>
      </c>
      <c r="U38" s="961">
        <v>0</v>
      </c>
      <c r="V38" s="961">
        <v>0</v>
      </c>
      <c r="W38" s="961">
        <v>0</v>
      </c>
      <c r="X38" s="961">
        <v>0</v>
      </c>
      <c r="Y38" s="961">
        <v>0</v>
      </c>
      <c r="Z38" s="961">
        <v>0</v>
      </c>
      <c r="AA38" s="961">
        <v>0</v>
      </c>
      <c r="AB38" s="961">
        <v>0</v>
      </c>
      <c r="AC38" s="961">
        <v>0</v>
      </c>
      <c r="AD38" s="961">
        <v>0</v>
      </c>
      <c r="AE38" s="961">
        <v>0</v>
      </c>
      <c r="AF38" s="961">
        <v>0</v>
      </c>
      <c r="AG38" s="961">
        <v>0</v>
      </c>
      <c r="AH38" s="188"/>
      <c r="AI38" s="961">
        <v>2.277725933059036</v>
      </c>
      <c r="AJ38" s="4">
        <v>0.46663884774306524</v>
      </c>
    </row>
    <row r="39" spans="1:36">
      <c r="D39" s="1" t="s">
        <v>1068</v>
      </c>
      <c r="K39" s="879" t="s">
        <v>697</v>
      </c>
      <c r="L39" s="879" t="s">
        <v>684</v>
      </c>
      <c r="M39" s="961">
        <v>0</v>
      </c>
      <c r="N39" s="961">
        <v>0</v>
      </c>
      <c r="O39" s="961">
        <v>0.272015016</v>
      </c>
      <c r="P39" s="961">
        <v>0.40802252400000005</v>
      </c>
      <c r="Q39" s="961">
        <v>0.40802252400000005</v>
      </c>
      <c r="R39" s="961">
        <v>0.272015016</v>
      </c>
      <c r="S39" s="961">
        <v>0</v>
      </c>
      <c r="T39" s="961">
        <v>0</v>
      </c>
      <c r="U39" s="961">
        <v>0</v>
      </c>
      <c r="V39" s="961">
        <v>0</v>
      </c>
      <c r="W39" s="961">
        <v>0</v>
      </c>
      <c r="X39" s="961">
        <v>0</v>
      </c>
      <c r="Y39" s="961">
        <v>0</v>
      </c>
      <c r="Z39" s="961">
        <v>0</v>
      </c>
      <c r="AA39" s="961">
        <v>0</v>
      </c>
      <c r="AB39" s="961">
        <v>0</v>
      </c>
      <c r="AC39" s="961">
        <v>0</v>
      </c>
      <c r="AD39" s="961">
        <v>0</v>
      </c>
      <c r="AE39" s="961">
        <v>0</v>
      </c>
      <c r="AF39" s="961">
        <v>0</v>
      </c>
      <c r="AG39" s="961">
        <v>0</v>
      </c>
      <c r="AH39" s="188"/>
      <c r="AI39" s="961">
        <v>0.88994905212747377</v>
      </c>
      <c r="AJ39" s="4">
        <v>0.18232430610168313</v>
      </c>
    </row>
    <row r="40" spans="1:36">
      <c r="K40" s="879" t="s">
        <v>696</v>
      </c>
      <c r="L40" s="879" t="s">
        <v>684</v>
      </c>
      <c r="M40" s="961">
        <v>0</v>
      </c>
      <c r="N40" s="961">
        <v>0</v>
      </c>
      <c r="O40" s="961">
        <v>0.31511758199999995</v>
      </c>
      <c r="P40" s="961">
        <v>0.460717608</v>
      </c>
      <c r="Q40" s="961">
        <v>0.43680000000000002</v>
      </c>
      <c r="R40" s="961">
        <v>0.29119997399999997</v>
      </c>
      <c r="S40" s="961">
        <v>0</v>
      </c>
      <c r="T40" s="961">
        <v>0</v>
      </c>
      <c r="U40" s="961">
        <v>0</v>
      </c>
      <c r="V40" s="961">
        <v>0</v>
      </c>
      <c r="W40" s="961">
        <v>0</v>
      </c>
      <c r="X40" s="961">
        <v>0</v>
      </c>
      <c r="Y40" s="961">
        <v>0</v>
      </c>
      <c r="Z40" s="961">
        <v>0</v>
      </c>
      <c r="AA40" s="961">
        <v>0</v>
      </c>
      <c r="AB40" s="961">
        <v>0</v>
      </c>
      <c r="AC40" s="961">
        <v>0</v>
      </c>
      <c r="AD40" s="961">
        <v>0</v>
      </c>
      <c r="AE40" s="961">
        <v>0</v>
      </c>
      <c r="AF40" s="961">
        <v>0</v>
      </c>
      <c r="AG40" s="961">
        <v>0</v>
      </c>
      <c r="AH40" s="188"/>
      <c r="AI40" s="961">
        <v>0.98702205643610297</v>
      </c>
      <c r="AJ40" s="4">
        <v>0.20221170090194343</v>
      </c>
    </row>
    <row r="41" spans="1:36">
      <c r="D41" s="10">
        <v>1</v>
      </c>
      <c r="E41" s="1" t="s">
        <v>1067</v>
      </c>
      <c r="K41" s="879" t="s">
        <v>695</v>
      </c>
      <c r="L41" s="879" t="s">
        <v>684</v>
      </c>
      <c r="M41" s="961">
        <v>0</v>
      </c>
      <c r="N41" s="961">
        <v>0</v>
      </c>
      <c r="O41" s="961">
        <v>0</v>
      </c>
      <c r="P41" s="961">
        <v>0</v>
      </c>
      <c r="Q41" s="961">
        <v>0</v>
      </c>
      <c r="R41" s="961">
        <v>0</v>
      </c>
      <c r="S41" s="961">
        <v>0</v>
      </c>
      <c r="T41" s="961">
        <v>0</v>
      </c>
      <c r="U41" s="961">
        <v>0</v>
      </c>
      <c r="V41" s="961">
        <v>0</v>
      </c>
      <c r="W41" s="961">
        <v>0</v>
      </c>
      <c r="X41" s="961">
        <v>0</v>
      </c>
      <c r="Y41" s="961">
        <v>0</v>
      </c>
      <c r="Z41" s="961">
        <v>0</v>
      </c>
      <c r="AA41" s="961">
        <v>0</v>
      </c>
      <c r="AB41" s="961">
        <v>0</v>
      </c>
      <c r="AC41" s="961">
        <v>0</v>
      </c>
      <c r="AD41" s="961">
        <v>0</v>
      </c>
      <c r="AE41" s="961">
        <v>0</v>
      </c>
      <c r="AF41" s="961">
        <v>0</v>
      </c>
      <c r="AG41" s="961">
        <v>0</v>
      </c>
      <c r="AH41" s="188"/>
      <c r="AI41" s="961">
        <v>0</v>
      </c>
      <c r="AJ41" s="4">
        <v>0</v>
      </c>
    </row>
    <row r="42" spans="1:36">
      <c r="D42" s="49">
        <f>ROUND(D32*$D$41, -2)</f>
        <v>1000</v>
      </c>
      <c r="E42" s="1" t="s">
        <v>1066</v>
      </c>
      <c r="K42" s="879" t="s">
        <v>719</v>
      </c>
      <c r="L42" s="879" t="s">
        <v>684</v>
      </c>
      <c r="M42" s="961">
        <v>0</v>
      </c>
      <c r="N42" s="961">
        <v>0</v>
      </c>
      <c r="O42" s="961">
        <v>0</v>
      </c>
      <c r="P42" s="961">
        <v>0</v>
      </c>
      <c r="Q42" s="961">
        <v>0</v>
      </c>
      <c r="R42" s="961">
        <v>0</v>
      </c>
      <c r="S42" s="961">
        <v>0</v>
      </c>
      <c r="T42" s="961">
        <v>0</v>
      </c>
      <c r="U42" s="961">
        <v>0</v>
      </c>
      <c r="V42" s="961">
        <v>0</v>
      </c>
      <c r="W42" s="961">
        <v>0</v>
      </c>
      <c r="X42" s="961">
        <v>0</v>
      </c>
      <c r="Y42" s="961">
        <v>0</v>
      </c>
      <c r="Z42" s="961">
        <v>0</v>
      </c>
      <c r="AA42" s="961">
        <v>0</v>
      </c>
      <c r="AB42" s="961">
        <v>0</v>
      </c>
      <c r="AC42" s="961">
        <v>0</v>
      </c>
      <c r="AD42" s="961">
        <v>0</v>
      </c>
      <c r="AE42" s="961">
        <v>0</v>
      </c>
      <c r="AF42" s="961">
        <v>0</v>
      </c>
      <c r="AG42" s="961">
        <v>0</v>
      </c>
      <c r="AH42" s="188"/>
      <c r="AI42" s="961">
        <v>0</v>
      </c>
      <c r="AJ42" s="4">
        <v>0</v>
      </c>
    </row>
    <row r="43" spans="1:36">
      <c r="D43" s="49">
        <f>ROUND(D33*$D$41, -2)</f>
        <v>100</v>
      </c>
      <c r="E43" s="1" t="s">
        <v>1065</v>
      </c>
      <c r="K43" s="879" t="s">
        <v>694</v>
      </c>
      <c r="L43" s="879" t="s">
        <v>684</v>
      </c>
      <c r="M43" s="961">
        <v>0</v>
      </c>
      <c r="N43" s="961">
        <v>0</v>
      </c>
      <c r="O43" s="961">
        <v>0.10405012799999999</v>
      </c>
      <c r="P43" s="961">
        <v>0.156075192</v>
      </c>
      <c r="Q43" s="961">
        <v>0.156075192</v>
      </c>
      <c r="R43" s="961">
        <v>0.10405012799999999</v>
      </c>
      <c r="S43" s="961">
        <v>0</v>
      </c>
      <c r="T43" s="961">
        <v>0</v>
      </c>
      <c r="U43" s="961">
        <v>0</v>
      </c>
      <c r="V43" s="961">
        <v>0</v>
      </c>
      <c r="W43" s="961">
        <v>0</v>
      </c>
      <c r="X43" s="961">
        <v>0</v>
      </c>
      <c r="Y43" s="961">
        <v>0</v>
      </c>
      <c r="Z43" s="961">
        <v>0</v>
      </c>
      <c r="AA43" s="961">
        <v>0</v>
      </c>
      <c r="AB43" s="961">
        <v>0</v>
      </c>
      <c r="AC43" s="961">
        <v>0</v>
      </c>
      <c r="AD43" s="961">
        <v>0</v>
      </c>
      <c r="AE43" s="961">
        <v>0</v>
      </c>
      <c r="AF43" s="961">
        <v>0</v>
      </c>
      <c r="AG43" s="961">
        <v>0</v>
      </c>
      <c r="AH43" s="188"/>
      <c r="AI43" s="961">
        <v>0.34041985677490061</v>
      </c>
      <c r="AJ43" s="4">
        <v>6.9741985815192295E-2</v>
      </c>
    </row>
    <row r="44" spans="1:36">
      <c r="D44" s="49">
        <f>ROUND(D34*$D$41, -2)</f>
        <v>1100</v>
      </c>
      <c r="E44" s="1" t="s">
        <v>1064</v>
      </c>
      <c r="K44" s="879" t="s">
        <v>693</v>
      </c>
      <c r="L44" s="879" t="s">
        <v>684</v>
      </c>
      <c r="M44" s="961">
        <v>0</v>
      </c>
      <c r="N44" s="961">
        <v>0</v>
      </c>
      <c r="O44" s="961">
        <v>0</v>
      </c>
      <c r="P44" s="961">
        <v>0</v>
      </c>
      <c r="Q44" s="961">
        <v>0</v>
      </c>
      <c r="R44" s="961">
        <v>0</v>
      </c>
      <c r="S44" s="961">
        <v>0</v>
      </c>
      <c r="T44" s="961">
        <v>0</v>
      </c>
      <c r="U44" s="961">
        <v>0</v>
      </c>
      <c r="V44" s="961">
        <v>0</v>
      </c>
      <c r="W44" s="961">
        <v>0</v>
      </c>
      <c r="X44" s="961">
        <v>0</v>
      </c>
      <c r="Y44" s="961">
        <v>0</v>
      </c>
      <c r="Z44" s="961">
        <v>0</v>
      </c>
      <c r="AA44" s="961">
        <v>0</v>
      </c>
      <c r="AB44" s="961">
        <v>0</v>
      </c>
      <c r="AC44" s="961">
        <v>0</v>
      </c>
      <c r="AD44" s="961">
        <v>0</v>
      </c>
      <c r="AE44" s="961">
        <v>0</v>
      </c>
      <c r="AF44" s="961">
        <v>0</v>
      </c>
      <c r="AG44" s="961">
        <v>0</v>
      </c>
      <c r="AH44" s="188"/>
      <c r="AI44" s="961">
        <v>0</v>
      </c>
      <c r="AJ44" s="4">
        <v>0</v>
      </c>
    </row>
    <row r="45" spans="1:36">
      <c r="K45" s="879" t="s">
        <v>13</v>
      </c>
      <c r="L45" s="879" t="s">
        <v>684</v>
      </c>
      <c r="M45" s="961">
        <v>0</v>
      </c>
      <c r="N45" s="961">
        <v>3.8611430144946432E-2</v>
      </c>
      <c r="O45" s="961">
        <v>0.18297696612370043</v>
      </c>
      <c r="P45" s="961">
        <v>0.12426125104350054</v>
      </c>
      <c r="Q45" s="961">
        <v>0.12989955151347174</v>
      </c>
      <c r="R45" s="961">
        <v>9.0530801174380754E-2</v>
      </c>
      <c r="S45" s="961">
        <v>0</v>
      </c>
      <c r="T45" s="961">
        <v>0</v>
      </c>
      <c r="U45" s="961">
        <v>0</v>
      </c>
      <c r="V45" s="961">
        <v>0</v>
      </c>
      <c r="W45" s="961">
        <v>0</v>
      </c>
      <c r="X45" s="961">
        <v>0</v>
      </c>
      <c r="Y45" s="961">
        <v>0</v>
      </c>
      <c r="Z45" s="961">
        <v>0</v>
      </c>
      <c r="AA45" s="961">
        <v>0</v>
      </c>
      <c r="AB45" s="961">
        <v>0</v>
      </c>
      <c r="AC45" s="961">
        <v>0</v>
      </c>
      <c r="AD45" s="961">
        <v>0</v>
      </c>
      <c r="AE45" s="961">
        <v>0</v>
      </c>
      <c r="AF45" s="961">
        <v>0</v>
      </c>
      <c r="AG45" s="961">
        <v>0</v>
      </c>
      <c r="AH45" s="2"/>
      <c r="AI45" s="961">
        <v>0.38601536068342918</v>
      </c>
      <c r="AJ45" s="4">
        <v>7.9083159438115933E-2</v>
      </c>
    </row>
    <row r="46" spans="1:36" ht="15.5">
      <c r="A46" s="192" t="s">
        <v>1063</v>
      </c>
      <c r="K46" s="879"/>
      <c r="L46" s="879"/>
      <c r="M46" s="961"/>
      <c r="N46" s="961"/>
      <c r="O46" s="961"/>
      <c r="P46" s="961"/>
      <c r="Q46" s="961"/>
      <c r="R46" s="961"/>
      <c r="S46" s="961"/>
      <c r="T46" s="961"/>
      <c r="U46" s="961"/>
      <c r="V46" s="961"/>
      <c r="W46" s="961"/>
      <c r="X46" s="961"/>
      <c r="Y46" s="961"/>
      <c r="Z46" s="961"/>
      <c r="AA46" s="961"/>
      <c r="AB46" s="961"/>
      <c r="AC46" s="961"/>
      <c r="AD46" s="961"/>
      <c r="AE46" s="961"/>
      <c r="AF46" s="961"/>
      <c r="AG46" s="961"/>
      <c r="AH46" s="2"/>
      <c r="AI46" s="2"/>
      <c r="AJ46" s="879"/>
    </row>
    <row r="47" spans="1:36">
      <c r="A47" s="250" t="s">
        <v>1062</v>
      </c>
      <c r="K47" s="879" t="s">
        <v>1321</v>
      </c>
      <c r="L47" s="879"/>
      <c r="M47" s="961"/>
      <c r="N47" s="961"/>
      <c r="O47" s="961"/>
      <c r="P47" s="961"/>
      <c r="Q47" s="961"/>
      <c r="R47" s="961"/>
      <c r="S47" s="961"/>
      <c r="T47" s="961"/>
      <c r="U47" s="961"/>
      <c r="V47" s="961"/>
      <c r="W47" s="961"/>
      <c r="X47" s="961"/>
      <c r="Y47" s="961"/>
      <c r="Z47" s="961"/>
      <c r="AA47" s="961"/>
      <c r="AB47" s="961"/>
      <c r="AC47" s="961"/>
      <c r="AD47" s="961"/>
      <c r="AE47" s="961"/>
      <c r="AF47" s="961"/>
      <c r="AG47" s="961"/>
      <c r="AH47" s="2"/>
      <c r="AI47" s="2"/>
      <c r="AJ47" s="879"/>
    </row>
    <row r="48" spans="1:36">
      <c r="A48" s="3"/>
      <c r="K48" s="879"/>
      <c r="L48" s="879"/>
      <c r="M48" s="961"/>
      <c r="N48" s="961"/>
      <c r="O48" s="961"/>
      <c r="P48" s="961"/>
      <c r="Q48" s="961"/>
      <c r="R48" s="961"/>
      <c r="S48" s="961"/>
      <c r="T48" s="961"/>
      <c r="U48" s="961"/>
      <c r="V48" s="961"/>
      <c r="W48" s="961"/>
      <c r="X48" s="961"/>
      <c r="Y48" s="961"/>
      <c r="Z48" s="961"/>
      <c r="AA48" s="961"/>
      <c r="AB48" s="961"/>
      <c r="AC48" s="961"/>
      <c r="AD48" s="961"/>
      <c r="AE48" s="961"/>
      <c r="AF48" s="961"/>
      <c r="AG48" s="961"/>
      <c r="AH48" s="2"/>
      <c r="AI48" s="2"/>
      <c r="AJ48" s="879"/>
    </row>
    <row r="49" spans="1:12">
      <c r="A49" s="3"/>
      <c r="C49" s="3" t="s">
        <v>1061</v>
      </c>
    </row>
    <row r="50" spans="1:12">
      <c r="A50" s="3"/>
      <c r="E50" s="173" t="s">
        <v>1058</v>
      </c>
      <c r="I50" s="1345" t="s">
        <v>1057</v>
      </c>
      <c r="J50" s="1345" t="s">
        <v>552</v>
      </c>
    </row>
    <row r="51" spans="1:12">
      <c r="C51" s="173" t="s">
        <v>1032</v>
      </c>
      <c r="E51" s="1" t="s">
        <v>585</v>
      </c>
      <c r="F51" s="1" t="s">
        <v>630</v>
      </c>
      <c r="G51" s="1" t="s">
        <v>1056</v>
      </c>
      <c r="H51" s="1" t="s">
        <v>808</v>
      </c>
      <c r="I51" s="1345"/>
      <c r="J51" s="1345"/>
    </row>
    <row r="52" spans="1:12">
      <c r="B52" s="791">
        <v>1</v>
      </c>
      <c r="C52" s="792" t="s">
        <v>698</v>
      </c>
      <c r="D52" s="123"/>
      <c r="E52" s="674">
        <f>Health!C42</f>
        <v>0</v>
      </c>
      <c r="F52" s="674">
        <f>$D$34*AJ38</f>
        <v>510.50482861136271</v>
      </c>
      <c r="G52" s="674">
        <f>E52</f>
        <v>0</v>
      </c>
      <c r="H52" s="674">
        <f>Health!B45</f>
        <v>860000</v>
      </c>
      <c r="I52" s="801"/>
      <c r="J52" s="801"/>
    </row>
    <row r="53" spans="1:12">
      <c r="B53" s="791">
        <v>2</v>
      </c>
      <c r="C53" s="792" t="s">
        <v>697</v>
      </c>
      <c r="D53" s="123"/>
      <c r="E53" s="674">
        <f>Health!E40</f>
        <v>250102</v>
      </c>
      <c r="F53" s="674">
        <f t="shared" ref="F53:F59" si="0">$D$34*AJ39</f>
        <v>199.46354464121788</v>
      </c>
      <c r="G53" s="674">
        <f>E53</f>
        <v>250102</v>
      </c>
      <c r="H53" s="801"/>
      <c r="I53" s="801"/>
      <c r="J53" s="801"/>
    </row>
    <row r="54" spans="1:12">
      <c r="B54" s="791">
        <v>3</v>
      </c>
      <c r="C54" s="792" t="s">
        <v>696</v>
      </c>
      <c r="D54" s="123"/>
      <c r="E54" s="674">
        <f>Health!F40</f>
        <v>155280</v>
      </c>
      <c r="F54" s="674">
        <f t="shared" si="0"/>
        <v>221.22043677126081</v>
      </c>
      <c r="G54" s="801"/>
      <c r="H54" s="801"/>
      <c r="I54" s="801"/>
      <c r="J54" s="801"/>
    </row>
    <row r="55" spans="1:12">
      <c r="B55" s="462">
        <v>4</v>
      </c>
      <c r="C55" s="363" t="s">
        <v>695</v>
      </c>
      <c r="E55" s="674"/>
      <c r="F55" s="674"/>
      <c r="G55" s="674"/>
      <c r="H55" s="801"/>
      <c r="I55" s="801"/>
      <c r="J55" s="801"/>
      <c r="L55" s="102">
        <f>SUM(Health!E42,Health!I42,H52,E59)</f>
        <v>1230412.8916695684</v>
      </c>
    </row>
    <row r="56" spans="1:12">
      <c r="B56" s="703">
        <v>5</v>
      </c>
      <c r="C56" s="238" t="s">
        <v>719</v>
      </c>
      <c r="D56" s="6"/>
      <c r="E56" s="674">
        <f>Health!H40</f>
        <v>0</v>
      </c>
      <c r="F56" s="674">
        <f t="shared" si="0"/>
        <v>0</v>
      </c>
      <c r="G56" s="801"/>
      <c r="H56" s="801"/>
      <c r="I56" s="801"/>
      <c r="J56" s="801"/>
    </row>
    <row r="57" spans="1:12">
      <c r="B57" s="804">
        <v>6</v>
      </c>
      <c r="C57" s="803" t="s">
        <v>694</v>
      </c>
      <c r="D57" s="802"/>
      <c r="E57" s="674">
        <f>Health!I40</f>
        <v>318566</v>
      </c>
      <c r="F57" s="674">
        <f t="shared" si="0"/>
        <v>76.298020809455721</v>
      </c>
      <c r="G57" s="674">
        <f>E57</f>
        <v>318566</v>
      </c>
      <c r="H57" s="801"/>
      <c r="I57" s="801"/>
      <c r="J57" s="801"/>
    </row>
    <row r="58" spans="1:12">
      <c r="B58" s="462">
        <v>7</v>
      </c>
      <c r="C58" s="363" t="s">
        <v>693</v>
      </c>
      <c r="E58" s="674"/>
      <c r="F58" s="674"/>
      <c r="G58" s="801"/>
      <c r="H58" s="801"/>
      <c r="I58" s="801"/>
      <c r="J58" s="801"/>
    </row>
    <row r="59" spans="1:12">
      <c r="B59" s="791">
        <v>8</v>
      </c>
      <c r="C59" s="790" t="s">
        <v>1031</v>
      </c>
      <c r="D59" s="123"/>
      <c r="E59" s="674">
        <f>Drainage!X230</f>
        <v>218156.89166956834</v>
      </c>
      <c r="F59" s="674">
        <f t="shared" si="0"/>
        <v>86.517303371256702</v>
      </c>
      <c r="G59" s="674">
        <f>Drainage!M78</f>
        <v>15127.91345264269</v>
      </c>
      <c r="H59" s="801"/>
      <c r="I59" s="674">
        <f>Drainage!X230</f>
        <v>218156.89166956834</v>
      </c>
      <c r="J59" s="674">
        <f>Drainage!J85</f>
        <v>8324.64</v>
      </c>
    </row>
    <row r="62" spans="1:12">
      <c r="C62" s="3" t="s">
        <v>1060</v>
      </c>
    </row>
    <row r="63" spans="1:12">
      <c r="E63" s="173" t="s">
        <v>1058</v>
      </c>
      <c r="I63" s="1345" t="s">
        <v>1057</v>
      </c>
      <c r="J63" s="1345" t="s">
        <v>552</v>
      </c>
    </row>
    <row r="64" spans="1:12">
      <c r="C64" s="173" t="s">
        <v>1032</v>
      </c>
      <c r="E64" s="1" t="s">
        <v>585</v>
      </c>
      <c r="F64" s="1" t="s">
        <v>630</v>
      </c>
      <c r="G64" s="1" t="s">
        <v>1056</v>
      </c>
      <c r="H64" s="1" t="s">
        <v>808</v>
      </c>
      <c r="I64" s="1345"/>
      <c r="J64" s="1345"/>
    </row>
    <row r="65" spans="2:11">
      <c r="B65" s="791">
        <v>1</v>
      </c>
      <c r="C65" s="792" t="s">
        <v>698</v>
      </c>
      <c r="D65" s="123"/>
      <c r="E65" s="190">
        <v>0</v>
      </c>
      <c r="F65" s="190"/>
      <c r="G65" s="190">
        <v>0</v>
      </c>
      <c r="H65" s="190">
        <f>Benefits!C26</f>
        <v>0</v>
      </c>
      <c r="I65" s="801"/>
      <c r="J65" s="801"/>
    </row>
    <row r="66" spans="2:11">
      <c r="B66" s="791">
        <v>2</v>
      </c>
      <c r="C66" s="792" t="s">
        <v>697</v>
      </c>
      <c r="D66" s="123"/>
      <c r="E66" s="190">
        <f>Benefits!C16*Health!H30</f>
        <v>12.330290127814433</v>
      </c>
      <c r="F66" s="190"/>
      <c r="G66" s="190">
        <f>Benefits!C21*Health!H30</f>
        <v>99.503935542497189</v>
      </c>
      <c r="H66" s="801"/>
      <c r="I66" s="801"/>
      <c r="J66" s="801"/>
    </row>
    <row r="67" spans="2:11">
      <c r="B67" s="791">
        <v>3</v>
      </c>
      <c r="C67" s="792" t="s">
        <v>696</v>
      </c>
      <c r="D67" s="123"/>
      <c r="E67" s="190">
        <f>Benefits!C17</f>
        <v>2.0904302516544866</v>
      </c>
      <c r="F67" s="190"/>
      <c r="G67" s="801"/>
      <c r="H67" s="801"/>
      <c r="I67" s="801"/>
      <c r="J67" s="801"/>
    </row>
    <row r="68" spans="2:11">
      <c r="B68" s="462">
        <v>4</v>
      </c>
      <c r="C68" s="363" t="s">
        <v>695</v>
      </c>
      <c r="E68" s="190"/>
      <c r="F68" s="190"/>
      <c r="G68" s="190"/>
      <c r="H68" s="801"/>
      <c r="I68" s="801"/>
      <c r="J68" s="801"/>
    </row>
    <row r="69" spans="2:11">
      <c r="B69" s="703">
        <v>5</v>
      </c>
      <c r="C69" s="238" t="s">
        <v>719</v>
      </c>
      <c r="D69" s="6"/>
      <c r="E69" s="805"/>
      <c r="F69" s="190"/>
      <c r="G69" s="801"/>
      <c r="H69" s="801"/>
      <c r="I69" s="801"/>
      <c r="J69" s="801"/>
    </row>
    <row r="70" spans="2:11">
      <c r="B70" s="804">
        <v>6</v>
      </c>
      <c r="C70" s="803" t="s">
        <v>694</v>
      </c>
      <c r="D70" s="802"/>
      <c r="E70" s="190">
        <f>Benefits!C16*Health!H31</f>
        <v>7.077710998209807</v>
      </c>
      <c r="F70" s="190"/>
      <c r="G70" s="190">
        <f>Benefits!C21*Health!H31</f>
        <v>57.116263417487289</v>
      </c>
      <c r="H70" s="801"/>
      <c r="I70" s="801"/>
      <c r="J70" s="801"/>
    </row>
    <row r="71" spans="2:11">
      <c r="B71" s="462">
        <v>7</v>
      </c>
      <c r="C71" s="363" t="s">
        <v>693</v>
      </c>
      <c r="E71" s="190"/>
      <c r="F71" s="190"/>
      <c r="G71" s="801"/>
      <c r="H71" s="801"/>
      <c r="I71" s="801"/>
      <c r="J71" s="801"/>
    </row>
    <row r="72" spans="2:11">
      <c r="B72" s="791">
        <v>8</v>
      </c>
      <c r="C72" s="790" t="s">
        <v>1031</v>
      </c>
      <c r="D72" s="123"/>
      <c r="E72" s="190">
        <f>Benefits!C18</f>
        <v>16.270279416934027</v>
      </c>
      <c r="F72" s="190"/>
      <c r="G72" s="190">
        <f>Drainage!E14</f>
        <v>27.400035764892891</v>
      </c>
      <c r="H72" s="801"/>
      <c r="I72" s="190">
        <f>Drainage!E15</f>
        <v>1.3436462796650386</v>
      </c>
      <c r="J72" s="190">
        <f>Drainage!E16</f>
        <v>4.0845224882762805</v>
      </c>
    </row>
    <row r="74" spans="2:11">
      <c r="F74" s="445"/>
    </row>
    <row r="75" spans="2:11">
      <c r="C75" s="3" t="s">
        <v>1059</v>
      </c>
    </row>
    <row r="76" spans="2:11">
      <c r="E76" s="173" t="s">
        <v>1058</v>
      </c>
      <c r="I76" s="1345" t="s">
        <v>1057</v>
      </c>
      <c r="J76" s="1345" t="s">
        <v>552</v>
      </c>
      <c r="K76" s="173"/>
    </row>
    <row r="77" spans="2:11">
      <c r="C77" s="173" t="s">
        <v>1032</v>
      </c>
      <c r="E77" s="1" t="s">
        <v>585</v>
      </c>
      <c r="F77" s="1" t="s">
        <v>630</v>
      </c>
      <c r="G77" s="1" t="s">
        <v>1056</v>
      </c>
      <c r="H77" s="1" t="s">
        <v>808</v>
      </c>
      <c r="I77" s="1345"/>
      <c r="J77" s="1345"/>
      <c r="K77" s="173"/>
    </row>
    <row r="78" spans="2:11">
      <c r="B78" s="791">
        <v>1</v>
      </c>
      <c r="C78" s="792" t="s">
        <v>698</v>
      </c>
      <c r="D78" s="123"/>
      <c r="E78" s="142">
        <f>IFERROR(E65*1000000/E52,0)</f>
        <v>0</v>
      </c>
      <c r="F78" s="142">
        <f>F65*1000000/F52</f>
        <v>0</v>
      </c>
      <c r="G78" s="142">
        <f>IFERROR(G65*1000000/G52,0)</f>
        <v>0</v>
      </c>
      <c r="H78" s="142">
        <f>H65*1000000/H52</f>
        <v>0</v>
      </c>
      <c r="I78" s="801"/>
      <c r="J78" s="801"/>
    </row>
    <row r="79" spans="2:11">
      <c r="B79" s="791">
        <v>2</v>
      </c>
      <c r="C79" s="792" t="s">
        <v>697</v>
      </c>
      <c r="D79" s="123"/>
      <c r="E79" s="142">
        <f>E66*1000000/E53</f>
        <v>49.301045684618408</v>
      </c>
      <c r="F79" s="142">
        <f>F66*1000000/F53</f>
        <v>0</v>
      </c>
      <c r="G79" s="142">
        <f>G66*1000000/G53</f>
        <v>397.85341797545476</v>
      </c>
      <c r="H79" s="801"/>
      <c r="I79" s="801"/>
      <c r="J79" s="801"/>
    </row>
    <row r="80" spans="2:11">
      <c r="B80" s="791">
        <v>3</v>
      </c>
      <c r="C80" s="792" t="s">
        <v>696</v>
      </c>
      <c r="D80" s="123"/>
      <c r="E80" s="142">
        <f>E67*1000000/E54</f>
        <v>13.462327741206122</v>
      </c>
      <c r="F80" s="142">
        <f>F67*1000000/F54</f>
        <v>0</v>
      </c>
      <c r="G80" s="801"/>
      <c r="H80" s="801"/>
      <c r="I80" s="801"/>
      <c r="J80" s="801"/>
    </row>
    <row r="81" spans="2:13">
      <c r="B81" s="462">
        <v>4</v>
      </c>
      <c r="C81" s="363" t="s">
        <v>695</v>
      </c>
      <c r="E81" s="674"/>
      <c r="F81" s="674"/>
      <c r="G81" s="142"/>
      <c r="H81" s="801"/>
      <c r="I81" s="801"/>
      <c r="J81" s="801"/>
    </row>
    <row r="82" spans="2:13">
      <c r="B82" s="703">
        <v>5</v>
      </c>
      <c r="C82" s="238" t="s">
        <v>719</v>
      </c>
      <c r="D82" s="6"/>
      <c r="E82" s="142">
        <f>IFERROR(E69*1000000/E56,0)</f>
        <v>0</v>
      </c>
      <c r="F82" s="142">
        <f>IFERROR(F69*1000000/F56,0)</f>
        <v>0</v>
      </c>
      <c r="G82" s="801"/>
      <c r="H82" s="801"/>
      <c r="I82" s="801"/>
      <c r="J82" s="801"/>
    </row>
    <row r="83" spans="2:13">
      <c r="B83" s="804">
        <v>6</v>
      </c>
      <c r="C83" s="803" t="s">
        <v>694</v>
      </c>
      <c r="D83" s="802"/>
      <c r="E83" s="142">
        <f>E70*1000000/E57</f>
        <v>22.217408631837067</v>
      </c>
      <c r="F83" s="142">
        <f>F70*1000000/F57</f>
        <v>0</v>
      </c>
      <c r="G83" s="142">
        <f>G70*1000000/G57</f>
        <v>179.29177444387437</v>
      </c>
      <c r="H83" s="801"/>
      <c r="I83" s="801"/>
      <c r="J83" s="801"/>
    </row>
    <row r="84" spans="2:13">
      <c r="B84" s="462">
        <v>7</v>
      </c>
      <c r="C84" s="363" t="s">
        <v>693</v>
      </c>
      <c r="E84" s="674"/>
      <c r="F84" s="674"/>
      <c r="G84" s="801"/>
      <c r="H84" s="801"/>
      <c r="I84" s="801"/>
      <c r="J84" s="801"/>
    </row>
    <row r="85" spans="2:13">
      <c r="B85" s="791">
        <v>8</v>
      </c>
      <c r="C85" s="790" t="s">
        <v>1031</v>
      </c>
      <c r="D85" s="123"/>
      <c r="E85" s="142">
        <f>E72*1000000/E59</f>
        <v>74.580634571828369</v>
      </c>
      <c r="F85" s="142">
        <f>F72*1000000/F59</f>
        <v>0</v>
      </c>
      <c r="G85" s="142">
        <f>G72*1000000/G59</f>
        <v>1811.2237256425069</v>
      </c>
      <c r="H85" s="801"/>
      <c r="I85" s="142">
        <f>I72*1000000/I59</f>
        <v>6.1590824354987346</v>
      </c>
      <c r="J85" s="142">
        <f>J72*1000000/J59</f>
        <v>490.6545494191077</v>
      </c>
      <c r="K85" s="142"/>
    </row>
    <row r="87" spans="2:13">
      <c r="E87" s="1419" t="s">
        <v>1055</v>
      </c>
      <c r="F87" s="1419"/>
      <c r="G87" s="1419"/>
      <c r="H87" s="1419"/>
      <c r="I87" s="1419" t="s">
        <v>1054</v>
      </c>
      <c r="J87" s="1419"/>
      <c r="K87" s="1419"/>
      <c r="L87" s="1419"/>
    </row>
    <row r="88" spans="2:13">
      <c r="C88" s="1" t="s">
        <v>1053</v>
      </c>
      <c r="E88" s="794" t="s">
        <v>1046</v>
      </c>
      <c r="F88" s="794" t="s">
        <v>1045</v>
      </c>
      <c r="G88" s="794" t="s">
        <v>1044</v>
      </c>
      <c r="H88" s="794" t="s">
        <v>1043</v>
      </c>
      <c r="I88" s="794" t="s">
        <v>1046</v>
      </c>
      <c r="J88" s="794" t="s">
        <v>1045</v>
      </c>
      <c r="K88" s="794" t="s">
        <v>1044</v>
      </c>
      <c r="L88" s="794" t="s">
        <v>1043</v>
      </c>
    </row>
    <row r="89" spans="2:13">
      <c r="C89" s="1" t="s">
        <v>1052</v>
      </c>
      <c r="E89" s="799">
        <f>20.84%</f>
        <v>0.2084</v>
      </c>
      <c r="F89" s="799">
        <v>0.1908</v>
      </c>
      <c r="G89" s="799">
        <v>0.26369999999999999</v>
      </c>
      <c r="H89" s="799">
        <v>0.33710000000000001</v>
      </c>
      <c r="I89" s="446">
        <v>0.82699999999999996</v>
      </c>
      <c r="J89" s="446">
        <v>1.6</v>
      </c>
      <c r="K89" s="446">
        <v>2.82</v>
      </c>
      <c r="L89" s="446">
        <v>10.15</v>
      </c>
    </row>
    <row r="90" spans="2:13">
      <c r="C90" s="123" t="s">
        <v>1051</v>
      </c>
      <c r="D90" s="1" t="s">
        <v>1392</v>
      </c>
      <c r="E90" s="596">
        <v>0.61920000000000008</v>
      </c>
      <c r="F90" s="596">
        <v>0.13771428571428571</v>
      </c>
      <c r="G90" s="596">
        <v>0.14204285714285714</v>
      </c>
      <c r="H90" s="596">
        <v>0.10104285714285713</v>
      </c>
      <c r="I90" s="446">
        <v>0.58199999999999996</v>
      </c>
      <c r="J90" s="446">
        <v>1.5995714285714284</v>
      </c>
      <c r="K90" s="446">
        <v>2.7598571428571432</v>
      </c>
      <c r="L90" s="446">
        <v>9.035857142857143</v>
      </c>
      <c r="M90" s="879"/>
    </row>
    <row r="91" spans="2:13">
      <c r="C91" s="123" t="s">
        <v>13</v>
      </c>
      <c r="E91" s="129">
        <v>0.45091779661016956</v>
      </c>
      <c r="F91" s="129">
        <v>0.14765762711864408</v>
      </c>
      <c r="G91" s="129">
        <v>0.17088474576271184</v>
      </c>
      <c r="H91" s="129">
        <v>0.23056186440677967</v>
      </c>
      <c r="I91" s="446">
        <v>0.65099152542372873</v>
      </c>
      <c r="J91" s="446">
        <v>1.5969915254237292</v>
      </c>
      <c r="K91" s="446">
        <v>2.8421016949152547</v>
      </c>
      <c r="L91" s="446">
        <v>9.7672881355932208</v>
      </c>
    </row>
    <row r="92" spans="2:13">
      <c r="C92" s="792" t="s">
        <v>697</v>
      </c>
      <c r="D92" s="1" t="s">
        <v>1393</v>
      </c>
      <c r="E92" s="596">
        <v>0.64476152865019609</v>
      </c>
      <c r="F92" s="596">
        <v>0.12097749167343054</v>
      </c>
      <c r="G92" s="596">
        <v>0.14389705841193429</v>
      </c>
      <c r="H92" s="596">
        <v>9.0355687856603084E-2</v>
      </c>
      <c r="I92" s="497">
        <v>0.56228241524491918</v>
      </c>
      <c r="J92" s="497">
        <v>1.5816739143472889</v>
      </c>
      <c r="K92" s="497">
        <v>2.7696428751354443</v>
      </c>
      <c r="L92" s="497">
        <v>12.079712522440754</v>
      </c>
    </row>
    <row r="93" spans="2:13">
      <c r="C93" s="792" t="s">
        <v>34</v>
      </c>
      <c r="D93" s="879" t="s">
        <v>1393</v>
      </c>
      <c r="E93" s="596">
        <v>0.66997746533232416</v>
      </c>
      <c r="F93" s="596">
        <v>0.11354910391754283</v>
      </c>
      <c r="G93" s="596">
        <v>0.12026065399163145</v>
      </c>
      <c r="H93" s="596">
        <v>9.620119004549435E-2</v>
      </c>
      <c r="I93" s="497">
        <v>0.52408331210120007</v>
      </c>
      <c r="J93" s="497">
        <v>1.605224712227052</v>
      </c>
      <c r="K93" s="497">
        <v>2.7677503480607513</v>
      </c>
      <c r="L93" s="497">
        <v>8.407523004288727</v>
      </c>
    </row>
    <row r="94" spans="2:13">
      <c r="C94" s="792" t="s">
        <v>1049</v>
      </c>
      <c r="D94" s="879" t="s">
        <v>1393</v>
      </c>
      <c r="E94" s="799">
        <v>0.56422852127728906</v>
      </c>
      <c r="F94" s="799">
        <v>0.15326315909436095</v>
      </c>
      <c r="G94" s="799">
        <v>0.16392908280406127</v>
      </c>
      <c r="H94" s="799">
        <v>0.11857923682428896</v>
      </c>
      <c r="I94" s="800">
        <v>0.653193671989168</v>
      </c>
      <c r="J94" s="800">
        <v>1.5927352456377666</v>
      </c>
      <c r="K94" s="800">
        <v>2.7875145755748818</v>
      </c>
      <c r="L94" s="800">
        <v>10.368615691546355</v>
      </c>
      <c r="M94" s="879"/>
    </row>
    <row r="95" spans="2:13">
      <c r="C95" s="792" t="s">
        <v>1048</v>
      </c>
      <c r="D95" s="879" t="s">
        <v>1393</v>
      </c>
      <c r="E95" s="1281">
        <f>E90*$H52/'Poverty Scorecard'!$D$18+E91*($E59)/'Poverty Scorecard'!$D$18+ERR!$D130*E92*Health!$E42/'Poverty Scorecard'!$D$18+ERR!$D130*E94*Health!$I42/'Poverty Scorecard'!$D$18</f>
        <v>0.58927273527431712</v>
      </c>
      <c r="F95" s="1281">
        <f>F90*$H52/'Poverty Scorecard'!$D$18+F91*($E59)/'Poverty Scorecard'!$D$18+ERR!$D130*F92*Health!$E42/'Poverty Scorecard'!$D$18+ERR!$D130*F94*Health!$I42/'Poverty Scorecard'!$D$18</f>
        <v>0.1385959257638022</v>
      </c>
      <c r="G95" s="1281">
        <f>G90*$H52/'Poverty Scorecard'!$D$18+G91*($E59)/'Poverty Scorecard'!$D$18+ERR!$D130*G92*Health!$E42/'Poverty Scorecard'!$D$18+ERR!$D130*G94*Health!$I42/'Poverty Scorecard'!$D$18</f>
        <v>0.14795412187588186</v>
      </c>
      <c r="H95" s="1281">
        <f>H90*$H52/'Poverty Scorecard'!$D$18+H91*($E59)/'Poverty Scorecard'!$D$18+ERR!$D130*H92*Health!$E42/'Poverty Scorecard'!$D$18+ERR!$D130*H94*Health!$I42/'Poverty Scorecard'!$D$18</f>
        <v>0.12418058425014993</v>
      </c>
      <c r="I95" s="497">
        <f>I90*$H52/'Poverty Scorecard'!$D$18+I91*($E59)/'Poverty Scorecard'!$D$18+I92*Health!$E42/'Poverty Scorecard'!$D$18+I94*Health!$I42/'Poverty Scorecard'!$D$18</f>
        <v>0.60953048913561114</v>
      </c>
      <c r="J95" s="497">
        <f>J90*$H52/'Poverty Scorecard'!$D$18+J91*($E59)/'Poverty Scorecard'!$D$18+J92*Health!$E42/'Poverty Scorecard'!$D$18+J94*Health!$I42/'Poverty Scorecard'!$D$18</f>
        <v>1.6377544708012159</v>
      </c>
      <c r="K95" s="497">
        <f>K90*$H52/'Poverty Scorecard'!$D$18+K91*($E59)/'Poverty Scorecard'!$D$18+K92*Health!$E42/'Poverty Scorecard'!$D$18+K94*Health!$I42/'Poverty Scorecard'!$D$18</f>
        <v>2.846622229085694</v>
      </c>
      <c r="L95" s="497">
        <f>L90*$H52/'Poverty Scorecard'!$D$18+L91*($E59)/'Poverty Scorecard'!$D$18+L92*Health!$E42/'Poverty Scorecard'!$D$18+L94*Health!$I42/'Poverty Scorecard'!$D$18</f>
        <v>9.7331539271969216</v>
      </c>
    </row>
    <row r="96" spans="2:13" s="879" customFormat="1">
      <c r="C96" s="792" t="s">
        <v>1394</v>
      </c>
      <c r="E96" s="198">
        <f>E92*Health!$E42/SUM(Health!$E$42,Health!$I$42)+E94*Health!$I42/SUM(Health!$E$42,Health!$I$42)</f>
        <v>0.6257707690301032</v>
      </c>
      <c r="F96" s="198">
        <f>F92*Health!$E42/SUM(Health!$E$42,Health!$I$42)+F94*Health!$I42/SUM(Health!$E$42,Health!$I$42)</f>
        <v>0.12859088361254023</v>
      </c>
      <c r="G96" s="198">
        <f>G92*Health!$E42/SUM(Health!$E$42,Health!$I$42)+G94*Health!$I42/SUM(Health!$E$42,Health!$I$42)</f>
        <v>0.14862087753088479</v>
      </c>
      <c r="H96" s="198">
        <f>H92*Health!$E42/SUM(Health!$E$42,Health!$I$42)+H94*Health!$I42/SUM(Health!$E$42,Health!$I$42)</f>
        <v>9.701117796625916E-2</v>
      </c>
      <c r="I96" s="497">
        <f>I91*$H53/'Poverty Scorecard'!$D$18+I92*($E60)/'Poverty Scorecard'!$D$18+I93*Health!$E43/'Poverty Scorecard'!$D$18+I95*Health!$I43/'Poverty Scorecard'!$D$18</f>
        <v>0</v>
      </c>
      <c r="J96" s="497">
        <f>J91*$H53/'Poverty Scorecard'!$D$18+J92*($E60)/'Poverty Scorecard'!$D$18+J93*Health!$E43/'Poverty Scorecard'!$D$18+J95*Health!$I43/'Poverty Scorecard'!$D$18</f>
        <v>0</v>
      </c>
      <c r="K96" s="497">
        <f>K91*$H53/'Poverty Scorecard'!$D$18+K92*($E60)/'Poverty Scorecard'!$D$18+K93*Health!$E43/'Poverty Scorecard'!$D$18+K95*Health!$I43/'Poverty Scorecard'!$D$18</f>
        <v>0</v>
      </c>
      <c r="L96" s="497">
        <f>L91*$H53/'Poverty Scorecard'!$D$18+L92*($E60)/'Poverty Scorecard'!$D$18+L93*Health!$E43/'Poverty Scorecard'!$D$18+L95*Health!$I43/'Poverty Scorecard'!$D$18</f>
        <v>0</v>
      </c>
    </row>
    <row r="97" spans="2:12" ht="15.75" customHeight="1">
      <c r="B97" s="879"/>
      <c r="C97" s="879" t="s">
        <v>160</v>
      </c>
      <c r="D97" s="102"/>
      <c r="E97" s="129">
        <v>0.63619999999999999</v>
      </c>
      <c r="F97" s="129">
        <v>0.1152</v>
      </c>
      <c r="G97" s="129">
        <v>0.12859999999999999</v>
      </c>
      <c r="H97" s="129">
        <v>0.12</v>
      </c>
      <c r="I97" s="446">
        <v>0.56999999999999995</v>
      </c>
      <c r="J97" s="446">
        <v>1.56</v>
      </c>
      <c r="K97" s="446">
        <v>2.69</v>
      </c>
      <c r="L97" s="446">
        <v>8.49</v>
      </c>
    </row>
    <row r="98" spans="2:12">
      <c r="C98" s="879" t="s">
        <v>159</v>
      </c>
      <c r="D98" s="102"/>
      <c r="E98" s="129">
        <v>0.6</v>
      </c>
      <c r="F98" s="129">
        <v>0.14940000000000001</v>
      </c>
      <c r="G98" s="129">
        <v>0.16920000000000002</v>
      </c>
      <c r="H98" s="129">
        <v>8.539999999999999E-2</v>
      </c>
      <c r="I98" s="446">
        <v>0.58099999999999996</v>
      </c>
      <c r="J98" s="446">
        <v>1.5649999999999999</v>
      </c>
      <c r="K98" s="446">
        <v>2.7559999999999998</v>
      </c>
      <c r="L98" s="446">
        <v>6.22</v>
      </c>
    </row>
    <row r="99" spans="2:12">
      <c r="C99" s="879" t="s">
        <v>81</v>
      </c>
      <c r="D99" s="102"/>
      <c r="E99" s="129">
        <v>0.60780000000000001</v>
      </c>
      <c r="F99" s="129">
        <v>0.14019999999999999</v>
      </c>
      <c r="G99" s="129">
        <v>0.1176</v>
      </c>
      <c r="H99" s="129">
        <v>0.1343</v>
      </c>
      <c r="I99" s="446">
        <v>0.56399999999999995</v>
      </c>
      <c r="J99" s="446">
        <v>1.593</v>
      </c>
      <c r="K99" s="446">
        <v>2.92</v>
      </c>
      <c r="L99" s="446">
        <v>9.0299999999999994</v>
      </c>
    </row>
    <row r="100" spans="2:12">
      <c r="C100" s="879" t="s">
        <v>86</v>
      </c>
      <c r="D100" s="102"/>
      <c r="E100" s="129">
        <v>0.70750000000000002</v>
      </c>
      <c r="F100" s="129">
        <v>0.1094</v>
      </c>
      <c r="G100" s="129">
        <v>0.11890000000000001</v>
      </c>
      <c r="H100" s="129">
        <v>6.4199999999999993E-2</v>
      </c>
      <c r="I100" s="446">
        <v>0.53</v>
      </c>
      <c r="J100" s="446">
        <v>1.609</v>
      </c>
      <c r="K100" s="446">
        <v>2.726</v>
      </c>
      <c r="L100" s="446">
        <v>8.0660000000000007</v>
      </c>
    </row>
    <row r="101" spans="2:12">
      <c r="C101" s="879" t="s">
        <v>84</v>
      </c>
      <c r="D101" s="102"/>
      <c r="E101" s="129">
        <v>0.67700000000000005</v>
      </c>
      <c r="F101" s="129">
        <v>0.12870000000000001</v>
      </c>
      <c r="G101" s="129">
        <v>0.12869999999999998</v>
      </c>
      <c r="H101" s="129">
        <v>6.5599999999999992E-2</v>
      </c>
      <c r="I101" s="446">
        <v>0.55200000000000005</v>
      </c>
      <c r="J101" s="446">
        <v>1.5940000000000001</v>
      </c>
      <c r="K101" s="446">
        <v>2.71</v>
      </c>
      <c r="L101" s="446">
        <v>7.5350000000000001</v>
      </c>
    </row>
    <row r="102" spans="2:12">
      <c r="C102" s="879" t="s">
        <v>153</v>
      </c>
      <c r="D102" s="102"/>
      <c r="E102" s="129">
        <v>0.54139999999999999</v>
      </c>
      <c r="F102" s="129">
        <v>0.16120000000000001</v>
      </c>
      <c r="G102" s="129">
        <v>0.16120000000000001</v>
      </c>
      <c r="H102" s="129">
        <v>0.13619999999999999</v>
      </c>
      <c r="I102" s="446">
        <v>0.59799999999999998</v>
      </c>
      <c r="J102" s="446">
        <v>1.603</v>
      </c>
      <c r="K102" s="446">
        <v>2.81</v>
      </c>
      <c r="L102" s="446">
        <v>9.968</v>
      </c>
    </row>
    <row r="103" spans="2:12">
      <c r="C103" s="65" t="s">
        <v>152</v>
      </c>
      <c r="D103" s="31"/>
      <c r="E103" s="799">
        <v>0.68630000000000002</v>
      </c>
      <c r="F103" s="799">
        <v>0.12509999999999999</v>
      </c>
      <c r="G103" s="799">
        <v>0.12239999999999999</v>
      </c>
      <c r="H103" s="799">
        <v>6.6199999999999995E-2</v>
      </c>
      <c r="I103" s="446">
        <v>0.52010000000000001</v>
      </c>
      <c r="J103" s="446">
        <v>1.583</v>
      </c>
      <c r="K103" s="446">
        <v>2.82</v>
      </c>
      <c r="L103" s="446">
        <v>8.7100000000000009</v>
      </c>
    </row>
    <row r="104" spans="2:12" ht="15.75" customHeight="1">
      <c r="C104" s="879"/>
      <c r="D104" s="879"/>
      <c r="E104" s="129"/>
      <c r="F104" s="879"/>
    </row>
    <row r="105" spans="2:12">
      <c r="C105" s="792" t="s">
        <v>698</v>
      </c>
      <c r="K105" s="129"/>
    </row>
    <row r="106" spans="2:12">
      <c r="C106" s="792"/>
      <c r="I106" s="121"/>
      <c r="J106" s="121"/>
      <c r="K106" s="129"/>
      <c r="L106" s="121"/>
    </row>
    <row r="107" spans="2:12">
      <c r="C107" s="65" t="s">
        <v>1047</v>
      </c>
      <c r="D107" s="65" t="s">
        <v>70</v>
      </c>
      <c r="E107" s="794" t="s">
        <v>1046</v>
      </c>
      <c r="F107" s="794" t="s">
        <v>1045</v>
      </c>
      <c r="G107" s="794" t="s">
        <v>1044</v>
      </c>
      <c r="H107" s="794" t="s">
        <v>1043</v>
      </c>
      <c r="I107" s="798"/>
      <c r="K107" s="129"/>
    </row>
    <row r="108" spans="2:12">
      <c r="C108" s="201" t="s">
        <v>1042</v>
      </c>
      <c r="D108" s="102">
        <f>F52</f>
        <v>510.50482861136271</v>
      </c>
      <c r="E108" s="71">
        <v>0</v>
      </c>
      <c r="F108" s="71">
        <v>0</v>
      </c>
      <c r="G108" s="71">
        <f>F52/D34*D32</f>
        <v>459.45434575022648</v>
      </c>
      <c r="H108" s="71">
        <f>F52/D34*D33</f>
        <v>51.05048286113626</v>
      </c>
      <c r="K108" s="129"/>
    </row>
    <row r="109" spans="2:12">
      <c r="C109" s="201" t="s">
        <v>808</v>
      </c>
      <c r="D109" s="102">
        <f>H52</f>
        <v>860000</v>
      </c>
      <c r="E109" s="121">
        <f>E90*$D$109</f>
        <v>532512.00000000012</v>
      </c>
      <c r="F109" s="121">
        <f>F90*$D$109</f>
        <v>118434.28571428571</v>
      </c>
      <c r="G109" s="121">
        <f>G90*$D$109</f>
        <v>122156.85714285714</v>
      </c>
      <c r="H109" s="121">
        <f>H90*$D$109</f>
        <v>86896.85714285713</v>
      </c>
      <c r="I109" s="121"/>
      <c r="K109" s="129"/>
    </row>
    <row r="110" spans="2:12">
      <c r="C110" s="201" t="s">
        <v>1040</v>
      </c>
      <c r="D110" s="121">
        <f>SUM(E110:H110)</f>
        <v>5101.7092857142852</v>
      </c>
      <c r="E110" s="121">
        <f>I90*365</f>
        <v>212.42999999999998</v>
      </c>
      <c r="F110" s="121">
        <f>J90*365</f>
        <v>583.84357142857141</v>
      </c>
      <c r="G110" s="121">
        <f>K90*365</f>
        <v>1007.3478571428573</v>
      </c>
      <c r="H110" s="121">
        <f>L90*365</f>
        <v>3298.087857142857</v>
      </c>
      <c r="I110" s="121"/>
      <c r="K110" s="129"/>
    </row>
    <row r="111" spans="2:12">
      <c r="C111" s="201" t="s">
        <v>1039</v>
      </c>
      <c r="D111" s="121">
        <f>SUM(E111:H111)</f>
        <v>11.614954039238318</v>
      </c>
      <c r="E111" s="121">
        <f>LOG(E110)</f>
        <v>2.3272158491063633</v>
      </c>
      <c r="F111" s="121">
        <f>LOG(F110)</f>
        <v>2.7662965026507749</v>
      </c>
      <c r="G111" s="121">
        <f>LOG(G110)</f>
        <v>3.0031794669294669</v>
      </c>
      <c r="H111" s="121">
        <f>LOG(H110)</f>
        <v>3.5182622205517142</v>
      </c>
      <c r="I111" s="121"/>
      <c r="K111" s="129"/>
    </row>
    <row r="112" spans="2:12">
      <c r="C112" s="201" t="s">
        <v>1038</v>
      </c>
      <c r="D112" s="121">
        <f>SUM(E112:H112)</f>
        <v>2239479.6112911575</v>
      </c>
      <c r="E112" s="121">
        <f>E111*E109</f>
        <v>1239270.3662393279</v>
      </c>
      <c r="F112" s="121">
        <f>F111*F109</f>
        <v>327624.35036537121</v>
      </c>
      <c r="G112" s="121">
        <f>G111*G109</f>
        <v>366858.96511606476</v>
      </c>
      <c r="H112" s="121">
        <f>H111*H109</f>
        <v>305725.92957039364</v>
      </c>
      <c r="K112" s="129"/>
    </row>
    <row r="113" spans="3:11">
      <c r="C113" s="1" t="s">
        <v>1037</v>
      </c>
      <c r="D113" s="797">
        <f>E113+F113+G113+H113</f>
        <v>0</v>
      </c>
      <c r="E113" s="797">
        <f>(E112/$D$112*$H$65*1000000)*E13</f>
        <v>0</v>
      </c>
      <c r="F113" s="797">
        <f>(F112/$D$112*$H$65*1000000)*E13</f>
        <v>0</v>
      </c>
      <c r="G113" s="797">
        <f>(G112/$D$112*$H$65*1000000+F65*D35/D37*1000000)*E13</f>
        <v>0</v>
      </c>
      <c r="H113" s="797">
        <f>(H112/$D$112*$H$65*1000000+F65*D36/D37*1000000)*E13</f>
        <v>0</v>
      </c>
    </row>
    <row r="114" spans="3:11">
      <c r="C114" s="1" t="s">
        <v>1036</v>
      </c>
      <c r="D114" s="102"/>
      <c r="E114" s="121">
        <f>E113/(E109+E108)</f>
        <v>0</v>
      </c>
      <c r="F114" s="121">
        <f>F113/(F109+F108)</f>
        <v>0</v>
      </c>
      <c r="G114" s="121">
        <f>G113/(G109+G108)</f>
        <v>0</v>
      </c>
      <c r="H114" s="121">
        <f>H113/(H109+H108)</f>
        <v>0</v>
      </c>
      <c r="K114" s="121"/>
    </row>
    <row r="115" spans="3:11">
      <c r="D115" s="102"/>
      <c r="E115" s="121"/>
      <c r="F115" s="121">
        <f>(F109*F114+E109*E114)/(E109+F109)</f>
        <v>0</v>
      </c>
      <c r="G115" s="121"/>
      <c r="H115" s="121"/>
    </row>
    <row r="116" spans="3:11">
      <c r="C116" s="790" t="s">
        <v>1030</v>
      </c>
    </row>
    <row r="117" spans="3:11">
      <c r="C117" s="65" t="s">
        <v>1047</v>
      </c>
      <c r="D117" s="65" t="s">
        <v>70</v>
      </c>
      <c r="E117" s="794" t="s">
        <v>1046</v>
      </c>
      <c r="F117" s="794" t="s">
        <v>1045</v>
      </c>
      <c r="G117" s="794" t="s">
        <v>1044</v>
      </c>
      <c r="H117" s="794" t="s">
        <v>1043</v>
      </c>
    </row>
    <row r="118" spans="3:11">
      <c r="C118" s="1" t="s">
        <v>1042</v>
      </c>
      <c r="D118" s="2">
        <f>F59</f>
        <v>86.517303371256702</v>
      </c>
      <c r="E118" s="71">
        <v>0</v>
      </c>
      <c r="F118" s="71">
        <v>0</v>
      </c>
      <c r="G118" s="71">
        <f>D118*D32/D34</f>
        <v>77.865573034131046</v>
      </c>
      <c r="H118" s="71">
        <f>D118*D33/D34</f>
        <v>8.6517303371256684</v>
      </c>
      <c r="I118" s="71"/>
    </row>
    <row r="119" spans="3:11">
      <c r="C119" s="1" t="s">
        <v>1041</v>
      </c>
      <c r="D119" s="2">
        <f>E59+G59+J59</f>
        <v>241609.44512221101</v>
      </c>
      <c r="E119" s="71">
        <f>E91*$D$119</f>
        <v>108945.99863471306</v>
      </c>
      <c r="F119" s="71">
        <f>F91*$D$119</f>
        <v>35675.477356197931</v>
      </c>
      <c r="G119" s="71">
        <f>G91*$D$119</f>
        <v>41287.368603578907</v>
      </c>
      <c r="H119" s="71">
        <f>H91*$D$119</f>
        <v>55705.924125664489</v>
      </c>
    </row>
    <row r="120" spans="3:11">
      <c r="C120" s="201" t="s">
        <v>1040</v>
      </c>
      <c r="D120" s="72">
        <f>SUM(E120:H120)</f>
        <v>5422.9411016949161</v>
      </c>
      <c r="E120" s="72">
        <f>I91*365</f>
        <v>237.61190677966098</v>
      </c>
      <c r="F120" s="72">
        <f>J91*365</f>
        <v>582.9019067796612</v>
      </c>
      <c r="G120" s="72">
        <f>K91*365</f>
        <v>1037.3671186440679</v>
      </c>
      <c r="H120" s="72">
        <f>L91*365</f>
        <v>3565.0601694915258</v>
      </c>
    </row>
    <row r="121" spans="3:11">
      <c r="C121" s="201" t="s">
        <v>1039</v>
      </c>
      <c r="D121" s="72">
        <f>SUM(E121:H121)</f>
        <v>11.70946301756649</v>
      </c>
      <c r="E121" s="121">
        <f>LOG(E120)</f>
        <v>2.3758681994368525</v>
      </c>
      <c r="F121" s="121">
        <f>LOG(F120)</f>
        <v>2.7655954759791306</v>
      </c>
      <c r="G121" s="121">
        <f>LOG(G120)</f>
        <v>3.0159324780726853</v>
      </c>
      <c r="H121" s="121">
        <f>LOG(H120)</f>
        <v>3.552066864077823</v>
      </c>
    </row>
    <row r="122" spans="3:11">
      <c r="C122" s="201" t="s">
        <v>1038</v>
      </c>
      <c r="D122" s="715">
        <f>SUM(E122:H122)</f>
        <v>679896.35551710078</v>
      </c>
      <c r="E122" s="715">
        <f>E121*E119</f>
        <v>258841.33361210552</v>
      </c>
      <c r="F122" s="715">
        <f>F121*F119</f>
        <v>98663.938779696909</v>
      </c>
      <c r="G122" s="715">
        <f>G121*G119</f>
        <v>124519.91590569212</v>
      </c>
      <c r="H122" s="715">
        <f>H121*H119</f>
        <v>197871.1672196062</v>
      </c>
    </row>
    <row r="123" spans="3:11">
      <c r="C123" s="1" t="s">
        <v>1037</v>
      </c>
      <c r="D123" s="715">
        <f>SUM(E123:H123)</f>
        <v>41361201.798495322</v>
      </c>
      <c r="E123" s="715">
        <f>E122/$D$122*($E$72+$G$72+$I$72+$J$72)*1000000*$E$13</f>
        <v>15746500.987167994</v>
      </c>
      <c r="F123" s="715">
        <f>F122/$D$122*($E$72+$G$72+$I$72+$J$72)*1000000*$E$13</f>
        <v>6002178.1981721343</v>
      </c>
      <c r="G123" s="715">
        <f>G122/$D$122*($E$72+$G$72+$I$72+$J$72)*1000000*$E$13+F72*D35/D37*1000000*$E$13</f>
        <v>7575115.4244530415</v>
      </c>
      <c r="H123" s="715">
        <f>H122/$D$122*($E$72+$G$72+$I$72+$J$72)*1000000*$E$13+F72*D36/D37*1000000*$E$13</f>
        <v>12037407.188702155</v>
      </c>
    </row>
    <row r="124" spans="3:11">
      <c r="C124" s="1" t="s">
        <v>1036</v>
      </c>
      <c r="E124" s="1">
        <f>E123/(E119+E118)</f>
        <v>144.53491807408835</v>
      </c>
      <c r="F124" s="1">
        <f>F123/(F119+F118)</f>
        <v>168.24380899641616</v>
      </c>
      <c r="G124" s="1">
        <f>G123/(G119+G118)</f>
        <v>183.12758467920963</v>
      </c>
      <c r="H124" s="1">
        <f>H123/(H119+H118)</f>
        <v>216.0549013208628</v>
      </c>
    </row>
    <row r="126" spans="3:11">
      <c r="C126" s="792" t="s">
        <v>697</v>
      </c>
    </row>
    <row r="127" spans="3:11">
      <c r="C127" s="65" t="s">
        <v>1047</v>
      </c>
      <c r="D127" s="65" t="s">
        <v>70</v>
      </c>
      <c r="E127" s="794" t="s">
        <v>1046</v>
      </c>
      <c r="F127" s="794" t="s">
        <v>1045</v>
      </c>
      <c r="G127" s="794" t="s">
        <v>1044</v>
      </c>
      <c r="H127" s="794" t="s">
        <v>1043</v>
      </c>
    </row>
    <row r="128" spans="3:11">
      <c r="C128" s="1" t="s">
        <v>1042</v>
      </c>
      <c r="D128" s="2">
        <f>F53</f>
        <v>199.46354464121788</v>
      </c>
      <c r="E128" s="1">
        <v>0</v>
      </c>
      <c r="F128" s="1">
        <v>0</v>
      </c>
      <c r="G128" s="71">
        <f>D128*D32/D34</f>
        <v>179.51719017709613</v>
      </c>
      <c r="H128" s="71">
        <f>D128*D33/D34</f>
        <v>19.946354464121786</v>
      </c>
    </row>
    <row r="129" spans="3:10">
      <c r="C129" s="1" t="s">
        <v>1041</v>
      </c>
      <c r="D129" s="2">
        <f>E53</f>
        <v>250102</v>
      </c>
      <c r="E129" s="71">
        <f>$D$129*E92</f>
        <v>161256.14783847134</v>
      </c>
      <c r="F129" s="71">
        <f>$D$129*F92</f>
        <v>30256.712622508327</v>
      </c>
      <c r="G129" s="71">
        <f>$D$129*G92</f>
        <v>35988.94210294159</v>
      </c>
      <c r="H129" s="71">
        <f>$D$129*H92</f>
        <v>22598.138244312144</v>
      </c>
      <c r="J129" s="71"/>
    </row>
    <row r="130" spans="3:10">
      <c r="C130" s="201" t="s">
        <v>1040</v>
      </c>
      <c r="D130" s="72">
        <f>SUM(E130:H130)</f>
        <v>6202.5587804164679</v>
      </c>
      <c r="E130" s="1">
        <f>I92*365</f>
        <v>205.23308156439549</v>
      </c>
      <c r="F130" s="1">
        <f>J92*365</f>
        <v>577.31097873676049</v>
      </c>
      <c r="G130" s="1">
        <f>K92*365</f>
        <v>1010.9196494244371</v>
      </c>
      <c r="H130" s="1">
        <f>L92*365</f>
        <v>4409.0950706908752</v>
      </c>
    </row>
    <row r="131" spans="3:10">
      <c r="C131" s="201" t="s">
        <v>1039</v>
      </c>
      <c r="D131" s="72">
        <f>SUM(E131:H131)</f>
        <v>11.722723284114466</v>
      </c>
      <c r="E131" s="72">
        <f>LOG(E130)</f>
        <v>2.3122473661029668</v>
      </c>
      <c r="F131" s="72">
        <f>LOG(F130)</f>
        <v>2.7614098165657648</v>
      </c>
      <c r="G131" s="72">
        <f>LOG(G130)</f>
        <v>3.0047166380852111</v>
      </c>
      <c r="H131" s="72">
        <f>LOG(H130)</f>
        <v>3.6443494633605238</v>
      </c>
    </row>
    <row r="132" spans="3:10">
      <c r="C132" s="201" t="s">
        <v>1038</v>
      </c>
      <c r="D132" s="71">
        <f>SUM(E132:H132)</f>
        <v>646907.37246761948</v>
      </c>
      <c r="E132" s="71">
        <f>E131*E129</f>
        <v>372864.10310741595</v>
      </c>
      <c r="F132" s="71">
        <f>F131*F129</f>
        <v>83551.183252803778</v>
      </c>
      <c r="G132" s="71">
        <f>G131*G129</f>
        <v>108136.57312379396</v>
      </c>
      <c r="H132" s="71">
        <f>H131*H129</f>
        <v>82355.512983605891</v>
      </c>
    </row>
    <row r="133" spans="3:10">
      <c r="C133" s="1" t="s">
        <v>1037</v>
      </c>
      <c r="D133" s="715">
        <f>SUM(E133:H133)</f>
        <v>94210607.004904494</v>
      </c>
      <c r="E133" s="445">
        <f>E132/$D$132*($E$66+$G$66)*1000000*$E$13</f>
        <v>54301056.038509198</v>
      </c>
      <c r="F133" s="445">
        <f>F132/$D$132*($E$66+$G$66)*1000000*$E$13</f>
        <v>12167750.786637774</v>
      </c>
      <c r="G133" s="445">
        <f>G132/$D$132*($E$66+$G$66)*1000000*$E$13+F66*D35/D37*1000000*$E$13</f>
        <v>15748177.601628434</v>
      </c>
      <c r="H133" s="445">
        <f>H132/$D$132*($E$66+$G$66)*1000000*$E$13+F66*D36/D37*1000000*$E$13</f>
        <v>11993622.578129083</v>
      </c>
    </row>
    <row r="134" spans="3:10">
      <c r="C134" s="1" t="s">
        <v>1036</v>
      </c>
      <c r="D134" s="72">
        <f>SUM(E134:H134)</f>
        <v>1704.5671965246895</v>
      </c>
      <c r="E134" s="1">
        <f>E133/(E128+E129)</f>
        <v>336.73789660969715</v>
      </c>
      <c r="F134" s="1">
        <f>F133/(F128+F129)</f>
        <v>402.15045627878425</v>
      </c>
      <c r="G134" s="1">
        <f>G133/(G128+G129)</f>
        <v>435.41190057339935</v>
      </c>
      <c r="H134" s="1">
        <f>H133/(H128+H129)</f>
        <v>530.26694306280865</v>
      </c>
    </row>
    <row r="136" spans="3:10">
      <c r="C136" s="792" t="s">
        <v>34</v>
      </c>
    </row>
    <row r="137" spans="3:10">
      <c r="C137" s="65" t="s">
        <v>1047</v>
      </c>
      <c r="D137" s="65" t="s">
        <v>70</v>
      </c>
      <c r="E137" s="794" t="s">
        <v>1046</v>
      </c>
      <c r="F137" s="794" t="s">
        <v>1045</v>
      </c>
      <c r="G137" s="794" t="s">
        <v>1044</v>
      </c>
      <c r="H137" s="794" t="s">
        <v>1043</v>
      </c>
    </row>
    <row r="138" spans="3:10">
      <c r="C138" s="1" t="s">
        <v>1042</v>
      </c>
      <c r="D138" s="2">
        <f>F54</f>
        <v>221.22043677126081</v>
      </c>
      <c r="E138" s="71">
        <v>0</v>
      </c>
      <c r="F138" s="71">
        <v>0</v>
      </c>
      <c r="G138" s="71">
        <f>D138*D32/D34</f>
        <v>199.09839309413476</v>
      </c>
      <c r="H138" s="71">
        <f>D138*D33/D34</f>
        <v>22.122043677126079</v>
      </c>
    </row>
    <row r="139" spans="3:10">
      <c r="C139" s="1" t="s">
        <v>1041</v>
      </c>
      <c r="D139" s="2">
        <f>E54</f>
        <v>155280</v>
      </c>
      <c r="E139" s="1">
        <f>$D$139*E93</f>
        <v>104034.1008168033</v>
      </c>
      <c r="F139" s="1">
        <f>$D$139*F93</f>
        <v>17631.90485631605</v>
      </c>
      <c r="G139" s="1">
        <f>$D$139*G93</f>
        <v>18674.074351820531</v>
      </c>
      <c r="H139" s="1">
        <f>$D$139*H93</f>
        <v>14938.120790264362</v>
      </c>
    </row>
    <row r="140" spans="3:10">
      <c r="C140" s="201" t="s">
        <v>1040</v>
      </c>
      <c r="D140" s="72">
        <f>SUM(E140:H140)</f>
        <v>4856.1722024873716</v>
      </c>
      <c r="E140" s="1">
        <f>I93*365</f>
        <v>191.29040891693802</v>
      </c>
      <c r="F140" s="1">
        <f>J93*365</f>
        <v>585.90701996287396</v>
      </c>
      <c r="G140" s="1">
        <f>K93*365</f>
        <v>1010.2288770421742</v>
      </c>
      <c r="H140" s="1">
        <f>L93*365</f>
        <v>3068.7458965653855</v>
      </c>
    </row>
    <row r="141" spans="3:10">
      <c r="C141" s="201" t="s">
        <v>1039</v>
      </c>
      <c r="D141" s="72">
        <f>SUM(E141:H141)</f>
        <v>11.540902604272921</v>
      </c>
      <c r="E141" s="715">
        <f>LOG(E140)</f>
        <v>2.2816931955428701</v>
      </c>
      <c r="F141" s="715">
        <f>LOG(F140)</f>
        <v>2.7678287014771792</v>
      </c>
      <c r="G141" s="715">
        <f>LOG(G140)</f>
        <v>3.0044197785109437</v>
      </c>
      <c r="H141" s="715">
        <f>LOG(H140)</f>
        <v>3.4869609287419272</v>
      </c>
    </row>
    <row r="142" spans="3:10">
      <c r="C142" s="201" t="s">
        <v>1038</v>
      </c>
      <c r="D142" s="71">
        <f>SUM(E142:H142)</f>
        <v>394369.39413362037</v>
      </c>
      <c r="E142" s="715">
        <f>E141*E139</f>
        <v>237373.89993812103</v>
      </c>
      <c r="F142" s="715">
        <f>F141*F139</f>
        <v>48802.092323026423</v>
      </c>
      <c r="G142" s="715">
        <f>G141*G139</f>
        <v>56104.758327993535</v>
      </c>
      <c r="H142" s="715">
        <f>H141*H139</f>
        <v>52088.64354447931</v>
      </c>
    </row>
    <row r="143" spans="3:10">
      <c r="C143" s="1" t="s">
        <v>1037</v>
      </c>
      <c r="D143" s="715">
        <f>SUM(E143:H143)</f>
        <v>1761005.6467898069</v>
      </c>
      <c r="E143" s="715">
        <f>E142/$D$142*$E$67*1000000*$E$13</f>
        <v>1059962.5234860827</v>
      </c>
      <c r="F143" s="715">
        <f>F142/$D$142*$E$67*1000000*$E$13</f>
        <v>217919.4466771642</v>
      </c>
      <c r="G143" s="715">
        <f>G142/$D$142*$E$67*1000000*$E$13+F67*D35/D37*1000000*$E$13</f>
        <v>250528.55951062558</v>
      </c>
      <c r="H143" s="715">
        <f>H142/$D$142*$E$67*1000000*$E$13+F67*D36/D37*1000000*$E$13</f>
        <v>232595.11711593438</v>
      </c>
    </row>
    <row r="144" spans="3:10">
      <c r="C144" s="1" t="s">
        <v>1036</v>
      </c>
      <c r="D144" s="72">
        <f>SUM(E144:H144)</f>
        <v>51.369859430703201</v>
      </c>
      <c r="E144" s="715">
        <f>E143/(E139+E138)</f>
        <v>10.188606573844492</v>
      </c>
      <c r="F144" s="715">
        <f>F143/(F139+F138)</f>
        <v>12.359381952943203</v>
      </c>
      <c r="G144" s="715">
        <f>G143/(G139+G138)</f>
        <v>13.274321328835923</v>
      </c>
      <c r="H144" s="715">
        <f>H143/(H139+H138)</f>
        <v>15.547549575079586</v>
      </c>
    </row>
    <row r="145" spans="3:8">
      <c r="C145" s="102"/>
      <c r="D145" s="121"/>
      <c r="E145" s="121"/>
      <c r="F145" s="121"/>
      <c r="G145" s="121"/>
    </row>
    <row r="146" spans="3:8">
      <c r="C146" s="796" t="s">
        <v>1050</v>
      </c>
      <c r="D146" s="121"/>
      <c r="E146" s="121"/>
      <c r="F146" s="121"/>
      <c r="G146" s="121"/>
    </row>
    <row r="147" spans="3:8">
      <c r="C147" s="65" t="s">
        <v>1047</v>
      </c>
      <c r="D147" s="65" t="s">
        <v>70</v>
      </c>
      <c r="E147" s="794" t="s">
        <v>1046</v>
      </c>
      <c r="F147" s="794" t="s">
        <v>1045</v>
      </c>
      <c r="G147" s="794" t="s">
        <v>1044</v>
      </c>
      <c r="H147" s="794" t="s">
        <v>1043</v>
      </c>
    </row>
    <row r="148" spans="3:8">
      <c r="C148" s="1" t="s">
        <v>1042</v>
      </c>
      <c r="D148" s="121">
        <f>D128+D138</f>
        <v>420.68398141247872</v>
      </c>
      <c r="E148" s="188">
        <f>E128+E138</f>
        <v>0</v>
      </c>
      <c r="F148" s="188">
        <f>F128+F138</f>
        <v>0</v>
      </c>
      <c r="G148" s="188">
        <f>G128+G138</f>
        <v>378.61558327123089</v>
      </c>
      <c r="H148" s="188">
        <f>H128+H138</f>
        <v>42.068398141247869</v>
      </c>
    </row>
    <row r="149" spans="3:8">
      <c r="C149" s="1" t="s">
        <v>1041</v>
      </c>
      <c r="D149" s="188">
        <f>E149+F149+G149+H149</f>
        <v>405378.14162343764</v>
      </c>
      <c r="E149" s="188">
        <f>E129+E139</f>
        <v>265290.24865527463</v>
      </c>
      <c r="F149" s="188">
        <f>F129+F139</f>
        <v>47888.617478824381</v>
      </c>
      <c r="G149" s="188">
        <f>G129+G139</f>
        <v>54663.016454762124</v>
      </c>
      <c r="H149" s="188">
        <f>H129+H139</f>
        <v>37536.259034576506</v>
      </c>
    </row>
    <row r="150" spans="3:8">
      <c r="C150" s="201" t="s">
        <v>1040</v>
      </c>
      <c r="D150" s="121">
        <f>SUM(E150:H150)</f>
        <v>5666.4151270881566</v>
      </c>
      <c r="E150" s="121">
        <f>(E130*(E129+E128)+E140*(E139+E138))/(E139+E138+E129+E128)</f>
        <v>199.76543464102099</v>
      </c>
      <c r="F150" s="121">
        <f>(F130*(F129+F128)+F140*(F139+F138))/(F139+F138+F129+F128)</f>
        <v>580.47591831988416</v>
      </c>
      <c r="G150" s="121">
        <f>(G130*(G129+G128)+G140*(G139+G138))/(G139+G138+G129+G128)</f>
        <v>1010.6827911407138</v>
      </c>
      <c r="H150" s="121">
        <f>(H130*(H129+H128)+H140*(H139+H138))/(H139+H138+H129+H128)</f>
        <v>3875.4909829865378</v>
      </c>
    </row>
    <row r="151" spans="3:8">
      <c r="C151" s="201" t="s">
        <v>1039</v>
      </c>
      <c r="D151" s="121">
        <f>SUM(E151:H151)</f>
        <v>11.657246153610158</v>
      </c>
      <c r="E151" s="121">
        <f>LOG(E150)</f>
        <v>2.3005203445340254</v>
      </c>
      <c r="F151" s="121">
        <f>LOG(F150)</f>
        <v>2.763784207265414</v>
      </c>
      <c r="G151" s="121">
        <f>LOG(G150)</f>
        <v>3.0046148710473197</v>
      </c>
      <c r="H151" s="121">
        <f>LOG(H150)</f>
        <v>3.5883267307633981</v>
      </c>
    </row>
    <row r="152" spans="3:8">
      <c r="C152" s="201" t="s">
        <v>1038</v>
      </c>
      <c r="D152" s="121">
        <f>SUM(E152:H152)</f>
        <v>1041593.0927366116</v>
      </c>
      <c r="E152" s="121">
        <f>E151*E149</f>
        <v>610305.61423794972</v>
      </c>
      <c r="F152" s="121">
        <f>F151*F149</f>
        <v>132353.80469574928</v>
      </c>
      <c r="G152" s="121">
        <f>G151*G149</f>
        <v>164241.31213628262</v>
      </c>
      <c r="H152" s="121">
        <f>H151*H149</f>
        <v>134692.36166662999</v>
      </c>
    </row>
    <row r="153" spans="3:8">
      <c r="C153" s="1" t="s">
        <v>1037</v>
      </c>
      <c r="D153" s="121">
        <f>D133+D143</f>
        <v>95971612.651694298</v>
      </c>
      <c r="E153" s="121">
        <f>E152/$D$152*($E$67+$E$66+$G$66)*1000000*$E$13</f>
        <v>56233105.247377053</v>
      </c>
      <c r="F153" s="121">
        <f>F152/$D$152*($E$67+$E$66+$G$66)*1000000*$E$13</f>
        <v>12194981.097527746</v>
      </c>
      <c r="G153" s="121">
        <f>G152/$D$152*($E$67+$E$66+$G$66)*1000000*$E$13+(F66+F67)*D35/D37*1000000*$E$13</f>
        <v>15133072.309778847</v>
      </c>
      <c r="H153" s="121">
        <f>H152/$D$152*($E$67+$E$66+$G$66)*1000000*$E$13+(F66+F67)*D36/D37*1000000*$E$13</f>
        <v>12410453.997010611</v>
      </c>
    </row>
    <row r="154" spans="3:8">
      <c r="C154" s="1" t="s">
        <v>1036</v>
      </c>
      <c r="D154" s="121">
        <f>D134+D144</f>
        <v>1755.9370559553927</v>
      </c>
      <c r="E154" s="121">
        <f>E153/(E148+E149)</f>
        <v>211.96823302935601</v>
      </c>
      <c r="F154" s="121">
        <f>F153/(F148+F149)</f>
        <v>254.6530206874354</v>
      </c>
      <c r="G154" s="121">
        <f>G153/(G148+G149)</f>
        <v>274.93865551301252</v>
      </c>
      <c r="H154" s="121">
        <f>H153/(H148+H149)</f>
        <v>330.2556245812417</v>
      </c>
    </row>
    <row r="155" spans="3:8">
      <c r="C155" s="102"/>
      <c r="D155" s="121"/>
      <c r="E155" s="121"/>
      <c r="F155" s="121"/>
      <c r="G155" s="121"/>
    </row>
    <row r="156" spans="3:8">
      <c r="C156" s="796" t="s">
        <v>719</v>
      </c>
      <c r="D156" s="121"/>
      <c r="E156" s="121"/>
      <c r="F156" s="121"/>
      <c r="G156" s="121"/>
    </row>
    <row r="157" spans="3:8">
      <c r="C157" s="65" t="s">
        <v>1047</v>
      </c>
      <c r="D157" s="65" t="s">
        <v>70</v>
      </c>
      <c r="E157" s="794" t="s">
        <v>1046</v>
      </c>
      <c r="F157" s="794" t="s">
        <v>1045</v>
      </c>
      <c r="G157" s="794" t="s">
        <v>1044</v>
      </c>
      <c r="H157" s="794" t="s">
        <v>1043</v>
      </c>
    </row>
    <row r="158" spans="3:8">
      <c r="C158" s="1" t="s">
        <v>1042</v>
      </c>
      <c r="D158" s="121">
        <f>F56</f>
        <v>0</v>
      </c>
      <c r="E158" s="71">
        <f>0</f>
        <v>0</v>
      </c>
      <c r="F158" s="71">
        <f>0</f>
        <v>0</v>
      </c>
      <c r="G158" s="71">
        <f>F56*D32/D34</f>
        <v>0</v>
      </c>
      <c r="H158" s="71">
        <f>F56*D33/D34</f>
        <v>0</v>
      </c>
    </row>
    <row r="159" spans="3:8">
      <c r="C159" s="1" t="s">
        <v>1041</v>
      </c>
      <c r="D159" s="121">
        <f>E56</f>
        <v>0</v>
      </c>
      <c r="E159" s="121">
        <f>$D$159*E94</f>
        <v>0</v>
      </c>
      <c r="F159" s="121">
        <f>$D$159*F94</f>
        <v>0</v>
      </c>
      <c r="G159" s="121">
        <f>$D$159*G94</f>
        <v>0</v>
      </c>
      <c r="H159" s="121">
        <f>$D$159*H94</f>
        <v>0</v>
      </c>
    </row>
    <row r="160" spans="3:8">
      <c r="C160" s="201" t="s">
        <v>1040</v>
      </c>
      <c r="D160" s="121">
        <f>SUM(E160:H160)</f>
        <v>5621.7516024330826</v>
      </c>
      <c r="E160" s="121">
        <f>I94*365</f>
        <v>238.41569027604632</v>
      </c>
      <c r="F160" s="121">
        <f>J94*365</f>
        <v>581.34836465778483</v>
      </c>
      <c r="G160" s="121">
        <f>K94*365</f>
        <v>1017.4428200848319</v>
      </c>
      <c r="H160" s="121">
        <f>L94*365</f>
        <v>3784.5447274144194</v>
      </c>
    </row>
    <row r="161" spans="3:8">
      <c r="C161" s="201" t="s">
        <v>1039</v>
      </c>
      <c r="D161" s="121">
        <f>SUM(E161:H161)</f>
        <v>11.727294941987214</v>
      </c>
      <c r="E161" s="121">
        <f>LOG(E160)</f>
        <v>2.377334833182621</v>
      </c>
      <c r="F161" s="121">
        <f>LOG(F160)</f>
        <v>2.7644364551260892</v>
      </c>
      <c r="G161" s="121">
        <f>LOG(G160)</f>
        <v>3.0075100113916844</v>
      </c>
      <c r="H161" s="121">
        <f>LOG(H160)</f>
        <v>3.5780136422868205</v>
      </c>
    </row>
    <row r="162" spans="3:8">
      <c r="C162" s="201" t="s">
        <v>1038</v>
      </c>
      <c r="D162" s="121">
        <f>SUM(E162:H162)</f>
        <v>0</v>
      </c>
      <c r="E162" s="121">
        <f>E161*E159</f>
        <v>0</v>
      </c>
      <c r="F162" s="121">
        <f>F161*F159</f>
        <v>0</v>
      </c>
      <c r="G162" s="121">
        <f>G161*G159</f>
        <v>0</v>
      </c>
      <c r="H162" s="121">
        <f>H161*H159</f>
        <v>0</v>
      </c>
    </row>
    <row r="163" spans="3:8">
      <c r="C163" s="1" t="s">
        <v>1037</v>
      </c>
      <c r="D163" s="121" t="e">
        <f>SUM(E163:H163)</f>
        <v>#DIV/0!</v>
      </c>
      <c r="E163" s="121" t="e">
        <f>E162/$D$162*$E$69*1000000*$E$13</f>
        <v>#DIV/0!</v>
      </c>
      <c r="F163" s="121" t="e">
        <f>F162/$D$162*$E$69*1000000*$E$13</f>
        <v>#DIV/0!</v>
      </c>
      <c r="G163" s="121" t="e">
        <f>G162/$D$162*$E$69*1000000*$E$13+F69*D35/D37*1000000*$E$13</f>
        <v>#DIV/0!</v>
      </c>
      <c r="H163" s="121" t="e">
        <f>H162/$D$162*$E$69*1000000*$E$13+F69*D36/D37*1000000*$E$13</f>
        <v>#DIV/0!</v>
      </c>
    </row>
    <row r="164" spans="3:8">
      <c r="C164" s="1" t="s">
        <v>1036</v>
      </c>
      <c r="D164" s="121" t="e">
        <f>SUM(E164:H164)</f>
        <v>#DIV/0!</v>
      </c>
      <c r="E164" s="121" t="e">
        <f>E163/(E159+E158)</f>
        <v>#DIV/0!</v>
      </c>
      <c r="F164" s="121" t="e">
        <f>F163/(F159+F158)</f>
        <v>#DIV/0!</v>
      </c>
      <c r="G164" s="121" t="e">
        <f>G163/(G159+G158)</f>
        <v>#DIV/0!</v>
      </c>
      <c r="H164" s="121" t="e">
        <f>H163/(H159+H158)</f>
        <v>#DIV/0!</v>
      </c>
    </row>
    <row r="165" spans="3:8">
      <c r="D165" s="121"/>
      <c r="E165" s="121"/>
      <c r="F165" s="121"/>
      <c r="G165" s="121"/>
      <c r="H165" s="121"/>
    </row>
    <row r="166" spans="3:8">
      <c r="C166" s="795" t="s">
        <v>1049</v>
      </c>
      <c r="D166" s="121"/>
      <c r="E166" s="121"/>
      <c r="F166" s="121"/>
      <c r="G166" s="121"/>
    </row>
    <row r="167" spans="3:8">
      <c r="C167" s="65" t="s">
        <v>1047</v>
      </c>
      <c r="D167" s="65" t="s">
        <v>70</v>
      </c>
      <c r="E167" s="794" t="s">
        <v>1046</v>
      </c>
      <c r="F167" s="794" t="s">
        <v>1045</v>
      </c>
      <c r="G167" s="794" t="s">
        <v>1044</v>
      </c>
      <c r="H167" s="794" t="s">
        <v>1043</v>
      </c>
    </row>
    <row r="168" spans="3:8">
      <c r="C168" s="1" t="s">
        <v>1042</v>
      </c>
      <c r="D168" s="102">
        <f>F57</f>
        <v>76.298020809455721</v>
      </c>
      <c r="E168" s="71">
        <v>0</v>
      </c>
      <c r="F168" s="71">
        <v>0</v>
      </c>
      <c r="G168" s="71">
        <f>D168*D32/D34</f>
        <v>68.668218728510155</v>
      </c>
      <c r="H168" s="71">
        <f>D168*D33/D34</f>
        <v>7.6298020809455718</v>
      </c>
    </row>
    <row r="169" spans="3:8">
      <c r="C169" s="1" t="s">
        <v>1041</v>
      </c>
      <c r="D169" s="102">
        <f>E57</f>
        <v>318566</v>
      </c>
      <c r="E169" s="49">
        <f>$D$169*E94</f>
        <v>179744.02310922087</v>
      </c>
      <c r="F169" s="49">
        <f>$D$169*F94</f>
        <v>48824.431540054189</v>
      </c>
      <c r="G169" s="49">
        <f>$D$169*G94</f>
        <v>52222.232192558578</v>
      </c>
      <c r="H169" s="49">
        <f>$D$169*H94</f>
        <v>37775.313158166435</v>
      </c>
    </row>
    <row r="170" spans="3:8">
      <c r="C170" s="201" t="s">
        <v>1040</v>
      </c>
      <c r="D170" s="121">
        <f>SUM(E170:H170)</f>
        <v>5621.7516024330826</v>
      </c>
      <c r="E170" s="121">
        <f>I94*365</f>
        <v>238.41569027604632</v>
      </c>
      <c r="F170" s="121">
        <f>J94*365</f>
        <v>581.34836465778483</v>
      </c>
      <c r="G170" s="121">
        <f>K94*365</f>
        <v>1017.4428200848319</v>
      </c>
      <c r="H170" s="121">
        <f>L94*365</f>
        <v>3784.5447274144194</v>
      </c>
    </row>
    <row r="171" spans="3:8">
      <c r="C171" s="201" t="s">
        <v>1039</v>
      </c>
      <c r="D171" s="121">
        <f>SUM(E171:H171)</f>
        <v>11.727294941987214</v>
      </c>
      <c r="E171" s="121">
        <f>LOG(E170)</f>
        <v>2.377334833182621</v>
      </c>
      <c r="F171" s="121">
        <f>LOG(F170)</f>
        <v>2.7644364551260892</v>
      </c>
      <c r="G171" s="121">
        <f>LOG(G170)</f>
        <v>3.0075100113916844</v>
      </c>
      <c r="H171" s="121">
        <f>LOG(H170)</f>
        <v>3.5780136422868205</v>
      </c>
    </row>
    <row r="172" spans="3:8">
      <c r="C172" s="201" t="s">
        <v>1038</v>
      </c>
      <c r="D172" s="121">
        <f>SUM(E172:H172)</f>
        <v>854503.23760198383</v>
      </c>
      <c r="E172" s="121">
        <f>E171*E169</f>
        <v>427311.72719393275</v>
      </c>
      <c r="F172" s="121">
        <f>F171*F169</f>
        <v>134972.03845013381</v>
      </c>
      <c r="G172" s="121">
        <f>G171*G169</f>
        <v>157058.88613634103</v>
      </c>
      <c r="H172" s="121">
        <f>H171*H169</f>
        <v>135160.58582157633</v>
      </c>
    </row>
    <row r="173" spans="3:8">
      <c r="C173" s="1" t="s">
        <v>1037</v>
      </c>
      <c r="D173" s="121">
        <f>SUM(E173:H173)</f>
        <v>54077839.404807672</v>
      </c>
      <c r="E173" s="121">
        <f>E172/$D$172*SUM($E$70:$G$70)*1000000*$E$13</f>
        <v>27042723.704398554</v>
      </c>
      <c r="F173" s="121">
        <f>F172/$D$172*SUM($E$70:$G$70)*1000000*$E$13</f>
        <v>8541800.5435874499</v>
      </c>
      <c r="G173" s="121">
        <f>G172/$D$172*SUM($E$70:$G$70)*1000000*$E$13</f>
        <v>9939582.2599974032</v>
      </c>
      <c r="H173" s="121">
        <f>H172/$D$172*SUM($E$70:$G$70)*1000000*$E$13</f>
        <v>8553732.896824263</v>
      </c>
    </row>
    <row r="174" spans="3:8">
      <c r="C174" s="1" t="s">
        <v>1036</v>
      </c>
      <c r="D174" s="121">
        <f>SUM(E174:H174)</f>
        <v>741.87445250192854</v>
      </c>
      <c r="E174" s="121">
        <f>E173/SUM(E168:E169)</f>
        <v>150.45130979385129</v>
      </c>
      <c r="F174" s="121">
        <f>F173/SUM(F168:F169)</f>
        <v>174.9493086587193</v>
      </c>
      <c r="G174" s="121">
        <f>G173/SUM(G168:G169)</f>
        <v>190.08244612005046</v>
      </c>
      <c r="H174" s="121">
        <f>H173/SUM(H168:H169)</f>
        <v>226.39138792930748</v>
      </c>
    </row>
    <row r="175" spans="3:8">
      <c r="D175" s="121"/>
      <c r="E175" s="121"/>
      <c r="F175" s="121"/>
      <c r="G175" s="121"/>
      <c r="H175" s="121"/>
    </row>
    <row r="176" spans="3:8">
      <c r="C176" s="123" t="s">
        <v>1048</v>
      </c>
      <c r="D176" s="121"/>
      <c r="E176" s="121"/>
      <c r="F176" s="121"/>
      <c r="G176" s="121"/>
      <c r="H176" s="121"/>
    </row>
    <row r="177" spans="2:12">
      <c r="C177" s="65" t="s">
        <v>1047</v>
      </c>
      <c r="D177" s="65" t="s">
        <v>70</v>
      </c>
      <c r="E177" s="794" t="s">
        <v>1046</v>
      </c>
      <c r="F177" s="794" t="s">
        <v>1045</v>
      </c>
      <c r="G177" s="794" t="s">
        <v>1044</v>
      </c>
      <c r="H177" s="794" t="s">
        <v>1043</v>
      </c>
    </row>
    <row r="178" spans="2:12">
      <c r="C178" s="1" t="s">
        <v>1042</v>
      </c>
      <c r="D178" s="121">
        <f>D34</f>
        <v>1094.0041342045538</v>
      </c>
      <c r="E178" s="188">
        <f>0</f>
        <v>0</v>
      </c>
      <c r="F178" s="188">
        <f>0</f>
        <v>0</v>
      </c>
      <c r="G178" s="188">
        <f>G168+G148+G118+G108</f>
        <v>984.60372078409853</v>
      </c>
      <c r="H178" s="188">
        <f>H168+H148+H118+H108</f>
        <v>109.40041342045538</v>
      </c>
      <c r="I178" s="1071"/>
    </row>
    <row r="179" spans="2:12">
      <c r="C179" s="1" t="s">
        <v>1041</v>
      </c>
      <c r="D179" s="49">
        <f>H52+(Health!E42+Health!I42)*ERR!D130+E59-'BA Inputs'!D178</f>
        <v>1198867.6875353639</v>
      </c>
      <c r="E179" s="188">
        <f>$D$179*E95</f>
        <v>706460.04146595928</v>
      </c>
      <c r="F179" s="188">
        <f>$D$179*F95</f>
        <v>166158.17702227252</v>
      </c>
      <c r="G179" s="188">
        <f>$D$179*G95</f>
        <v>177377.41595466388</v>
      </c>
      <c r="H179" s="188">
        <f>$D$179*H95</f>
        <v>148876.08987676768</v>
      </c>
      <c r="I179" s="1115"/>
      <c r="J179" s="708"/>
      <c r="K179" s="6"/>
      <c r="L179" s="1115"/>
    </row>
    <row r="180" spans="2:12">
      <c r="C180" s="201" t="s">
        <v>1040</v>
      </c>
      <c r="D180" s="121">
        <f>SUM(E180:H180)</f>
        <v>5411.8773074200963</v>
      </c>
      <c r="E180" s="121">
        <f>I95*365</f>
        <v>222.47862853449806</v>
      </c>
      <c r="F180" s="121">
        <f>J95*365</f>
        <v>597.78038184244383</v>
      </c>
      <c r="G180" s="121">
        <f>K95*365</f>
        <v>1039.0171136162783</v>
      </c>
      <c r="H180" s="121">
        <f>L95*365</f>
        <v>3552.6011834268766</v>
      </c>
      <c r="I180" s="6"/>
      <c r="J180" s="6"/>
      <c r="K180" s="6"/>
      <c r="L180" s="1116"/>
    </row>
    <row r="181" spans="2:12">
      <c r="C181" s="201" t="s">
        <v>1039</v>
      </c>
      <c r="D181" s="121">
        <f>SUM(E181:H181)</f>
        <v>11.690999113780618</v>
      </c>
      <c r="E181" s="121">
        <f>LOG(E180)</f>
        <v>2.3472882986638366</v>
      </c>
      <c r="F181" s="121">
        <f>LOG(F180)</f>
        <v>2.7765416581148088</v>
      </c>
      <c r="G181" s="121">
        <f>LOG(G180)</f>
        <v>3.0166227008660376</v>
      </c>
      <c r="H181" s="121">
        <f>LOG(H180)</f>
        <v>3.550546456135935</v>
      </c>
    </row>
    <row r="182" spans="2:12">
      <c r="C182" s="201" t="s">
        <v>1038</v>
      </c>
      <c r="D182" s="121">
        <f>SUM(E182:H182)</f>
        <v>3183282.7020504987</v>
      </c>
      <c r="E182" s="121">
        <f>E181*E179</f>
        <v>1658265.388806615</v>
      </c>
      <c r="F182" s="121">
        <f>F181*F179</f>
        <v>461345.10033875448</v>
      </c>
      <c r="G182" s="121">
        <f>G181*G179</f>
        <v>535080.73958979675</v>
      </c>
      <c r="H182" s="121">
        <f>H181*H179</f>
        <v>528591.47331533243</v>
      </c>
    </row>
    <row r="183" spans="2:12">
      <c r="C183" s="1" t="s">
        <v>1037</v>
      </c>
      <c r="D183" s="121">
        <f>SUM(E183:H183)</f>
        <v>202946492.58717868</v>
      </c>
      <c r="E183" s="121">
        <f>E182/$D$182*'Poverty Scorecard'!$D$12*1000000</f>
        <v>105720784.46574546</v>
      </c>
      <c r="F183" s="121">
        <f>F182/$D$182*'Poverty Scorecard'!$D$12*1000000</f>
        <v>29412521.208285995</v>
      </c>
      <c r="G183" s="121">
        <f>G182/$D$182*'Poverty Scorecard'!$D$12*1000000</f>
        <v>34113451.274922326</v>
      </c>
      <c r="H183" s="121">
        <f>H182/$D$182*'Poverty Scorecard'!$D$12*1000000</f>
        <v>33699735.63822487</v>
      </c>
    </row>
    <row r="184" spans="2:12">
      <c r="C184" s="1" t="s">
        <v>1036</v>
      </c>
      <c r="D184" s="121">
        <f>SUM(E184:H184)</f>
        <v>744.11819438792099</v>
      </c>
      <c r="E184" s="121">
        <f>E183/(E179+E178)</f>
        <v>149.64864006514318</v>
      </c>
      <c r="F184" s="121">
        <f>F183/(F179+F178)</f>
        <v>177.01518959457181</v>
      </c>
      <c r="G184" s="121">
        <f>G183/(G179+G178)</f>
        <v>191.25961534297502</v>
      </c>
      <c r="H184" s="121">
        <f>H183/(H179+H178)</f>
        <v>226.19474938523098</v>
      </c>
    </row>
    <row r="185" spans="2:12">
      <c r="D185" s="121"/>
      <c r="E185" s="121"/>
      <c r="F185" s="121"/>
      <c r="G185" s="121"/>
      <c r="H185" s="121"/>
    </row>
    <row r="186" spans="2:12">
      <c r="C186" s="3" t="s">
        <v>1035</v>
      </c>
    </row>
    <row r="188" spans="2:12">
      <c r="C188" s="173" t="s">
        <v>1032</v>
      </c>
    </row>
    <row r="189" spans="2:12">
      <c r="B189" s="791">
        <v>1</v>
      </c>
      <c r="C189" s="792" t="s">
        <v>698</v>
      </c>
      <c r="E189" s="793"/>
    </row>
    <row r="190" spans="2:12">
      <c r="B190" s="791">
        <v>2</v>
      </c>
      <c r="C190" s="792" t="s">
        <v>697</v>
      </c>
      <c r="E190" s="793"/>
    </row>
    <row r="191" spans="2:12">
      <c r="B191" s="791">
        <v>3</v>
      </c>
      <c r="C191" s="792" t="s">
        <v>696</v>
      </c>
      <c r="E191" s="793"/>
    </row>
    <row r="192" spans="2:12">
      <c r="B192" s="462">
        <v>4</v>
      </c>
      <c r="C192" s="363" t="s">
        <v>695</v>
      </c>
    </row>
    <row r="193" spans="1:12">
      <c r="B193" s="791">
        <v>5</v>
      </c>
      <c r="C193" s="792" t="s">
        <v>719</v>
      </c>
    </row>
    <row r="194" spans="1:12">
      <c r="B194" s="462">
        <v>6</v>
      </c>
      <c r="C194" s="363" t="s">
        <v>694</v>
      </c>
    </row>
    <row r="195" spans="1:12">
      <c r="B195" s="462">
        <v>7</v>
      </c>
      <c r="C195" s="363" t="s">
        <v>693</v>
      </c>
    </row>
    <row r="196" spans="1:12">
      <c r="B196" s="791">
        <v>8</v>
      </c>
      <c r="C196" s="790" t="s">
        <v>1030</v>
      </c>
    </row>
    <row r="199" spans="1:12">
      <c r="B199" s="775"/>
      <c r="C199" s="789" t="s">
        <v>1034</v>
      </c>
      <c r="D199" s="775"/>
      <c r="E199" s="788" t="s">
        <v>1033</v>
      </c>
      <c r="F199" s="775"/>
      <c r="G199" s="775"/>
      <c r="H199" s="775"/>
      <c r="I199" s="775"/>
      <c r="J199" s="775"/>
      <c r="K199" s="775"/>
      <c r="L199" s="775"/>
    </row>
    <row r="200" spans="1:12">
      <c r="A200" s="173"/>
      <c r="B200" s="775"/>
      <c r="C200" s="1187"/>
      <c r="D200" s="775"/>
      <c r="E200" s="780">
        <v>1</v>
      </c>
      <c r="F200" s="780">
        <v>2</v>
      </c>
      <c r="G200" s="780">
        <v>3</v>
      </c>
      <c r="H200" s="782">
        <v>4</v>
      </c>
      <c r="I200" s="780">
        <v>5</v>
      </c>
      <c r="J200" s="782">
        <v>6</v>
      </c>
      <c r="K200" s="782">
        <v>7</v>
      </c>
      <c r="L200" s="780">
        <v>8</v>
      </c>
    </row>
    <row r="201" spans="1:12">
      <c r="A201" s="173"/>
      <c r="B201" s="1186"/>
      <c r="C201" s="1185" t="s">
        <v>1032</v>
      </c>
      <c r="D201" s="775"/>
      <c r="E201" s="787" t="s">
        <v>698</v>
      </c>
      <c r="F201" s="787" t="s">
        <v>697</v>
      </c>
      <c r="G201" s="787" t="s">
        <v>696</v>
      </c>
      <c r="H201" s="781" t="s">
        <v>695</v>
      </c>
      <c r="I201" s="787" t="s">
        <v>719</v>
      </c>
      <c r="J201" s="783" t="s">
        <v>694</v>
      </c>
      <c r="K201" s="781" t="s">
        <v>693</v>
      </c>
      <c r="L201" s="779" t="s">
        <v>1031</v>
      </c>
    </row>
    <row r="202" spans="1:12">
      <c r="A202" s="173"/>
      <c r="B202" s="780">
        <v>1</v>
      </c>
      <c r="C202" s="787" t="s">
        <v>698</v>
      </c>
      <c r="D202" s="775"/>
      <c r="E202" s="776">
        <v>1</v>
      </c>
      <c r="F202" s="776">
        <f>Health!E41/Health!E40</f>
        <v>0.53478180902191907</v>
      </c>
      <c r="G202" s="776">
        <f>Health!F41/Health!F40</f>
        <v>0.36663446676970635</v>
      </c>
      <c r="H202" s="777"/>
      <c r="I202" s="776" t="e">
        <f>Health!H41/Health!H40</f>
        <v>#DIV/0!</v>
      </c>
      <c r="J202" s="776">
        <f>Health!I41/Health!I40</f>
        <v>0.88729494045190005</v>
      </c>
      <c r="K202" s="777"/>
      <c r="L202" s="776">
        <f>12917/E59</f>
        <v>5.9209681166363305E-2</v>
      </c>
    </row>
    <row r="203" spans="1:12">
      <c r="B203" s="780">
        <v>2</v>
      </c>
      <c r="C203" s="787" t="s">
        <v>697</v>
      </c>
      <c r="D203" s="775"/>
      <c r="E203" s="776">
        <f>Health!E41/Health!B45</f>
        <v>0.15552325581395349</v>
      </c>
      <c r="F203" s="776">
        <v>1</v>
      </c>
      <c r="G203" s="776">
        <f>Health!F42/Health!F40</f>
        <v>0.63336553323029365</v>
      </c>
      <c r="H203" s="777"/>
      <c r="I203" s="776">
        <v>0</v>
      </c>
      <c r="J203" s="778">
        <v>0</v>
      </c>
      <c r="K203" s="777"/>
      <c r="L203" s="776">
        <v>0</v>
      </c>
    </row>
    <row r="204" spans="1:12">
      <c r="A204" s="173"/>
      <c r="B204" s="780">
        <v>3</v>
      </c>
      <c r="C204" s="787" t="s">
        <v>696</v>
      </c>
      <c r="D204" s="775"/>
      <c r="E204" s="776">
        <f>Health!F41/Health!B45</f>
        <v>6.6198837209302322E-2</v>
      </c>
      <c r="F204" s="776">
        <v>0.44266276941200539</v>
      </c>
      <c r="G204" s="776">
        <v>1</v>
      </c>
      <c r="H204" s="777"/>
      <c r="I204" s="776">
        <v>0</v>
      </c>
      <c r="J204" s="778">
        <v>0</v>
      </c>
      <c r="K204" s="777"/>
      <c r="L204" s="776">
        <v>0</v>
      </c>
    </row>
    <row r="205" spans="1:12">
      <c r="B205" s="782">
        <v>4</v>
      </c>
      <c r="C205" s="781" t="s">
        <v>695</v>
      </c>
      <c r="D205" s="775"/>
      <c r="E205" s="777"/>
      <c r="F205" s="777"/>
      <c r="G205" s="777"/>
      <c r="H205" s="776">
        <v>1</v>
      </c>
      <c r="I205" s="777"/>
      <c r="J205" s="777"/>
      <c r="K205" s="777"/>
      <c r="L205" s="776">
        <v>0</v>
      </c>
    </row>
    <row r="206" spans="1:12">
      <c r="B206" s="786">
        <v>5</v>
      </c>
      <c r="C206" s="785" t="s">
        <v>719</v>
      </c>
      <c r="D206" s="775"/>
      <c r="E206" s="776">
        <f>Health!H41/Health!B45</f>
        <v>0</v>
      </c>
      <c r="F206" s="776">
        <v>0</v>
      </c>
      <c r="G206" s="776">
        <v>0</v>
      </c>
      <c r="H206" s="777"/>
      <c r="I206" s="776">
        <v>1</v>
      </c>
      <c r="J206" s="777"/>
      <c r="K206" s="777"/>
      <c r="L206" s="776">
        <v>0</v>
      </c>
    </row>
    <row r="207" spans="1:12">
      <c r="B207" s="784">
        <v>6</v>
      </c>
      <c r="C207" s="783" t="s">
        <v>694</v>
      </c>
      <c r="D207" s="775"/>
      <c r="E207" s="778">
        <f>Health!I41/Health!B45</f>
        <v>0.32867674418604653</v>
      </c>
      <c r="F207" s="778">
        <v>0</v>
      </c>
      <c r="G207" s="778">
        <v>0</v>
      </c>
      <c r="H207" s="777"/>
      <c r="I207" s="778">
        <v>0</v>
      </c>
      <c r="J207" s="778">
        <v>1</v>
      </c>
      <c r="K207" s="777"/>
      <c r="L207" s="776">
        <v>0</v>
      </c>
    </row>
    <row r="208" spans="1:12">
      <c r="B208" s="782">
        <v>7</v>
      </c>
      <c r="C208" s="781" t="s">
        <v>693</v>
      </c>
      <c r="D208" s="775"/>
      <c r="E208" s="777"/>
      <c r="F208" s="777"/>
      <c r="G208" s="777"/>
      <c r="H208" s="777"/>
      <c r="I208" s="777"/>
      <c r="J208" s="777"/>
      <c r="K208" s="776">
        <v>1</v>
      </c>
      <c r="L208" s="776">
        <v>0</v>
      </c>
    </row>
    <row r="209" spans="2:12">
      <c r="B209" s="780">
        <v>8</v>
      </c>
      <c r="C209" s="779" t="s">
        <v>1030</v>
      </c>
      <c r="D209" s="775"/>
      <c r="E209" s="776">
        <f>12917/Health!B45</f>
        <v>1.5019767441860465E-2</v>
      </c>
      <c r="F209" s="776">
        <v>0</v>
      </c>
      <c r="G209" s="776">
        <v>0</v>
      </c>
      <c r="H209" s="777"/>
      <c r="I209" s="776">
        <v>0</v>
      </c>
      <c r="J209" s="778">
        <v>0</v>
      </c>
      <c r="K209" s="777"/>
      <c r="L209" s="776">
        <v>1</v>
      </c>
    </row>
    <row r="210" spans="2:12">
      <c r="B210" s="775"/>
      <c r="C210" s="775"/>
      <c r="D210" s="775"/>
      <c r="E210" s="775"/>
      <c r="F210" s="775"/>
      <c r="G210" s="775"/>
      <c r="H210" s="775"/>
      <c r="I210" s="775"/>
      <c r="J210" s="775"/>
      <c r="K210" s="775"/>
      <c r="L210" s="775"/>
    </row>
    <row r="212" spans="2:12" ht="15" thickBot="1">
      <c r="D212" s="1" t="s">
        <v>1444</v>
      </c>
      <c r="E212" s="794" t="s">
        <v>1046</v>
      </c>
      <c r="F212" s="794" t="s">
        <v>1448</v>
      </c>
      <c r="G212" s="794" t="s">
        <v>1044</v>
      </c>
      <c r="H212" s="794" t="s">
        <v>1043</v>
      </c>
    </row>
    <row r="213" spans="2:12" ht="39" customHeight="1" thickBot="1">
      <c r="D213" s="981" t="s">
        <v>1445</v>
      </c>
      <c r="E213" s="49">
        <f>E114</f>
        <v>0</v>
      </c>
      <c r="F213" s="49">
        <f>F115</f>
        <v>0</v>
      </c>
      <c r="G213" s="49">
        <f>G114</f>
        <v>0</v>
      </c>
      <c r="H213" s="49">
        <f>H114</f>
        <v>0</v>
      </c>
    </row>
    <row r="214" spans="2:12" ht="55.5" customHeight="1" thickBot="1">
      <c r="D214" s="982" t="s">
        <v>1446</v>
      </c>
      <c r="E214" s="49">
        <f>(E154*E149+E174*E169)/(E169+E149)</f>
        <v>187.12228301339397</v>
      </c>
      <c r="F214" s="49">
        <f>(I214*(F169+F149)+E214*(E169+E149))/(SUM(E149:F149,E169:F169))</f>
        <v>191.99469310247284</v>
      </c>
      <c r="G214" s="49">
        <f>(G154*G149+G174*G169)/(G169+G149)</f>
        <v>233.4794202492069</v>
      </c>
      <c r="H214" s="49">
        <f>(H154*H149+H174*H169)/(H169+H149)</f>
        <v>278.1586632348579</v>
      </c>
      <c r="I214" s="121">
        <f>(F154*F149+F174*F169)/(F169+F149)</f>
        <v>214.41555045035687</v>
      </c>
    </row>
    <row r="215" spans="2:12" ht="30.75" customHeight="1" thickBot="1">
      <c r="D215" s="982" t="s">
        <v>1447</v>
      </c>
      <c r="E215" s="49">
        <f>E124</f>
        <v>144.53491807408835</v>
      </c>
      <c r="F215" s="49">
        <f>(I215*F119+E215*E119)/(E119+F119)</f>
        <v>150.38346854312957</v>
      </c>
      <c r="G215" s="49">
        <f>G124</f>
        <v>183.12758467920963</v>
      </c>
      <c r="H215" s="49">
        <f>H124</f>
        <v>216.0549013208628</v>
      </c>
      <c r="I215" s="879">
        <f>F124</f>
        <v>168.24380899641616</v>
      </c>
    </row>
    <row r="217" spans="2:12" ht="23.5" thickBot="1">
      <c r="D217" s="984" t="s">
        <v>1449</v>
      </c>
    </row>
    <row r="218" spans="2:12" ht="23.5" thickBot="1">
      <c r="D218" s="981" t="s">
        <v>1445</v>
      </c>
    </row>
    <row r="219" spans="2:12" ht="46.5" thickBot="1">
      <c r="D219" s="982" t="s">
        <v>1446</v>
      </c>
    </row>
    <row r="220" spans="2:12" ht="29.25" customHeight="1" thickBot="1">
      <c r="D220" s="982" t="s">
        <v>1447</v>
      </c>
    </row>
  </sheetData>
  <mergeCells count="8">
    <mergeCell ref="E87:H87"/>
    <mergeCell ref="I87:L87"/>
    <mergeCell ref="I50:I51"/>
    <mergeCell ref="J50:J51"/>
    <mergeCell ref="I63:I64"/>
    <mergeCell ref="J63:J64"/>
    <mergeCell ref="I76:I77"/>
    <mergeCell ref="J76:J77"/>
  </mergeCells>
  <pageMargins left="0.25" right="0.25" top="0.75" bottom="0.75" header="0.3" footer="0.3"/>
  <pageSetup scale="1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I64"/>
  <sheetViews>
    <sheetView zoomScale="90" zoomScaleNormal="90" workbookViewId="0">
      <selection activeCell="H1" sqref="H1"/>
    </sheetView>
  </sheetViews>
  <sheetFormatPr defaultRowHeight="14.5"/>
  <cols>
    <col min="1" max="1" width="39.453125" bestFit="1" customWidth="1"/>
    <col min="2" max="2" width="23.54296875" bestFit="1" customWidth="1"/>
    <col min="3" max="3" width="15.26953125" bestFit="1" customWidth="1"/>
    <col min="4" max="4" width="25.54296875" bestFit="1" customWidth="1"/>
    <col min="5" max="6" width="14.54296875" bestFit="1" customWidth="1"/>
  </cols>
  <sheetData>
    <row r="1" spans="1:9" s="1137" customFormat="1">
      <c r="F1" s="1073"/>
      <c r="H1" s="1073" t="s">
        <v>1764</v>
      </c>
    </row>
    <row r="2" spans="1:9" s="1137" customFormat="1"/>
    <row r="3" spans="1:9" ht="18.5">
      <c r="A3" s="124" t="s">
        <v>1424</v>
      </c>
      <c r="B3" t="s">
        <v>1377</v>
      </c>
      <c r="C3" s="909" t="s">
        <v>1046</v>
      </c>
      <c r="D3" s="909" t="s">
        <v>1425</v>
      </c>
      <c r="E3" s="909" t="s">
        <v>1044</v>
      </c>
      <c r="F3" s="909" t="s">
        <v>1043</v>
      </c>
      <c r="I3" s="1036"/>
    </row>
    <row r="4" spans="1:9">
      <c r="A4" s="363" t="s">
        <v>698</v>
      </c>
      <c r="B4" s="445">
        <f>Costs!C11</f>
        <v>76.708776808025249</v>
      </c>
      <c r="C4" s="797">
        <f>'BA Inputs'!E113</f>
        <v>0</v>
      </c>
      <c r="D4" s="797">
        <f>'BA Inputs'!F113</f>
        <v>0</v>
      </c>
      <c r="E4" s="797">
        <f>'BA Inputs'!G113</f>
        <v>0</v>
      </c>
      <c r="F4" s="797">
        <f>'BA Inputs'!H113</f>
        <v>0</v>
      </c>
    </row>
    <row r="5" spans="1:9">
      <c r="A5" s="363" t="s">
        <v>697</v>
      </c>
      <c r="B5" s="445">
        <f>Costs!C12+0.25*Costs!C$16</f>
        <v>34.716320212416022</v>
      </c>
      <c r="C5" s="445">
        <f>'BA Inputs'!E133</f>
        <v>54301056.038509198</v>
      </c>
      <c r="D5" s="445">
        <f>'BA Inputs'!F133</f>
        <v>12167750.786637774</v>
      </c>
      <c r="E5" s="445">
        <f>'BA Inputs'!G133</f>
        <v>15748177.601628434</v>
      </c>
      <c r="F5" s="445">
        <f>'BA Inputs'!H133</f>
        <v>11993622.578129083</v>
      </c>
    </row>
    <row r="6" spans="1:9">
      <c r="A6" s="363" t="s">
        <v>696</v>
      </c>
      <c r="B6" s="445">
        <f>Costs!C13+0.5*Costs!C$16</f>
        <v>55.170439873221753</v>
      </c>
      <c r="C6" s="715">
        <f>'BA Inputs'!E143</f>
        <v>1059962.5234860827</v>
      </c>
      <c r="D6" s="715">
        <f>'BA Inputs'!F143</f>
        <v>217919.4466771642</v>
      </c>
      <c r="E6" s="715">
        <f>'BA Inputs'!G143</f>
        <v>250528.55951062558</v>
      </c>
      <c r="F6" s="715">
        <f>'BA Inputs'!H143</f>
        <v>232595.11711593438</v>
      </c>
    </row>
    <row r="7" spans="1:9">
      <c r="A7" s="363" t="s">
        <v>694</v>
      </c>
      <c r="B7" s="445">
        <f>Costs!C14+0.25*Costs!C$16</f>
        <v>17.13766055810024</v>
      </c>
      <c r="C7" s="121">
        <f>'BA Inputs'!E173</f>
        <v>27042723.704398554</v>
      </c>
      <c r="D7" s="121">
        <f>'BA Inputs'!F173</f>
        <v>8541800.5435874499</v>
      </c>
      <c r="E7" s="121">
        <f>'BA Inputs'!G173</f>
        <v>9939582.2599974032</v>
      </c>
      <c r="F7" s="121">
        <f>'BA Inputs'!H173</f>
        <v>8553732.896824263</v>
      </c>
    </row>
    <row r="8" spans="1:9">
      <c r="A8" s="702" t="s">
        <v>13</v>
      </c>
      <c r="B8" s="445">
        <f>Costs!C15</f>
        <v>67.546022420280551</v>
      </c>
      <c r="C8" s="715">
        <f>'BA Inputs'!E123</f>
        <v>15746500.987167994</v>
      </c>
      <c r="D8" s="715">
        <f>'BA Inputs'!F123</f>
        <v>6002178.1981721343</v>
      </c>
      <c r="E8" s="715">
        <f>'BA Inputs'!G123</f>
        <v>7575115.4244530415</v>
      </c>
      <c r="F8" s="715">
        <f>'BA Inputs'!H123</f>
        <v>12037407.188702155</v>
      </c>
    </row>
    <row r="9" spans="1:9">
      <c r="A9" s="977" t="s">
        <v>70</v>
      </c>
      <c r="B9" s="445">
        <f>Costs!C18</f>
        <v>244.45580368710847</v>
      </c>
      <c r="C9" s="121">
        <f>'BA Inputs'!E183</f>
        <v>105720784.46574546</v>
      </c>
      <c r="D9" s="121">
        <f>'BA Inputs'!F183</f>
        <v>29412521.208285995</v>
      </c>
      <c r="E9" s="121">
        <f>'BA Inputs'!G183</f>
        <v>34113451.274922326</v>
      </c>
      <c r="F9" s="121">
        <f>'BA Inputs'!H183</f>
        <v>33699735.63822487</v>
      </c>
    </row>
    <row r="11" spans="1:9">
      <c r="A11" s="879" t="s">
        <v>1426</v>
      </c>
      <c r="B11" s="879"/>
      <c r="C11" s="909" t="s">
        <v>1046</v>
      </c>
      <c r="D11" s="909" t="s">
        <v>1425</v>
      </c>
      <c r="E11" s="909" t="s">
        <v>1044</v>
      </c>
      <c r="F11" s="909" t="s">
        <v>1043</v>
      </c>
    </row>
    <row r="12" spans="1:9">
      <c r="A12" s="363" t="s">
        <v>698</v>
      </c>
      <c r="B12" s="445"/>
      <c r="C12" s="978">
        <f t="shared" ref="C12:F15" si="0">C4/($B4*1000000)</f>
        <v>0</v>
      </c>
      <c r="D12" s="978">
        <f t="shared" si="0"/>
        <v>0</v>
      </c>
      <c r="E12" s="978">
        <f t="shared" si="0"/>
        <v>0</v>
      </c>
      <c r="F12" s="978">
        <f t="shared" si="0"/>
        <v>0</v>
      </c>
    </row>
    <row r="13" spans="1:9">
      <c r="A13" s="363" t="s">
        <v>697</v>
      </c>
      <c r="B13" s="445"/>
      <c r="C13" s="978">
        <f t="shared" si="0"/>
        <v>1.5641362824821752</v>
      </c>
      <c r="D13" s="978">
        <f t="shared" si="0"/>
        <v>0.3504907983388767</v>
      </c>
      <c r="E13" s="978">
        <f t="shared" si="0"/>
        <v>0.45362462107940288</v>
      </c>
      <c r="F13" s="978">
        <f t="shared" si="0"/>
        <v>0.34547505336811751</v>
      </c>
    </row>
    <row r="14" spans="1:9">
      <c r="A14" s="363" t="s">
        <v>696</v>
      </c>
      <c r="B14" s="445"/>
      <c r="C14" s="978">
        <f t="shared" si="0"/>
        <v>1.9212508109810449E-2</v>
      </c>
      <c r="D14" s="978">
        <f t="shared" si="0"/>
        <v>3.9499312888918335E-3</v>
      </c>
      <c r="E14" s="978">
        <f t="shared" si="0"/>
        <v>4.5409926055750985E-3</v>
      </c>
      <c r="F14" s="978">
        <f t="shared" si="0"/>
        <v>4.2159373325719989E-3</v>
      </c>
    </row>
    <row r="15" spans="1:9">
      <c r="A15" s="363" t="s">
        <v>694</v>
      </c>
      <c r="B15" s="445"/>
      <c r="C15" s="978">
        <f t="shared" si="0"/>
        <v>1.5779705527903349</v>
      </c>
      <c r="D15" s="978">
        <f t="shared" si="0"/>
        <v>0.49842278732438228</v>
      </c>
      <c r="E15" s="978">
        <f t="shared" si="0"/>
        <v>0.57998477833658502</v>
      </c>
      <c r="F15" s="978">
        <f t="shared" si="0"/>
        <v>0.4991190523248682</v>
      </c>
    </row>
    <row r="16" spans="1:9">
      <c r="A16" s="702" t="s">
        <v>13</v>
      </c>
      <c r="B16" s="445"/>
      <c r="C16" s="978">
        <f t="shared" ref="C16:F17" si="1">C8/($B8*1000000)</f>
        <v>0.23312254997327778</v>
      </c>
      <c r="D16" s="978">
        <f t="shared" si="1"/>
        <v>8.88605721418467E-2</v>
      </c>
      <c r="E16" s="978">
        <f t="shared" si="1"/>
        <v>0.11214746854107326</v>
      </c>
      <c r="F16" s="978">
        <f t="shared" si="1"/>
        <v>0.17821045203526226</v>
      </c>
    </row>
    <row r="17" spans="1:7">
      <c r="A17" s="977" t="s">
        <v>70</v>
      </c>
      <c r="B17" s="445"/>
      <c r="C17" s="978">
        <f>C9/($B9*1000000)</f>
        <v>0.43247402136159929</v>
      </c>
      <c r="D17" s="978">
        <f t="shared" si="1"/>
        <v>0.12031835924800784</v>
      </c>
      <c r="E17" s="978">
        <f t="shared" si="1"/>
        <v>0.13954854317382412</v>
      </c>
      <c r="F17" s="978">
        <f t="shared" si="1"/>
        <v>0.13785614875954794</v>
      </c>
    </row>
    <row r="18" spans="1:7">
      <c r="A18" s="977" t="s">
        <v>1434</v>
      </c>
      <c r="C18" s="445">
        <f>SUM(C5:C7)/(1000000*SUM($B5:$B7))</f>
        <v>0.76995270584737585</v>
      </c>
      <c r="D18" s="445">
        <f>SUM(D5:D7)/(1000000*SUM($B5:$B7))</f>
        <v>0.19553921106067534</v>
      </c>
      <c r="E18" s="445">
        <f>SUM(E5:E7)/(1000000*SUM($B5:$B7))</f>
        <v>0.24235859689892286</v>
      </c>
      <c r="F18" s="445">
        <f>SUM(F5:F7)/(1000000*SUM($B5:$B7))</f>
        <v>0.19416083233228987</v>
      </c>
    </row>
    <row r="19" spans="1:7">
      <c r="A19" s="977" t="s">
        <v>1427</v>
      </c>
    </row>
    <row r="21" spans="1:7" ht="51">
      <c r="B21" s="363" t="s">
        <v>1442</v>
      </c>
      <c r="C21" s="363" t="s">
        <v>697</v>
      </c>
      <c r="D21" s="363" t="s">
        <v>696</v>
      </c>
      <c r="E21" s="363" t="s">
        <v>694</v>
      </c>
      <c r="F21" s="702" t="s">
        <v>13</v>
      </c>
      <c r="G21" s="979" t="s">
        <v>1428</v>
      </c>
    </row>
    <row r="22" spans="1:7">
      <c r="A22" s="980" t="s">
        <v>1429</v>
      </c>
      <c r="B22" s="978">
        <f>C12</f>
        <v>0</v>
      </c>
      <c r="C22" s="978">
        <f>C13</f>
        <v>1.5641362824821752</v>
      </c>
      <c r="D22" s="978">
        <f>C14</f>
        <v>1.9212508109810449E-2</v>
      </c>
      <c r="E22" s="978">
        <f>C15</f>
        <v>1.5779705527903349</v>
      </c>
      <c r="F22" s="978">
        <f>C16</f>
        <v>0.23312254997327778</v>
      </c>
      <c r="G22" s="121">
        <v>4.1135175380242167E-2</v>
      </c>
    </row>
    <row r="23" spans="1:7">
      <c r="A23" s="980" t="s">
        <v>1430</v>
      </c>
      <c r="B23" s="978">
        <f>D12</f>
        <v>0</v>
      </c>
      <c r="C23" s="978">
        <f>D13</f>
        <v>0.3504907983388767</v>
      </c>
      <c r="D23" s="978">
        <f>D14</f>
        <v>3.9499312888918335E-3</v>
      </c>
      <c r="E23" s="978">
        <f>D15</f>
        <v>0.49842278732438228</v>
      </c>
      <c r="F23" s="978">
        <f>D16</f>
        <v>8.88605721418467E-2</v>
      </c>
      <c r="G23" s="121">
        <v>0.11042876637732524</v>
      </c>
    </row>
    <row r="24" spans="1:7">
      <c r="A24" s="980" t="s">
        <v>1431</v>
      </c>
      <c r="B24" s="978">
        <f>E12</f>
        <v>0</v>
      </c>
      <c r="C24" s="978">
        <f>E13</f>
        <v>0.45362462107940288</v>
      </c>
      <c r="D24" s="978">
        <f>E14</f>
        <v>4.5409926055750985E-3</v>
      </c>
      <c r="E24" s="978">
        <f>E15</f>
        <v>0.57998477833658502</v>
      </c>
      <c r="F24" s="978">
        <f>E16</f>
        <v>0.11214746854107326</v>
      </c>
      <c r="G24" s="121">
        <v>0.1919816516964187</v>
      </c>
    </row>
    <row r="25" spans="1:7">
      <c r="A25" s="980" t="s">
        <v>1432</v>
      </c>
      <c r="B25" s="978">
        <f>F12</f>
        <v>0</v>
      </c>
      <c r="C25" s="978">
        <f>F13</f>
        <v>0.34547505336811751</v>
      </c>
      <c r="D25" s="978">
        <f>F14</f>
        <v>4.2159373325719989E-3</v>
      </c>
      <c r="E25" s="978">
        <f>F15</f>
        <v>0.4991190523248682</v>
      </c>
      <c r="F25" s="978">
        <f>F16</f>
        <v>0.17821045203526226</v>
      </c>
      <c r="G25" s="121">
        <v>0.65645440654601395</v>
      </c>
    </row>
    <row r="27" spans="1:7" ht="26">
      <c r="B27" t="s">
        <v>1433</v>
      </c>
      <c r="C27" s="979" t="s">
        <v>1428</v>
      </c>
    </row>
    <row r="28" spans="1:7">
      <c r="A28" s="980" t="s">
        <v>1429</v>
      </c>
      <c r="B28" s="978">
        <f>C17</f>
        <v>0.43247402136159929</v>
      </c>
      <c r="C28" s="121">
        <v>4.1135175380242167E-2</v>
      </c>
      <c r="D28" s="72">
        <f>'Poverty Scorecard'!F31</f>
        <v>0.51337528585271108</v>
      </c>
      <c r="E28" s="121">
        <f>D28-C28</f>
        <v>0.47224011047246894</v>
      </c>
      <c r="F28" s="121">
        <f>E28*'Poverty Scorecard'!D$10</f>
        <v>167.55079119563197</v>
      </c>
    </row>
    <row r="29" spans="1:7">
      <c r="A29" s="980" t="s">
        <v>1430</v>
      </c>
      <c r="B29" s="978">
        <f>D17</f>
        <v>0.12031835924800784</v>
      </c>
      <c r="C29" s="121">
        <v>0.11042876637732524</v>
      </c>
      <c r="D29" s="72">
        <f>'Poverty Scorecard'!G31-'Poverty Scorecard'!F31</f>
        <v>0.14282585547636739</v>
      </c>
      <c r="E29" s="121">
        <f t="shared" ref="E29:E30" si="2">D29-C29</f>
        <v>3.2397089099042153E-2</v>
      </c>
      <c r="F29" s="121">
        <f>E29*'Poverty Scorecard'!D$10</f>
        <v>11.494487212340156</v>
      </c>
    </row>
    <row r="30" spans="1:7">
      <c r="A30" s="980" t="s">
        <v>1431</v>
      </c>
      <c r="B30" s="978">
        <f>E17</f>
        <v>0.13954854317382412</v>
      </c>
      <c r="C30" s="121">
        <v>0.1919816516964187</v>
      </c>
      <c r="D30" s="72">
        <f>'Poverty Scorecard'!H31</f>
        <v>0.16565335651061272</v>
      </c>
      <c r="E30" s="121">
        <f t="shared" si="2"/>
        <v>-2.6328295185805983E-2</v>
      </c>
      <c r="F30" s="121">
        <f>E30*'Poverty Scorecard'!D$10</f>
        <v>-9.3412791319239634</v>
      </c>
    </row>
    <row r="31" spans="1:7">
      <c r="A31" s="980" t="s">
        <v>1432</v>
      </c>
      <c r="B31" s="978">
        <f>F17</f>
        <v>0.13785614875954794</v>
      </c>
      <c r="C31" s="121">
        <v>0.65645440654601395</v>
      </c>
      <c r="D31" s="72">
        <f>'Poverty Scorecard'!I31</f>
        <v>0.16364437233285994</v>
      </c>
    </row>
    <row r="33" spans="1:5" ht="26">
      <c r="A33" s="879"/>
      <c r="B33" s="363" t="s">
        <v>1443</v>
      </c>
      <c r="C33" t="s">
        <v>1435</v>
      </c>
      <c r="D33" s="702" t="s">
        <v>13</v>
      </c>
      <c r="E33" s="979" t="s">
        <v>1428</v>
      </c>
    </row>
    <row r="34" spans="1:5">
      <c r="A34" s="980" t="s">
        <v>1429</v>
      </c>
      <c r="B34" s="978">
        <f>B22</f>
        <v>0</v>
      </c>
      <c r="C34" s="445">
        <f>C18</f>
        <v>0.76995270584737585</v>
      </c>
      <c r="D34" s="978">
        <f t="shared" ref="D34:E37" si="3">F22</f>
        <v>0.23312254997327778</v>
      </c>
      <c r="E34" s="978">
        <f t="shared" si="3"/>
        <v>4.1135175380242167E-2</v>
      </c>
    </row>
    <row r="35" spans="1:5">
      <c r="A35" s="980" t="s">
        <v>1430</v>
      </c>
      <c r="B35" s="978">
        <f>B23</f>
        <v>0</v>
      </c>
      <c r="C35" s="445">
        <f>D18</f>
        <v>0.19553921106067534</v>
      </c>
      <c r="D35" s="978">
        <f t="shared" si="3"/>
        <v>8.88605721418467E-2</v>
      </c>
      <c r="E35" s="978">
        <f t="shared" si="3"/>
        <v>0.11042876637732524</v>
      </c>
    </row>
    <row r="36" spans="1:5">
      <c r="A36" s="980" t="s">
        <v>1431</v>
      </c>
      <c r="B36" s="978">
        <f>B24</f>
        <v>0</v>
      </c>
      <c r="C36" s="445">
        <f>E18</f>
        <v>0.24235859689892286</v>
      </c>
      <c r="D36" s="978">
        <f t="shared" si="3"/>
        <v>0.11214746854107326</v>
      </c>
      <c r="E36" s="978">
        <f t="shared" si="3"/>
        <v>0.1919816516964187</v>
      </c>
    </row>
    <row r="37" spans="1:5">
      <c r="A37" s="980" t="s">
        <v>1432</v>
      </c>
      <c r="B37" s="978">
        <f>B25</f>
        <v>0</v>
      </c>
      <c r="C37" s="445">
        <f>F18</f>
        <v>0.19416083233228987</v>
      </c>
      <c r="D37" s="978">
        <f t="shared" si="3"/>
        <v>0.17821045203526226</v>
      </c>
      <c r="E37" s="978">
        <f t="shared" si="3"/>
        <v>0.65645440654601395</v>
      </c>
    </row>
    <row r="42" spans="1:5">
      <c r="C42" s="363" t="s">
        <v>697</v>
      </c>
      <c r="D42" s="363" t="s">
        <v>696</v>
      </c>
      <c r="E42" s="363" t="s">
        <v>694</v>
      </c>
    </row>
    <row r="43" spans="1:5">
      <c r="C43" s="978">
        <f t="shared" ref="C43:E46" si="4">C22</f>
        <v>1.5641362824821752</v>
      </c>
      <c r="D43" s="978">
        <f t="shared" si="4"/>
        <v>1.9212508109810449E-2</v>
      </c>
      <c r="E43" s="978">
        <f t="shared" si="4"/>
        <v>1.5779705527903349</v>
      </c>
    </row>
    <row r="44" spans="1:5">
      <c r="C44" s="978">
        <f t="shared" si="4"/>
        <v>0.3504907983388767</v>
      </c>
      <c r="D44" s="978">
        <f t="shared" si="4"/>
        <v>3.9499312888918335E-3</v>
      </c>
      <c r="E44" s="978">
        <f t="shared" si="4"/>
        <v>0.49842278732438228</v>
      </c>
    </row>
    <row r="45" spans="1:5">
      <c r="C45" s="978">
        <f t="shared" si="4"/>
        <v>0.45362462107940288</v>
      </c>
      <c r="D45" s="978">
        <f t="shared" si="4"/>
        <v>4.5409926055750985E-3</v>
      </c>
      <c r="E45" s="978">
        <f t="shared" si="4"/>
        <v>0.57998477833658502</v>
      </c>
    </row>
    <row r="46" spans="1:5">
      <c r="C46" s="978">
        <f t="shared" si="4"/>
        <v>0.34547505336811751</v>
      </c>
      <c r="D46" s="978">
        <f t="shared" si="4"/>
        <v>4.2159373325719989E-3</v>
      </c>
      <c r="E46" s="978">
        <f t="shared" si="4"/>
        <v>0.4991190523248682</v>
      </c>
    </row>
    <row r="48" spans="1:5">
      <c r="A48" s="879"/>
      <c r="B48" s="879" t="s">
        <v>1429</v>
      </c>
      <c r="C48" s="879" t="s">
        <v>1430</v>
      </c>
      <c r="D48" s="879" t="s">
        <v>1431</v>
      </c>
      <c r="E48" s="879" t="s">
        <v>1432</v>
      </c>
    </row>
    <row r="49" spans="1:6">
      <c r="A49" s="879" t="s">
        <v>1443</v>
      </c>
      <c r="B49" s="983">
        <v>0.37358821588013486</v>
      </c>
      <c r="C49" s="983">
        <v>9.8765047455552563E-2</v>
      </c>
      <c r="D49" s="983">
        <v>0.11059264385805166</v>
      </c>
      <c r="E49" s="983">
        <v>9.2163588905216975E-2</v>
      </c>
      <c r="F49" s="180">
        <f>SUM(B49:E49)</f>
        <v>0.6751094960989561</v>
      </c>
    </row>
    <row r="50" spans="1:6">
      <c r="A50" s="879" t="s">
        <v>1435</v>
      </c>
      <c r="B50" s="983">
        <v>1.0320626039147853</v>
      </c>
      <c r="C50" s="983">
        <v>0.26082973008013488</v>
      </c>
      <c r="D50" s="983">
        <v>0.32279524100958545</v>
      </c>
      <c r="E50" s="983">
        <v>0.25939444996923411</v>
      </c>
      <c r="F50" s="180">
        <f>SUM(B50:E50)</f>
        <v>1.8750820249737399</v>
      </c>
    </row>
    <row r="51" spans="1:6">
      <c r="A51" s="879" t="s">
        <v>13</v>
      </c>
      <c r="B51" s="983">
        <v>0.27990579100963869</v>
      </c>
      <c r="C51" s="983">
        <v>0.10669319093233898</v>
      </c>
      <c r="D51" s="983">
        <v>0.13465332244914066</v>
      </c>
      <c r="E51" s="983">
        <v>0.21397388433179548</v>
      </c>
      <c r="F51" s="180">
        <f>SUM(B51:E51)</f>
        <v>0.7352261887229139</v>
      </c>
    </row>
    <row r="52" spans="1:6">
      <c r="C52" s="180">
        <f>C49+B49</f>
        <v>0.47235326333568739</v>
      </c>
    </row>
    <row r="53" spans="1:6">
      <c r="C53" s="180">
        <f>C50+B50</f>
        <v>1.2928923339949203</v>
      </c>
    </row>
    <row r="54" spans="1:6">
      <c r="C54" s="180">
        <f>C51+B51</f>
        <v>0.38659898194197767</v>
      </c>
    </row>
    <row r="56" spans="1:6">
      <c r="E56" s="1137"/>
      <c r="F56" s="1073"/>
    </row>
    <row r="57" spans="1:6">
      <c r="E57" s="1137"/>
      <c r="F57" s="1137"/>
    </row>
    <row r="61" spans="1:6">
      <c r="A61" s="775"/>
      <c r="B61" s="775" t="s">
        <v>1544</v>
      </c>
      <c r="C61" s="775" t="s">
        <v>70</v>
      </c>
    </row>
    <row r="62" spans="1:6">
      <c r="A62" s="775" t="s">
        <v>1541</v>
      </c>
      <c r="B62" s="994">
        <f t="shared" ref="B62:C64" si="5">E28</f>
        <v>0.47224011047246894</v>
      </c>
      <c r="C62" s="994">
        <f t="shared" si="5"/>
        <v>167.55079119563197</v>
      </c>
    </row>
    <row r="63" spans="1:6">
      <c r="A63" s="775" t="s">
        <v>1542</v>
      </c>
      <c r="B63" s="994">
        <f t="shared" si="5"/>
        <v>3.2397089099042153E-2</v>
      </c>
      <c r="C63" s="994">
        <f t="shared" si="5"/>
        <v>11.494487212340156</v>
      </c>
    </row>
    <row r="64" spans="1:6">
      <c r="A64" s="775" t="s">
        <v>1543</v>
      </c>
      <c r="B64" s="994">
        <f t="shared" si="5"/>
        <v>-2.6328295185805983E-2</v>
      </c>
      <c r="C64" s="994">
        <f t="shared" si="5"/>
        <v>-9.3412791319239634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P44"/>
  <sheetViews>
    <sheetView showGridLines="0" zoomScale="90" zoomScaleNormal="90" workbookViewId="0">
      <selection activeCell="L7" sqref="L7"/>
    </sheetView>
  </sheetViews>
  <sheetFormatPr defaultColWidth="9.1796875" defaultRowHeight="14.5"/>
  <cols>
    <col min="1" max="1" width="9.1796875" style="879"/>
    <col min="2" max="2" width="0.453125" style="879" customWidth="1"/>
    <col min="3" max="3" width="47.26953125" style="879" customWidth="1"/>
    <col min="4" max="4" width="12.26953125" style="879" customWidth="1"/>
    <col min="5" max="5" width="0.7265625" style="879" customWidth="1"/>
    <col min="6" max="6" width="8.81640625" style="879" customWidth="1"/>
    <col min="7" max="8" width="7.81640625" style="879" customWidth="1"/>
    <col min="9" max="9" width="8.1796875" style="879" customWidth="1"/>
    <col min="10" max="10" width="1.1796875" style="879" customWidth="1"/>
    <col min="11" max="11" width="9.1796875" style="879"/>
    <col min="12" max="12" width="15.26953125" style="879" bestFit="1" customWidth="1"/>
    <col min="13" max="16384" width="9.1796875" style="879"/>
  </cols>
  <sheetData>
    <row r="1" spans="1:13">
      <c r="A1" s="888"/>
      <c r="B1" s="888"/>
      <c r="C1" s="885"/>
      <c r="D1" s="888"/>
      <c r="E1" s="959"/>
      <c r="F1" s="885"/>
      <c r="G1" s="885"/>
      <c r="H1" s="885"/>
      <c r="I1" s="885"/>
      <c r="J1" s="888"/>
    </row>
    <row r="2" spans="1:13" ht="15.5">
      <c r="A2" s="888"/>
      <c r="B2" s="888"/>
      <c r="C2" s="885"/>
      <c r="D2" s="888"/>
      <c r="E2" s="960"/>
      <c r="F2" s="885"/>
      <c r="G2" s="885"/>
      <c r="H2" s="885"/>
      <c r="I2" s="885"/>
      <c r="J2" s="888"/>
    </row>
    <row r="3" spans="1:13">
      <c r="A3" s="888"/>
      <c r="B3" s="959"/>
      <c r="C3" s="959"/>
      <c r="D3" s="888"/>
      <c r="E3" s="888"/>
      <c r="F3" s="888"/>
      <c r="G3" s="888"/>
      <c r="H3" s="888"/>
      <c r="I3" s="888"/>
      <c r="J3" s="888"/>
    </row>
    <row r="4" spans="1:13" ht="20">
      <c r="A4" s="888"/>
      <c r="B4" s="959"/>
      <c r="C4" s="959"/>
      <c r="D4" s="1421"/>
      <c r="E4" s="1421"/>
      <c r="F4" s="1421"/>
      <c r="G4" s="1421"/>
      <c r="H4" s="1421"/>
      <c r="I4" s="1421"/>
      <c r="J4" s="1421"/>
    </row>
    <row r="5" spans="1:13" ht="15.5">
      <c r="A5" s="888"/>
      <c r="B5" s="888"/>
      <c r="C5" s="885"/>
      <c r="D5" s="1422"/>
      <c r="E5" s="1422"/>
      <c r="F5" s="1422"/>
      <c r="G5" s="1422"/>
      <c r="H5" s="1422"/>
      <c r="I5" s="1422"/>
      <c r="J5" s="888"/>
    </row>
    <row r="6" spans="1:13" ht="15.5">
      <c r="A6" s="888"/>
      <c r="B6" s="888"/>
      <c r="C6" s="885"/>
      <c r="D6" s="958"/>
      <c r="E6" s="957"/>
      <c r="F6" s="956"/>
      <c r="G6" s="955"/>
      <c r="H6" s="955"/>
      <c r="I6" s="955"/>
      <c r="J6" s="888"/>
    </row>
    <row r="7" spans="1:13" ht="20">
      <c r="A7" s="888"/>
      <c r="B7" s="888"/>
      <c r="C7" s="1423" t="s">
        <v>1762</v>
      </c>
      <c r="D7" s="1423"/>
      <c r="E7" s="1423"/>
      <c r="F7" s="1423"/>
      <c r="G7" s="1423"/>
      <c r="H7" s="1423"/>
      <c r="I7" s="1423"/>
      <c r="J7" s="888"/>
    </row>
    <row r="8" spans="1:13" ht="29" thickBot="1">
      <c r="A8" s="888"/>
      <c r="B8" s="888"/>
      <c r="C8" s="1424" t="s">
        <v>1763</v>
      </c>
      <c r="D8" s="1424"/>
      <c r="E8" s="1424"/>
      <c r="F8" s="1424"/>
      <c r="G8" s="1424"/>
      <c r="H8" s="1424"/>
      <c r="I8" s="1424"/>
      <c r="J8" s="888"/>
      <c r="L8" s="1019"/>
    </row>
    <row r="9" spans="1:13">
      <c r="A9" s="888"/>
      <c r="B9" s="954"/>
      <c r="C9" s="953"/>
      <c r="D9" s="952"/>
      <c r="E9" s="951"/>
      <c r="F9" s="951"/>
      <c r="G9" s="951"/>
      <c r="H9" s="951"/>
      <c r="I9" s="951"/>
      <c r="J9" s="950"/>
    </row>
    <row r="10" spans="1:13">
      <c r="A10" s="888"/>
      <c r="B10" s="887"/>
      <c r="C10" s="900" t="s">
        <v>1311</v>
      </c>
      <c r="D10" s="947">
        <v>354.8</v>
      </c>
      <c r="E10" s="890"/>
      <c r="F10" s="1295"/>
      <c r="G10" s="1295"/>
      <c r="H10" s="1295"/>
      <c r="I10" s="949"/>
      <c r="J10" s="886"/>
      <c r="L10" s="283"/>
      <c r="M10" s="283"/>
    </row>
    <row r="11" spans="1:13">
      <c r="A11" s="888"/>
      <c r="B11" s="887"/>
      <c r="C11" s="900" t="s">
        <v>1310</v>
      </c>
      <c r="D11" s="948">
        <f>ERR!I2</f>
        <v>9.7433953784229255E-2</v>
      </c>
      <c r="E11" s="890"/>
      <c r="F11" s="890"/>
      <c r="G11" s="890"/>
      <c r="H11" s="890"/>
      <c r="I11" s="890"/>
      <c r="J11" s="886"/>
      <c r="L11" s="283"/>
      <c r="M11" s="283"/>
    </row>
    <row r="12" spans="1:13">
      <c r="A12" s="888"/>
      <c r="B12" s="887"/>
      <c r="C12" s="900" t="s">
        <v>1309</v>
      </c>
      <c r="D12" s="947">
        <f>ERR!D7*'BA Inputs'!E13</f>
        <v>202.94649258717865</v>
      </c>
      <c r="E12" s="890"/>
      <c r="F12" s="890"/>
      <c r="G12" s="890"/>
      <c r="H12" s="890"/>
      <c r="I12" s="890"/>
      <c r="J12" s="886"/>
      <c r="L12" s="1016"/>
      <c r="M12" s="283"/>
    </row>
    <row r="13" spans="1:13">
      <c r="A13" s="888"/>
      <c r="B13" s="887"/>
      <c r="C13" s="914" t="s">
        <v>1308</v>
      </c>
      <c r="D13" s="946">
        <f>ERR!D9*'BA Inputs'!E13</f>
        <v>205.93275013257468</v>
      </c>
      <c r="E13" s="944"/>
      <c r="F13" s="888"/>
      <c r="G13" s="888"/>
      <c r="H13" s="888"/>
      <c r="I13" s="888"/>
      <c r="J13" s="886"/>
      <c r="L13" s="283"/>
      <c r="M13" s="283"/>
    </row>
    <row r="14" spans="1:13" ht="14.5" customHeight="1">
      <c r="A14" s="888"/>
      <c r="B14" s="887"/>
      <c r="C14" s="914"/>
      <c r="D14" s="945"/>
      <c r="E14" s="944"/>
      <c r="F14" s="1420" t="s">
        <v>1307</v>
      </c>
      <c r="G14" s="1420"/>
      <c r="H14" s="1420"/>
      <c r="I14" s="1420"/>
      <c r="J14" s="886"/>
      <c r="L14" s="283"/>
      <c r="M14" s="283"/>
    </row>
    <row r="15" spans="1:13">
      <c r="A15" s="888"/>
      <c r="B15" s="887"/>
      <c r="C15" s="918" t="s">
        <v>1047</v>
      </c>
      <c r="D15" s="909" t="s">
        <v>70</v>
      </c>
      <c r="E15" s="929"/>
      <c r="F15" s="909" t="s">
        <v>1046</v>
      </c>
      <c r="G15" s="909" t="s">
        <v>1297</v>
      </c>
      <c r="H15" s="909" t="s">
        <v>1044</v>
      </c>
      <c r="I15" s="909" t="s">
        <v>1043</v>
      </c>
      <c r="J15" s="886"/>
      <c r="L15" s="283"/>
      <c r="M15" s="283"/>
    </row>
    <row r="16" spans="1:13">
      <c r="A16" s="888"/>
      <c r="B16" s="887"/>
      <c r="C16" s="928"/>
      <c r="D16" s="926"/>
      <c r="E16" s="927"/>
      <c r="F16" s="926"/>
      <c r="G16" s="926"/>
      <c r="H16" s="926"/>
      <c r="I16" s="926"/>
      <c r="J16" s="886"/>
      <c r="L16" s="283"/>
      <c r="M16" s="283"/>
    </row>
    <row r="17" spans="1:16">
      <c r="A17" s="888"/>
      <c r="B17" s="887"/>
      <c r="C17" s="890" t="s">
        <v>1306</v>
      </c>
      <c r="D17" s="942">
        <f>D18/Assumptions!L34</f>
        <v>199993.61527826139</v>
      </c>
      <c r="E17" s="938"/>
      <c r="F17" s="943"/>
      <c r="G17" s="943"/>
      <c r="H17" s="943"/>
      <c r="I17" s="943"/>
      <c r="J17" s="886"/>
      <c r="L17" s="283"/>
      <c r="M17" s="283"/>
      <c r="N17" s="283"/>
      <c r="O17" s="283"/>
    </row>
    <row r="18" spans="1:16">
      <c r="A18" s="888"/>
      <c r="B18" s="887"/>
      <c r="C18" s="891" t="s">
        <v>1305</v>
      </c>
      <c r="D18" s="942">
        <f>SUM('BA Inputs'!D179)+'BA Inputs'!D178</f>
        <v>1199961.6916695684</v>
      </c>
      <c r="E18" s="938"/>
      <c r="F18" s="941"/>
      <c r="G18" s="941"/>
      <c r="H18" s="941"/>
      <c r="I18" s="941"/>
      <c r="J18" s="886"/>
      <c r="L18" s="1017"/>
      <c r="M18" s="283"/>
      <c r="N18" s="1017"/>
      <c r="O18" s="283"/>
    </row>
    <row r="19" spans="1:16">
      <c r="A19" s="888"/>
      <c r="B19" s="887"/>
      <c r="C19" s="891" t="s">
        <v>1304</v>
      </c>
      <c r="D19" s="893">
        <v>18853774</v>
      </c>
      <c r="E19" s="938"/>
      <c r="F19" s="940"/>
      <c r="G19" s="940"/>
      <c r="H19" s="940"/>
      <c r="I19" s="940"/>
      <c r="J19" s="886"/>
      <c r="L19" s="1018"/>
      <c r="M19" s="283"/>
      <c r="N19" s="1018"/>
      <c r="O19" s="283"/>
    </row>
    <row r="20" spans="1:16">
      <c r="A20" s="888"/>
      <c r="B20" s="887"/>
      <c r="C20" s="891"/>
      <c r="D20" s="893"/>
      <c r="E20" s="938"/>
      <c r="F20" s="940"/>
      <c r="G20" s="940"/>
      <c r="H20" s="940"/>
      <c r="I20" s="940"/>
      <c r="J20" s="886"/>
      <c r="L20" s="283"/>
      <c r="M20" s="283"/>
      <c r="N20" s="283"/>
      <c r="O20" s="283"/>
    </row>
    <row r="21" spans="1:16">
      <c r="A21" s="888"/>
      <c r="B21" s="887"/>
      <c r="C21" s="891" t="s">
        <v>1303</v>
      </c>
      <c r="D21" s="939"/>
      <c r="E21" s="938"/>
      <c r="F21" s="937">
        <f>'BA Inputs'!E95</f>
        <v>0.58927273527431712</v>
      </c>
      <c r="G21" s="937">
        <f>'BA Inputs'!F95+F21</f>
        <v>0.72786866103811931</v>
      </c>
      <c r="H21" s="937">
        <f>'BA Inputs'!G95</f>
        <v>0.14795412187588186</v>
      </c>
      <c r="I21" s="937">
        <f>'BA Inputs'!H95</f>
        <v>0.12418058425014993</v>
      </c>
      <c r="J21" s="886"/>
      <c r="L21" s="1017"/>
      <c r="M21" s="283"/>
      <c r="N21" s="1017"/>
      <c r="O21" s="283"/>
    </row>
    <row r="22" spans="1:16">
      <c r="A22" s="888"/>
      <c r="B22" s="887"/>
      <c r="C22" s="908" t="s">
        <v>1302</v>
      </c>
      <c r="D22" s="936"/>
      <c r="E22" s="935"/>
      <c r="F22" s="920">
        <v>0.68079999999999996</v>
      </c>
      <c r="G22" s="920">
        <v>0.80559999999999998</v>
      </c>
      <c r="H22" s="920">
        <v>0.1149</v>
      </c>
      <c r="I22" s="920">
        <v>7.9399999999999998E-2</v>
      </c>
      <c r="J22" s="886"/>
      <c r="L22" s="1018"/>
      <c r="M22" s="283"/>
      <c r="N22" s="1018"/>
      <c r="O22" s="283"/>
    </row>
    <row r="23" spans="1:16">
      <c r="A23" s="888"/>
      <c r="B23" s="934"/>
      <c r="C23" s="933"/>
      <c r="D23" s="903"/>
      <c r="E23" s="932"/>
      <c r="F23" s="931"/>
      <c r="G23" s="930"/>
      <c r="H23" s="930"/>
      <c r="I23" s="930"/>
      <c r="J23" s="886"/>
      <c r="L23" s="283"/>
      <c r="M23" s="283"/>
      <c r="N23" s="283"/>
      <c r="O23" s="283"/>
    </row>
    <row r="24" spans="1:16">
      <c r="A24" s="888"/>
      <c r="B24" s="887"/>
      <c r="C24" s="918" t="s">
        <v>1301</v>
      </c>
      <c r="D24" s="909"/>
      <c r="E24" s="929"/>
      <c r="F24" s="909"/>
      <c r="G24" s="909"/>
      <c r="H24" s="909"/>
      <c r="I24" s="909"/>
      <c r="J24" s="886"/>
      <c r="L24" s="1017"/>
      <c r="M24" s="283"/>
      <c r="N24" s="1017"/>
      <c r="O24" s="283"/>
    </row>
    <row r="25" spans="1:16">
      <c r="A25" s="888"/>
      <c r="B25" s="887"/>
      <c r="C25" s="928"/>
      <c r="D25" s="926"/>
      <c r="E25" s="927"/>
      <c r="F25" s="926"/>
      <c r="G25" s="926"/>
      <c r="H25" s="926"/>
      <c r="I25" s="926"/>
      <c r="J25" s="886"/>
      <c r="L25" s="1018"/>
      <c r="M25" s="283"/>
      <c r="N25" s="1018"/>
      <c r="O25" s="283"/>
    </row>
    <row r="26" spans="1:16">
      <c r="A26" s="888"/>
      <c r="B26" s="887"/>
      <c r="C26" s="891" t="s">
        <v>1300</v>
      </c>
      <c r="D26" s="924">
        <f>SUMPRODUCT(G26:I26,G21:I21)</f>
        <v>169.10409210874636</v>
      </c>
      <c r="E26" s="925"/>
      <c r="F26" s="924">
        <f>'BA Inputs'!E184</f>
        <v>149.64864006514318</v>
      </c>
      <c r="G26" s="924">
        <f>'BA Inputs'!F184*(G21-F21)/G21+'BA Inputs'!E184*F21/G21</f>
        <v>154.85959702760192</v>
      </c>
      <c r="H26" s="924">
        <f>'BA Inputs'!G184</f>
        <v>191.25961534297502</v>
      </c>
      <c r="I26" s="924">
        <f>'BA Inputs'!H184</f>
        <v>226.19474938523098</v>
      </c>
      <c r="J26" s="886"/>
      <c r="L26" s="283"/>
      <c r="M26" s="283"/>
      <c r="N26" s="283"/>
      <c r="O26" s="283"/>
    </row>
    <row r="27" spans="1:16">
      <c r="A27" s="888"/>
      <c r="B27" s="887"/>
      <c r="C27" s="923" t="s">
        <v>1299</v>
      </c>
      <c r="D27" s="922">
        <f>SUMPRODUCT(G27:I27,G21:I21)</f>
        <v>0.22370158101986334</v>
      </c>
      <c r="E27" s="921"/>
      <c r="F27" s="920">
        <f>F26/'BA Inputs'!E180</f>
        <v>0.67264276596319594</v>
      </c>
      <c r="G27" s="920">
        <f>G26/'BA Inputs'!F180</f>
        <v>0.25905767691857451</v>
      </c>
      <c r="H27" s="920">
        <f>H26/'BA Inputs'!G180</f>
        <v>0.18407744476633284</v>
      </c>
      <c r="I27" s="920">
        <f>I26/'BA Inputs'!H180</f>
        <v>6.3670177908076109E-2</v>
      </c>
      <c r="J27" s="886"/>
      <c r="L27" s="1017"/>
      <c r="M27" s="283"/>
      <c r="N27" s="1017"/>
      <c r="O27" s="283"/>
    </row>
    <row r="28" spans="1:16">
      <c r="A28" s="888"/>
      <c r="B28" s="887"/>
      <c r="C28" s="904"/>
      <c r="D28" s="903"/>
      <c r="E28" s="902"/>
      <c r="F28" s="919"/>
      <c r="G28" s="919"/>
      <c r="H28" s="919"/>
      <c r="I28" s="919"/>
      <c r="J28" s="886"/>
      <c r="L28" s="1018"/>
      <c r="M28" s="283"/>
      <c r="N28" s="1018"/>
      <c r="O28" s="283"/>
    </row>
    <row r="29" spans="1:16">
      <c r="A29" s="888"/>
      <c r="B29" s="887"/>
      <c r="C29" s="918" t="s">
        <v>1298</v>
      </c>
      <c r="D29" s="917"/>
      <c r="E29" s="916"/>
      <c r="F29" s="915"/>
      <c r="G29" s="915"/>
      <c r="H29" s="915"/>
      <c r="I29" s="915"/>
      <c r="J29" s="886"/>
      <c r="L29" s="283"/>
      <c r="M29" s="283"/>
      <c r="N29" s="283"/>
      <c r="O29" s="283"/>
    </row>
    <row r="30" spans="1:16">
      <c r="A30" s="888"/>
      <c r="B30" s="887"/>
      <c r="C30" s="914"/>
      <c r="D30" s="913"/>
      <c r="E30" s="912"/>
      <c r="F30" s="911"/>
      <c r="G30" s="911"/>
      <c r="H30" s="911"/>
      <c r="I30" s="911"/>
      <c r="J30" s="886"/>
      <c r="K30" s="910"/>
      <c r="L30" s="1017"/>
      <c r="M30" s="283"/>
      <c r="N30" s="1017"/>
      <c r="O30" s="283"/>
    </row>
    <row r="31" spans="1:16">
      <c r="A31" s="888"/>
      <c r="B31" s="887"/>
      <c r="C31" s="908" t="s">
        <v>1296</v>
      </c>
      <c r="D31" s="1199">
        <f>D12/D13</f>
        <v>0.98549887017255122</v>
      </c>
      <c r="E31" s="907"/>
      <c r="F31" s="906">
        <f>'BA Inputs'!E183/'BA Inputs'!$D$183*'Poverty Scorecard'!$D$31</f>
        <v>0.51337528585271108</v>
      </c>
      <c r="G31" s="906">
        <f>'BA Inputs'!F183/'BA Inputs'!$D$183*'Poverty Scorecard'!$D$31+F31</f>
        <v>0.65620114132907847</v>
      </c>
      <c r="H31" s="906">
        <f>'BA Inputs'!G183/'BA Inputs'!$D$183*'Poverty Scorecard'!$D$31</f>
        <v>0.16565335651061272</v>
      </c>
      <c r="I31" s="906">
        <f>'BA Inputs'!H183/'BA Inputs'!$D$183*'Poverty Scorecard'!$D$31</f>
        <v>0.16364437233285994</v>
      </c>
      <c r="J31" s="886"/>
      <c r="K31" s="172"/>
      <c r="L31" s="1018"/>
      <c r="M31" s="283"/>
      <c r="N31" s="1018"/>
      <c r="O31" s="283"/>
      <c r="P31" s="905"/>
    </row>
    <row r="32" spans="1:16">
      <c r="A32" s="888"/>
      <c r="B32" s="887"/>
      <c r="C32" s="904"/>
      <c r="D32" s="903"/>
      <c r="E32" s="902"/>
      <c r="F32" s="901"/>
      <c r="G32" s="901"/>
      <c r="H32" s="901"/>
      <c r="I32" s="901"/>
      <c r="J32" s="886"/>
      <c r="L32" s="283"/>
      <c r="M32" s="283"/>
      <c r="N32" s="283"/>
      <c r="O32" s="283"/>
    </row>
    <row r="33" spans="1:15">
      <c r="A33" s="888"/>
      <c r="B33" s="887"/>
      <c r="C33" s="900" t="s">
        <v>1295</v>
      </c>
      <c r="D33" s="899">
        <v>0.49919999999999998</v>
      </c>
      <c r="E33" s="897"/>
      <c r="F33" s="896"/>
      <c r="G33" s="896"/>
      <c r="H33" s="896"/>
      <c r="I33" s="896"/>
      <c r="J33" s="886"/>
      <c r="L33" s="1017"/>
      <c r="M33" s="283"/>
      <c r="N33" s="1017"/>
      <c r="O33" s="283"/>
    </row>
    <row r="34" spans="1:15">
      <c r="A34" s="888"/>
      <c r="B34" s="887"/>
      <c r="C34" s="891"/>
      <c r="D34" s="898"/>
      <c r="E34" s="897"/>
      <c r="F34" s="896"/>
      <c r="G34" s="896"/>
      <c r="H34" s="896"/>
      <c r="I34" s="896"/>
      <c r="J34" s="886"/>
      <c r="L34" s="1018"/>
      <c r="M34" s="283"/>
      <c r="N34" s="1018"/>
      <c r="O34" s="283"/>
    </row>
    <row r="35" spans="1:15">
      <c r="A35" s="888"/>
      <c r="B35" s="887"/>
      <c r="C35" s="891" t="s">
        <v>1294</v>
      </c>
      <c r="D35" s="895">
        <v>1280</v>
      </c>
      <c r="E35" s="890"/>
      <c r="F35" s="890"/>
      <c r="G35" s="890"/>
      <c r="H35" s="890"/>
      <c r="I35" s="890"/>
      <c r="J35" s="886"/>
      <c r="L35" s="283"/>
      <c r="M35" s="283"/>
      <c r="N35" s="283"/>
      <c r="O35" s="283"/>
    </row>
    <row r="36" spans="1:15">
      <c r="A36" s="888"/>
      <c r="B36" s="887"/>
      <c r="C36" s="894" t="s">
        <v>1293</v>
      </c>
      <c r="D36" s="893">
        <f>Assumptions!E46</f>
        <v>13881336</v>
      </c>
      <c r="E36" s="892"/>
      <c r="F36" s="892"/>
      <c r="G36" s="892"/>
      <c r="H36" s="892"/>
      <c r="I36" s="892"/>
      <c r="J36" s="886"/>
      <c r="L36" s="1017"/>
      <c r="M36" s="283"/>
      <c r="N36" s="1017"/>
      <c r="O36" s="283"/>
    </row>
    <row r="37" spans="1:15">
      <c r="A37" s="888"/>
      <c r="B37" s="887"/>
      <c r="C37" s="891"/>
      <c r="D37" s="1190"/>
      <c r="E37" s="944"/>
      <c r="F37" s="944"/>
      <c r="G37" s="944"/>
      <c r="H37" s="944"/>
      <c r="I37" s="944"/>
      <c r="J37" s="886"/>
      <c r="L37" s="1018"/>
      <c r="M37" s="283"/>
      <c r="N37" s="1018"/>
      <c r="O37" s="283"/>
    </row>
    <row r="38" spans="1:15">
      <c r="A38" s="888"/>
      <c r="B38" s="887"/>
      <c r="C38" s="1191" t="s">
        <v>1292</v>
      </c>
      <c r="D38" s="1192"/>
      <c r="E38" s="944"/>
      <c r="F38" s="889"/>
      <c r="G38" s="889"/>
      <c r="H38" s="889"/>
      <c r="I38" s="889"/>
      <c r="J38" s="886"/>
      <c r="L38" s="283"/>
      <c r="M38" s="283"/>
      <c r="N38" s="283"/>
      <c r="O38" s="283"/>
    </row>
    <row r="39" spans="1:15">
      <c r="A39" s="888"/>
      <c r="B39" s="887"/>
      <c r="C39" s="1193" t="s">
        <v>1291</v>
      </c>
      <c r="D39" s="1192"/>
      <c r="E39" s="944"/>
      <c r="F39" s="889"/>
      <c r="G39" s="889"/>
      <c r="H39" s="889"/>
      <c r="I39" s="889"/>
      <c r="J39" s="886"/>
      <c r="L39" s="1017"/>
      <c r="M39" s="283"/>
      <c r="N39" s="1017"/>
      <c r="O39" s="283"/>
    </row>
    <row r="40" spans="1:15">
      <c r="A40" s="888"/>
      <c r="B40" s="887"/>
      <c r="C40" s="1193" t="s">
        <v>1290</v>
      </c>
      <c r="D40" s="1192"/>
      <c r="E40" s="944"/>
      <c r="F40" s="889"/>
      <c r="G40" s="889"/>
      <c r="H40" s="889"/>
      <c r="I40" s="889"/>
      <c r="J40" s="886"/>
      <c r="L40" s="1018"/>
      <c r="M40" s="283"/>
      <c r="N40" s="1018"/>
      <c r="O40" s="283"/>
    </row>
    <row r="41" spans="1:15">
      <c r="A41" s="888"/>
      <c r="B41" s="887"/>
      <c r="C41" s="1194" t="s">
        <v>1289</v>
      </c>
      <c r="D41" s="959"/>
      <c r="E41" s="959"/>
      <c r="F41" s="959"/>
      <c r="G41" s="959"/>
      <c r="H41" s="959"/>
      <c r="I41" s="959"/>
      <c r="J41" s="886"/>
    </row>
    <row r="42" spans="1:15">
      <c r="A42" s="885"/>
      <c r="B42" s="887"/>
      <c r="C42" s="1194" t="s">
        <v>1288</v>
      </c>
      <c r="D42" s="959"/>
      <c r="E42" s="959"/>
      <c r="F42" s="959"/>
      <c r="G42" s="959"/>
      <c r="H42" s="959"/>
      <c r="I42" s="959"/>
      <c r="J42" s="886"/>
    </row>
    <row r="43" spans="1:15" ht="15" thickBot="1">
      <c r="A43" s="885"/>
      <c r="B43" s="884"/>
      <c r="C43" s="1195"/>
      <c r="D43" s="1196"/>
      <c r="E43" s="1196"/>
      <c r="F43" s="1196"/>
      <c r="G43" s="1196"/>
      <c r="H43" s="1196"/>
      <c r="I43" s="1196"/>
      <c r="J43" s="883"/>
    </row>
    <row r="44" spans="1:15">
      <c r="H44" s="1036"/>
    </row>
  </sheetData>
  <mergeCells count="5">
    <mergeCell ref="F14:I14"/>
    <mergeCell ref="D4:J4"/>
    <mergeCell ref="D5:I5"/>
    <mergeCell ref="C7:I7"/>
    <mergeCell ref="C8:I8"/>
  </mergeCells>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45"/>
  <sheetViews>
    <sheetView showGridLines="0" topLeftCell="A4" zoomScale="110" zoomScaleNormal="110" workbookViewId="0"/>
  </sheetViews>
  <sheetFormatPr defaultColWidth="9.1796875" defaultRowHeight="12.5"/>
  <cols>
    <col min="1" max="1" width="5.7265625" style="1020" customWidth="1"/>
    <col min="2" max="2" width="129.7265625" style="1020" customWidth="1"/>
    <col min="3" max="3" width="9.1796875" style="1020"/>
    <col min="4" max="4" width="20.81640625" style="1020" customWidth="1"/>
    <col min="5" max="16384" width="9.1796875" style="1020"/>
  </cols>
  <sheetData>
    <row r="1" spans="1:2">
      <c r="B1" s="1319" t="s">
        <v>1764</v>
      </c>
    </row>
    <row r="2" spans="1:2" ht="20">
      <c r="B2" s="1098" t="s">
        <v>1638</v>
      </c>
    </row>
    <row r="3" spans="1:2" s="1022" customFormat="1" ht="18">
      <c r="B3" s="1093" t="s">
        <v>1553</v>
      </c>
    </row>
    <row r="4" spans="1:2" ht="17.5">
      <c r="A4" s="1023"/>
      <c r="B4" s="1024"/>
    </row>
    <row r="6" spans="1:2" s="1025" customFormat="1" ht="13">
      <c r="B6" s="1026" t="s">
        <v>1566</v>
      </c>
    </row>
    <row r="7" spans="1:2" s="1025" customFormat="1" ht="13">
      <c r="B7" s="1026"/>
    </row>
    <row r="8" spans="1:2" ht="37.5">
      <c r="A8" s="1320"/>
      <c r="B8" s="1092" t="s">
        <v>1630</v>
      </c>
    </row>
    <row r="9" spans="1:2">
      <c r="A9" s="1320"/>
      <c r="B9" s="1092"/>
    </row>
    <row r="10" spans="1:2" ht="13">
      <c r="A10" s="1320"/>
      <c r="B10" s="1095" t="s">
        <v>1632</v>
      </c>
    </row>
    <row r="11" spans="1:2" s="1027" customFormat="1">
      <c r="A11" s="1320"/>
    </row>
    <row r="12" spans="1:2" ht="131.25" customHeight="1">
      <c r="A12" s="1035"/>
      <c r="B12" s="1096" t="s">
        <v>1633</v>
      </c>
    </row>
    <row r="13" spans="1:2" ht="146.25" customHeight="1">
      <c r="A13" s="1067"/>
      <c r="B13" s="1096" t="s">
        <v>1634</v>
      </c>
    </row>
    <row r="14" spans="1:2" ht="91.5" customHeight="1">
      <c r="A14" s="1067"/>
      <c r="B14" s="1096" t="s">
        <v>1635</v>
      </c>
    </row>
    <row r="15" spans="1:2" s="1027" customFormat="1">
      <c r="A15" s="1067"/>
    </row>
    <row r="16" spans="1:2" s="1027" customFormat="1" ht="13">
      <c r="A16" s="1067"/>
      <c r="B16" s="1097" t="s">
        <v>1636</v>
      </c>
    </row>
    <row r="17" spans="1:2">
      <c r="A17" s="1067"/>
    </row>
    <row r="18" spans="1:2" ht="50">
      <c r="A18" s="1067"/>
      <c r="B18" s="1096" t="s">
        <v>1637</v>
      </c>
    </row>
    <row r="19" spans="1:2">
      <c r="A19" s="1067"/>
      <c r="B19" s="1028"/>
    </row>
    <row r="20" spans="1:2">
      <c r="A20" s="1067"/>
      <c r="B20" s="1028"/>
    </row>
    <row r="21" spans="1:2" s="1031" customFormat="1" ht="13">
      <c r="A21" s="1029"/>
      <c r="B21" s="1030" t="s">
        <v>1567</v>
      </c>
    </row>
    <row r="22" spans="1:2" s="1031" customFormat="1" ht="13">
      <c r="A22" s="1029"/>
      <c r="B22" s="1030"/>
    </row>
    <row r="23" spans="1:2" ht="310" customHeight="1">
      <c r="A23" s="1035"/>
      <c r="B23" s="1028" t="s">
        <v>1758</v>
      </c>
    </row>
    <row r="24" spans="1:2">
      <c r="A24" s="1035"/>
      <c r="B24" s="1028"/>
    </row>
    <row r="25" spans="1:2" ht="13">
      <c r="A25" s="1035"/>
      <c r="B25" s="1032" t="s">
        <v>1568</v>
      </c>
    </row>
    <row r="26" spans="1:2" ht="13">
      <c r="A26" s="1035"/>
      <c r="B26" s="1032"/>
    </row>
    <row r="27" spans="1:2" s="1025" customFormat="1" ht="13">
      <c r="B27" s="1026" t="s">
        <v>1566</v>
      </c>
    </row>
    <row r="28" spans="1:2" ht="5.5" customHeight="1">
      <c r="A28" s="1035"/>
      <c r="B28" s="1033"/>
    </row>
    <row r="29" spans="1:2" ht="93.75" customHeight="1">
      <c r="A29" s="1035"/>
      <c r="B29" s="1094" t="s">
        <v>1631</v>
      </c>
    </row>
    <row r="30" spans="1:2" ht="13">
      <c r="A30" s="1035"/>
      <c r="B30" s="1318" t="s">
        <v>1759</v>
      </c>
    </row>
    <row r="31" spans="1:2" s="1031" customFormat="1">
      <c r="A31" s="1029"/>
      <c r="B31" s="1094"/>
    </row>
    <row r="32" spans="1:2" s="1031" customFormat="1" ht="244" customHeight="1">
      <c r="A32" s="1029"/>
      <c r="B32" s="1425" t="s">
        <v>1767</v>
      </c>
    </row>
    <row r="33" spans="1:2" ht="14.5">
      <c r="A33" s="1035"/>
      <c r="B33" s="1137"/>
    </row>
    <row r="34" spans="1:2" ht="14.5">
      <c r="A34" s="1035"/>
      <c r="B34" s="1137"/>
    </row>
    <row r="35" spans="1:2" ht="14.5">
      <c r="B35" s="1137"/>
    </row>
    <row r="36" spans="1:2" ht="14.5">
      <c r="B36" s="1137"/>
    </row>
    <row r="37" spans="1:2" ht="14.5">
      <c r="A37" s="1072"/>
      <c r="B37" s="1137"/>
    </row>
    <row r="38" spans="1:2" ht="14.5">
      <c r="B38" s="1137"/>
    </row>
    <row r="39" spans="1:2" ht="14.5">
      <c r="B39" s="1137"/>
    </row>
    <row r="40" spans="1:2" ht="14.5">
      <c r="B40" s="1137"/>
    </row>
    <row r="41" spans="1:2" ht="14.5">
      <c r="B41" s="1137"/>
    </row>
    <row r="42" spans="1:2" ht="14.5">
      <c r="B42" s="1137"/>
    </row>
    <row r="43" spans="1:2" ht="14.5">
      <c r="B43" s="1137"/>
    </row>
    <row r="44" spans="1:2" ht="14.5">
      <c r="B44" s="976"/>
    </row>
    <row r="45" spans="1:2" ht="14.5">
      <c r="B45" s="1280"/>
    </row>
  </sheetData>
  <mergeCells count="1">
    <mergeCell ref="A8:A11"/>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2"/>
  <sheetViews>
    <sheetView workbookViewId="0">
      <selection activeCell="A7" sqref="A7"/>
    </sheetView>
  </sheetViews>
  <sheetFormatPr defaultColWidth="9.1796875" defaultRowHeight="14.5"/>
  <cols>
    <col min="1" max="1" width="55.453125" style="1137" customWidth="1"/>
    <col min="2" max="2" width="15.1796875" style="1137" customWidth="1"/>
    <col min="3" max="6" width="9.1796875" style="1137"/>
    <col min="7" max="7" width="12" style="1137" bestFit="1" customWidth="1"/>
    <col min="8" max="16384" width="9.1796875" style="1137"/>
  </cols>
  <sheetData>
    <row r="1" spans="1:26">
      <c r="A1" s="1137" t="s">
        <v>1726</v>
      </c>
    </row>
    <row r="3" spans="1:26">
      <c r="A3" s="775"/>
      <c r="B3" s="1272">
        <v>1</v>
      </c>
      <c r="C3" s="1272">
        <v>2</v>
      </c>
      <c r="D3" s="1272">
        <v>3</v>
      </c>
      <c r="E3" s="1272">
        <v>4</v>
      </c>
      <c r="F3" s="1272">
        <v>5</v>
      </c>
      <c r="G3" s="775">
        <v>6</v>
      </c>
      <c r="H3" s="775">
        <v>7</v>
      </c>
      <c r="I3" s="775">
        <v>8</v>
      </c>
      <c r="J3" s="775">
        <v>9</v>
      </c>
      <c r="K3" s="775">
        <v>10</v>
      </c>
      <c r="L3" s="775">
        <v>11</v>
      </c>
      <c r="M3" s="775">
        <v>12</v>
      </c>
      <c r="N3" s="775">
        <v>13</v>
      </c>
      <c r="O3" s="775">
        <v>14</v>
      </c>
      <c r="P3" s="775">
        <v>15</v>
      </c>
      <c r="Q3" s="775">
        <v>16</v>
      </c>
      <c r="R3" s="775">
        <v>17</v>
      </c>
      <c r="S3" s="775">
        <v>18</v>
      </c>
      <c r="T3" s="775">
        <v>19</v>
      </c>
      <c r="U3" s="775">
        <v>20</v>
      </c>
      <c r="V3" s="775">
        <v>21</v>
      </c>
      <c r="W3" s="775">
        <v>22</v>
      </c>
      <c r="X3" s="775">
        <v>23</v>
      </c>
      <c r="Y3" s="775">
        <v>24</v>
      </c>
      <c r="Z3" s="775">
        <v>25</v>
      </c>
    </row>
    <row r="4" spans="1:26">
      <c r="A4" s="775" t="s">
        <v>1728</v>
      </c>
      <c r="B4" s="1272">
        <v>0</v>
      </c>
      <c r="C4" s="1272">
        <v>0</v>
      </c>
      <c r="D4" s="1272">
        <v>0</v>
      </c>
      <c r="E4" s="1272">
        <v>0</v>
      </c>
      <c r="F4" s="1272">
        <v>0</v>
      </c>
      <c r="G4" s="775">
        <v>0.66728540000000003</v>
      </c>
      <c r="H4" s="775">
        <v>8.5648699999999994E-2</v>
      </c>
      <c r="I4" s="775">
        <v>2.37325E-2</v>
      </c>
      <c r="J4" s="775">
        <v>2.8982000000000001E-2</v>
      </c>
      <c r="K4" s="775">
        <v>4.4790400000000001E-2</v>
      </c>
      <c r="L4" s="775">
        <v>5.9960100000000002E-2</v>
      </c>
      <c r="M4" s="775">
        <v>6.1916199999999998E-2</v>
      </c>
      <c r="N4" s="775">
        <v>7.6427099999999998E-2</v>
      </c>
      <c r="O4" s="775">
        <v>6.2594800000000006E-2</v>
      </c>
      <c r="P4" s="775">
        <v>4.8083800000000003E-2</v>
      </c>
      <c r="Q4" s="775">
        <v>5.8642699999999999E-2</v>
      </c>
      <c r="R4" s="775">
        <v>7.1816400000000002E-2</v>
      </c>
      <c r="S4" s="775">
        <v>6.4570900000000001E-2</v>
      </c>
      <c r="T4" s="775">
        <v>5.8622800000000003E-2</v>
      </c>
      <c r="U4" s="775">
        <v>5.4670700000000003E-2</v>
      </c>
      <c r="V4" s="775">
        <v>5.5988000000000003E-2</v>
      </c>
      <c r="W4" s="775">
        <v>6.0598800000000001E-2</v>
      </c>
      <c r="X4" s="775">
        <v>5.9940100000000003E-2</v>
      </c>
      <c r="Y4" s="775">
        <v>5.1377199999999998E-2</v>
      </c>
      <c r="Z4" s="775">
        <v>5.3373299999999999E-2</v>
      </c>
    </row>
    <row r="5" spans="1:26">
      <c r="A5" s="775" t="s">
        <v>1729</v>
      </c>
      <c r="B5" s="1272">
        <v>0</v>
      </c>
      <c r="C5" s="1272">
        <v>0</v>
      </c>
      <c r="D5" s="1272">
        <v>0</v>
      </c>
      <c r="E5" s="1272">
        <v>0</v>
      </c>
      <c r="F5" s="1272">
        <v>0</v>
      </c>
      <c r="G5" s="775">
        <f>G4*0.4</f>
        <v>0.26691416000000001</v>
      </c>
      <c r="H5" s="775">
        <f t="shared" ref="H5:Z5" si="0">H4*0.4</f>
        <v>3.4259480000000002E-2</v>
      </c>
      <c r="I5" s="775">
        <f t="shared" si="0"/>
        <v>9.4930000000000014E-3</v>
      </c>
      <c r="J5" s="775">
        <f t="shared" si="0"/>
        <v>1.15928E-2</v>
      </c>
      <c r="K5" s="775">
        <f t="shared" si="0"/>
        <v>1.791616E-2</v>
      </c>
      <c r="L5" s="775">
        <f t="shared" si="0"/>
        <v>2.3984040000000002E-2</v>
      </c>
      <c r="M5" s="775">
        <f t="shared" si="0"/>
        <v>2.476648E-2</v>
      </c>
      <c r="N5" s="775">
        <f t="shared" si="0"/>
        <v>3.0570840000000002E-2</v>
      </c>
      <c r="O5" s="775">
        <f t="shared" si="0"/>
        <v>2.5037920000000005E-2</v>
      </c>
      <c r="P5" s="775">
        <f t="shared" si="0"/>
        <v>1.9233520000000004E-2</v>
      </c>
      <c r="Q5" s="775">
        <f t="shared" si="0"/>
        <v>2.3457080000000002E-2</v>
      </c>
      <c r="R5" s="775">
        <f t="shared" si="0"/>
        <v>2.8726560000000002E-2</v>
      </c>
      <c r="S5" s="775">
        <f t="shared" si="0"/>
        <v>2.5828360000000002E-2</v>
      </c>
      <c r="T5" s="775">
        <f t="shared" si="0"/>
        <v>2.3449120000000004E-2</v>
      </c>
      <c r="U5" s="775">
        <f t="shared" si="0"/>
        <v>2.1868280000000004E-2</v>
      </c>
      <c r="V5" s="775">
        <f t="shared" si="0"/>
        <v>2.2395200000000004E-2</v>
      </c>
      <c r="W5" s="775">
        <f t="shared" si="0"/>
        <v>2.4239520000000001E-2</v>
      </c>
      <c r="X5" s="775">
        <f t="shared" si="0"/>
        <v>2.3976040000000004E-2</v>
      </c>
      <c r="Y5" s="775">
        <f t="shared" si="0"/>
        <v>2.0550880000000001E-2</v>
      </c>
      <c r="Z5" s="775">
        <f t="shared" si="0"/>
        <v>2.1349320000000001E-2</v>
      </c>
    </row>
    <row r="6" spans="1:26">
      <c r="A6" s="775" t="s">
        <v>1740</v>
      </c>
      <c r="B6" s="1272">
        <v>0</v>
      </c>
      <c r="C6" s="1272">
        <v>0</v>
      </c>
      <c r="D6" s="1272">
        <v>0</v>
      </c>
      <c r="E6" s="1272">
        <v>0</v>
      </c>
      <c r="F6" s="1272">
        <v>0</v>
      </c>
      <c r="G6" s="775">
        <f>19000000*4*6.6*G5</f>
        <v>133884142.656</v>
      </c>
      <c r="H6" s="775">
        <f t="shared" ref="H6:Z6" si="1">19000000*4*6.6*H5</f>
        <v>17184555.168000001</v>
      </c>
      <c r="I6" s="775">
        <f t="shared" si="1"/>
        <v>4761688.8000000007</v>
      </c>
      <c r="J6" s="775">
        <f t="shared" si="1"/>
        <v>5814948.4800000004</v>
      </c>
      <c r="K6" s="775">
        <f t="shared" si="1"/>
        <v>8986745.8560000006</v>
      </c>
      <c r="L6" s="775">
        <f t="shared" si="1"/>
        <v>12030394.464000002</v>
      </c>
      <c r="M6" s="775">
        <f t="shared" si="1"/>
        <v>12422866.368000001</v>
      </c>
      <c r="N6" s="775">
        <f t="shared" si="1"/>
        <v>15334333.344000001</v>
      </c>
      <c r="O6" s="775">
        <f t="shared" si="1"/>
        <v>12559020.672000002</v>
      </c>
      <c r="P6" s="775">
        <f t="shared" si="1"/>
        <v>9647533.6320000011</v>
      </c>
      <c r="Q6" s="775">
        <f t="shared" si="1"/>
        <v>11766071.328000002</v>
      </c>
      <c r="R6" s="775">
        <f t="shared" si="1"/>
        <v>14409242.496000001</v>
      </c>
      <c r="S6" s="775">
        <f t="shared" si="1"/>
        <v>12955505.376</v>
      </c>
      <c r="T6" s="775">
        <f t="shared" si="1"/>
        <v>11762078.592000002</v>
      </c>
      <c r="U6" s="775">
        <f t="shared" si="1"/>
        <v>10969129.248000002</v>
      </c>
      <c r="V6" s="775">
        <f t="shared" si="1"/>
        <v>11233432.320000002</v>
      </c>
      <c r="W6" s="775">
        <f t="shared" si="1"/>
        <v>12158543.232000001</v>
      </c>
      <c r="X6" s="775">
        <f t="shared" si="1"/>
        <v>12026381.664000003</v>
      </c>
      <c r="Y6" s="775">
        <f t="shared" si="1"/>
        <v>10308321.408</v>
      </c>
      <c r="Z6" s="775">
        <f t="shared" si="1"/>
        <v>10708818.912</v>
      </c>
    </row>
    <row r="8" spans="1:26">
      <c r="A8" s="1269" t="s">
        <v>1721</v>
      </c>
      <c r="B8" s="1270">
        <f>NPV(0.1,B6:Z6)</f>
        <v>128463084.3547505</v>
      </c>
    </row>
    <row r="10" spans="1:26">
      <c r="A10" s="201" t="s">
        <v>1731</v>
      </c>
    </row>
    <row r="11" spans="1:26">
      <c r="A11" s="201" t="s">
        <v>1730</v>
      </c>
    </row>
    <row r="12" spans="1:26">
      <c r="A12" s="201" t="s">
        <v>1732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9"/>
  <sheetViews>
    <sheetView workbookViewId="0">
      <selection activeCell="B9" sqref="B9"/>
    </sheetView>
  </sheetViews>
  <sheetFormatPr defaultRowHeight="14.5"/>
  <cols>
    <col min="1" max="1" width="37.26953125" customWidth="1"/>
    <col min="2" max="2" width="12.26953125" customWidth="1"/>
    <col min="16" max="16" width="15.54296875" bestFit="1" customWidth="1"/>
    <col min="21" max="21" width="10" bestFit="1" customWidth="1"/>
    <col min="26" max="26" width="15.54296875" bestFit="1" customWidth="1"/>
  </cols>
  <sheetData>
    <row r="1" spans="1:26" s="1137" customFormat="1">
      <c r="A1" s="1137" t="s">
        <v>1727</v>
      </c>
    </row>
    <row r="2" spans="1:26" s="1137" customFormat="1"/>
    <row r="3" spans="1:26">
      <c r="A3" s="775"/>
      <c r="B3" s="1272">
        <v>1</v>
      </c>
      <c r="C3" s="1272">
        <v>2</v>
      </c>
      <c r="D3" s="1272">
        <v>3</v>
      </c>
      <c r="E3" s="1272">
        <v>4</v>
      </c>
      <c r="F3" s="1272">
        <v>5</v>
      </c>
      <c r="G3" s="775">
        <v>6</v>
      </c>
      <c r="H3" s="775">
        <v>7</v>
      </c>
      <c r="I3" s="775">
        <v>8</v>
      </c>
      <c r="J3" s="775">
        <v>9</v>
      </c>
      <c r="K3" s="775">
        <v>10</v>
      </c>
      <c r="L3" s="775">
        <v>11</v>
      </c>
      <c r="M3" s="775">
        <v>12</v>
      </c>
      <c r="N3" s="775">
        <v>13</v>
      </c>
      <c r="O3" s="775">
        <v>14</v>
      </c>
      <c r="P3" s="775">
        <v>15</v>
      </c>
      <c r="Q3" s="775">
        <v>16</v>
      </c>
      <c r="R3" s="775">
        <v>17</v>
      </c>
      <c r="S3" s="775">
        <v>18</v>
      </c>
      <c r="T3" s="775">
        <v>19</v>
      </c>
      <c r="U3" s="775">
        <v>20</v>
      </c>
      <c r="V3" s="775">
        <v>21</v>
      </c>
      <c r="W3" s="775">
        <v>22</v>
      </c>
      <c r="X3" s="775">
        <v>23</v>
      </c>
      <c r="Y3" s="775">
        <v>24</v>
      </c>
      <c r="Z3" s="775">
        <v>25</v>
      </c>
    </row>
    <row r="4" spans="1:26">
      <c r="A4" s="775" t="s">
        <v>1722</v>
      </c>
      <c r="B4" s="1272">
        <v>0</v>
      </c>
      <c r="C4" s="1272">
        <v>0</v>
      </c>
      <c r="D4" s="1272">
        <v>0</v>
      </c>
      <c r="E4" s="1272">
        <v>0</v>
      </c>
      <c r="F4" s="1272">
        <v>0</v>
      </c>
      <c r="G4" s="775">
        <v>0</v>
      </c>
      <c r="H4" s="775">
        <v>0</v>
      </c>
      <c r="I4" s="775">
        <v>0</v>
      </c>
      <c r="J4" s="775">
        <v>0</v>
      </c>
      <c r="K4" s="775">
        <v>0</v>
      </c>
      <c r="L4" s="775">
        <v>0</v>
      </c>
      <c r="M4" s="775">
        <v>0</v>
      </c>
      <c r="N4" s="775">
        <v>0</v>
      </c>
      <c r="O4" s="775">
        <v>0</v>
      </c>
      <c r="P4" s="775">
        <v>0</v>
      </c>
      <c r="Q4" s="775">
        <v>0</v>
      </c>
      <c r="R4" s="775">
        <v>0</v>
      </c>
      <c r="S4" s="775">
        <v>0</v>
      </c>
      <c r="T4" s="775">
        <v>0</v>
      </c>
      <c r="U4" s="1271">
        <v>0</v>
      </c>
      <c r="V4" s="775">
        <v>0</v>
      </c>
      <c r="W4" s="775">
        <v>0</v>
      </c>
      <c r="X4" s="775">
        <v>0</v>
      </c>
      <c r="Y4" s="775">
        <v>0</v>
      </c>
      <c r="Z4" s="1271">
        <f>'Cost-Benefit Summary'!$B$18*1000000-Costs!C11*1000000</f>
        <v>167747026.87908322</v>
      </c>
    </row>
    <row r="5" spans="1:26">
      <c r="A5" s="775" t="s">
        <v>1723</v>
      </c>
      <c r="B5" s="1272">
        <v>0</v>
      </c>
      <c r="C5" s="1272">
        <v>0</v>
      </c>
      <c r="D5" s="1272">
        <v>0</v>
      </c>
      <c r="E5" s="1272">
        <v>0</v>
      </c>
      <c r="F5" s="1272">
        <v>0</v>
      </c>
      <c r="G5" s="775">
        <v>0</v>
      </c>
      <c r="H5" s="775">
        <v>0</v>
      </c>
      <c r="I5" s="775">
        <v>0</v>
      </c>
      <c r="J5" s="775">
        <v>0</v>
      </c>
      <c r="K5" s="775">
        <v>0</v>
      </c>
      <c r="L5" s="775">
        <v>0</v>
      </c>
      <c r="M5" s="1273">
        <v>0</v>
      </c>
      <c r="N5" s="775">
        <v>0</v>
      </c>
      <c r="O5" s="775">
        <v>0</v>
      </c>
      <c r="P5" s="1271">
        <f>'Cost-Benefit Summary'!$B$18*1000000-Costs!C11*1000000</f>
        <v>167747026.87908322</v>
      </c>
      <c r="Q5" s="775">
        <v>0</v>
      </c>
      <c r="R5" s="775">
        <v>0</v>
      </c>
      <c r="S5" s="775">
        <v>0</v>
      </c>
      <c r="T5" s="1271">
        <v>0</v>
      </c>
      <c r="U5" s="775">
        <v>0</v>
      </c>
      <c r="V5" s="775">
        <v>0</v>
      </c>
      <c r="W5" s="775">
        <v>0</v>
      </c>
      <c r="X5" s="775">
        <v>0</v>
      </c>
      <c r="Y5" s="775">
        <v>0</v>
      </c>
      <c r="Z5" s="775">
        <v>0</v>
      </c>
    </row>
    <row r="6" spans="1:26" s="1137" customFormat="1">
      <c r="A6" s="775" t="s">
        <v>1724</v>
      </c>
      <c r="B6" s="1272">
        <v>0</v>
      </c>
      <c r="C6" s="1272">
        <v>0</v>
      </c>
      <c r="D6" s="1272">
        <v>0</v>
      </c>
      <c r="E6" s="1272">
        <v>19800000</v>
      </c>
      <c r="F6" s="1272">
        <v>100000</v>
      </c>
      <c r="G6" s="775">
        <v>100000</v>
      </c>
      <c r="H6" s="775">
        <v>100000</v>
      </c>
      <c r="I6" s="775">
        <v>100000</v>
      </c>
      <c r="J6" s="775">
        <v>100000</v>
      </c>
      <c r="K6" s="775">
        <v>100000</v>
      </c>
      <c r="L6" s="775">
        <v>100000</v>
      </c>
      <c r="M6" s="775">
        <v>100000</v>
      </c>
      <c r="N6" s="775">
        <v>100000</v>
      </c>
      <c r="O6" s="775">
        <v>100000</v>
      </c>
      <c r="P6" s="775">
        <v>100000</v>
      </c>
      <c r="Q6" s="775">
        <v>100000</v>
      </c>
      <c r="R6" s="775">
        <v>100000</v>
      </c>
      <c r="S6" s="775">
        <v>100000</v>
      </c>
      <c r="T6" s="775">
        <v>100000</v>
      </c>
      <c r="U6" s="775">
        <v>100000</v>
      </c>
      <c r="V6" s="775">
        <v>100000</v>
      </c>
      <c r="W6" s="775">
        <v>100000</v>
      </c>
      <c r="X6" s="775">
        <v>100000</v>
      </c>
      <c r="Y6" s="775">
        <v>100000</v>
      </c>
      <c r="Z6" s="775">
        <v>100000</v>
      </c>
    </row>
    <row r="7" spans="1:26">
      <c r="A7" s="775" t="s">
        <v>1741</v>
      </c>
      <c r="B7" s="1272">
        <f>B5-B4-B6</f>
        <v>0</v>
      </c>
      <c r="C7" s="1272">
        <f t="shared" ref="C7:Z7" si="0">C5-C4-C6</f>
        <v>0</v>
      </c>
      <c r="D7" s="1272">
        <f t="shared" si="0"/>
        <v>0</v>
      </c>
      <c r="E7" s="1272">
        <f>-E6</f>
        <v>-19800000</v>
      </c>
      <c r="F7" s="1272">
        <f t="shared" si="0"/>
        <v>-100000</v>
      </c>
      <c r="G7" s="1274">
        <f t="shared" si="0"/>
        <v>-100000</v>
      </c>
      <c r="H7" s="1274">
        <f t="shared" si="0"/>
        <v>-100000</v>
      </c>
      <c r="I7" s="1274">
        <f t="shared" si="0"/>
        <v>-100000</v>
      </c>
      <c r="J7" s="1274">
        <f t="shared" si="0"/>
        <v>-100000</v>
      </c>
      <c r="K7" s="1274">
        <f t="shared" si="0"/>
        <v>-100000</v>
      </c>
      <c r="L7" s="1274">
        <f t="shared" si="0"/>
        <v>-100000</v>
      </c>
      <c r="M7" s="1274">
        <f>-M6</f>
        <v>-100000</v>
      </c>
      <c r="N7" s="1274">
        <f t="shared" si="0"/>
        <v>-100000</v>
      </c>
      <c r="O7" s="1274">
        <f t="shared" si="0"/>
        <v>-100000</v>
      </c>
      <c r="P7" s="1275">
        <f>P5-P4-P6</f>
        <v>167647026.87908322</v>
      </c>
      <c r="Q7" s="1274">
        <f t="shared" si="0"/>
        <v>-100000</v>
      </c>
      <c r="R7" s="1274">
        <f t="shared" si="0"/>
        <v>-100000</v>
      </c>
      <c r="S7" s="1274">
        <f t="shared" si="0"/>
        <v>-100000</v>
      </c>
      <c r="T7" s="1274">
        <f t="shared" si="0"/>
        <v>-100000</v>
      </c>
      <c r="U7" s="1274">
        <f t="shared" si="0"/>
        <v>-100000</v>
      </c>
      <c r="V7" s="1274">
        <f t="shared" si="0"/>
        <v>-100000</v>
      </c>
      <c r="W7" s="1274">
        <f t="shared" si="0"/>
        <v>-100000</v>
      </c>
      <c r="X7" s="1274">
        <f t="shared" si="0"/>
        <v>-100000</v>
      </c>
      <c r="Y7" s="1274">
        <f t="shared" si="0"/>
        <v>-100000</v>
      </c>
      <c r="Z7" s="1274">
        <f t="shared" si="0"/>
        <v>-167847026.87908322</v>
      </c>
    </row>
    <row r="9" spans="1:26">
      <c r="A9" s="1269" t="s">
        <v>1725</v>
      </c>
      <c r="B9" s="1279">
        <f>IRR(B7:Z7, 0.1)</f>
        <v>0.19063013201670542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82"/>
  <sheetViews>
    <sheetView showGridLines="0" tabSelected="1" zoomScale="80" zoomScaleNormal="80" workbookViewId="0">
      <selection activeCell="H27" sqref="H27"/>
    </sheetView>
  </sheetViews>
  <sheetFormatPr defaultRowHeight="12.5"/>
  <cols>
    <col min="1" max="1" width="5.7265625" style="1038" customWidth="1"/>
    <col min="2" max="2" width="16.26953125" style="1038" customWidth="1"/>
    <col min="3" max="3" width="67" style="1038" customWidth="1"/>
    <col min="4" max="4" width="15.1796875" style="1038" customWidth="1"/>
    <col min="5" max="5" width="15" style="1038" customWidth="1"/>
    <col min="6" max="6" width="16.54296875" style="1038" customWidth="1"/>
    <col min="7" max="7" width="5.7265625" style="1038" customWidth="1"/>
    <col min="8" max="8" width="20.7265625" style="1171" customWidth="1"/>
    <col min="9" max="255" width="9.1796875" style="1038"/>
    <col min="256" max="256" width="5.7265625" style="1038" customWidth="1"/>
    <col min="257" max="257" width="16.26953125" style="1038" customWidth="1"/>
    <col min="258" max="258" width="67" style="1038" customWidth="1"/>
    <col min="259" max="259" width="15.1796875" style="1038" customWidth="1"/>
    <col min="260" max="260" width="15" style="1038" customWidth="1"/>
    <col min="261" max="261" width="15.1796875" style="1038" customWidth="1"/>
    <col min="262" max="262" width="18.26953125" style="1038" customWidth="1"/>
    <col min="263" max="263" width="5.7265625" style="1038" customWidth="1"/>
    <col min="264" max="264" width="20.7265625" style="1038" customWidth="1"/>
    <col min="265" max="511" width="9.1796875" style="1038"/>
    <col min="512" max="512" width="5.7265625" style="1038" customWidth="1"/>
    <col min="513" max="513" width="16.26953125" style="1038" customWidth="1"/>
    <col min="514" max="514" width="67" style="1038" customWidth="1"/>
    <col min="515" max="515" width="15.1796875" style="1038" customWidth="1"/>
    <col min="516" max="516" width="15" style="1038" customWidth="1"/>
    <col min="517" max="517" width="15.1796875" style="1038" customWidth="1"/>
    <col min="518" max="518" width="18.26953125" style="1038" customWidth="1"/>
    <col min="519" max="519" width="5.7265625" style="1038" customWidth="1"/>
    <col min="520" max="520" width="20.7265625" style="1038" customWidth="1"/>
    <col min="521" max="767" width="9.1796875" style="1038"/>
    <col min="768" max="768" width="5.7265625" style="1038" customWidth="1"/>
    <col min="769" max="769" width="16.26953125" style="1038" customWidth="1"/>
    <col min="770" max="770" width="67" style="1038" customWidth="1"/>
    <col min="771" max="771" width="15.1796875" style="1038" customWidth="1"/>
    <col min="772" max="772" width="15" style="1038" customWidth="1"/>
    <col min="773" max="773" width="15.1796875" style="1038" customWidth="1"/>
    <col min="774" max="774" width="18.26953125" style="1038" customWidth="1"/>
    <col min="775" max="775" width="5.7265625" style="1038" customWidth="1"/>
    <col min="776" max="776" width="20.7265625" style="1038" customWidth="1"/>
    <col min="777" max="1023" width="9.1796875" style="1038"/>
    <col min="1024" max="1024" width="5.7265625" style="1038" customWidth="1"/>
    <col min="1025" max="1025" width="16.26953125" style="1038" customWidth="1"/>
    <col min="1026" max="1026" width="67" style="1038" customWidth="1"/>
    <col min="1027" max="1027" width="15.1796875" style="1038" customWidth="1"/>
    <col min="1028" max="1028" width="15" style="1038" customWidth="1"/>
    <col min="1029" max="1029" width="15.1796875" style="1038" customWidth="1"/>
    <col min="1030" max="1030" width="18.26953125" style="1038" customWidth="1"/>
    <col min="1031" max="1031" width="5.7265625" style="1038" customWidth="1"/>
    <col min="1032" max="1032" width="20.7265625" style="1038" customWidth="1"/>
    <col min="1033" max="1279" width="9.1796875" style="1038"/>
    <col min="1280" max="1280" width="5.7265625" style="1038" customWidth="1"/>
    <col min="1281" max="1281" width="16.26953125" style="1038" customWidth="1"/>
    <col min="1282" max="1282" width="67" style="1038" customWidth="1"/>
    <col min="1283" max="1283" width="15.1796875" style="1038" customWidth="1"/>
    <col min="1284" max="1284" width="15" style="1038" customWidth="1"/>
    <col min="1285" max="1285" width="15.1796875" style="1038" customWidth="1"/>
    <col min="1286" max="1286" width="18.26953125" style="1038" customWidth="1"/>
    <col min="1287" max="1287" width="5.7265625" style="1038" customWidth="1"/>
    <col min="1288" max="1288" width="20.7265625" style="1038" customWidth="1"/>
    <col min="1289" max="1535" width="9.1796875" style="1038"/>
    <col min="1536" max="1536" width="5.7265625" style="1038" customWidth="1"/>
    <col min="1537" max="1537" width="16.26953125" style="1038" customWidth="1"/>
    <col min="1538" max="1538" width="67" style="1038" customWidth="1"/>
    <col min="1539" max="1539" width="15.1796875" style="1038" customWidth="1"/>
    <col min="1540" max="1540" width="15" style="1038" customWidth="1"/>
    <col min="1541" max="1541" width="15.1796875" style="1038" customWidth="1"/>
    <col min="1542" max="1542" width="18.26953125" style="1038" customWidth="1"/>
    <col min="1543" max="1543" width="5.7265625" style="1038" customWidth="1"/>
    <col min="1544" max="1544" width="20.7265625" style="1038" customWidth="1"/>
    <col min="1545" max="1791" width="9.1796875" style="1038"/>
    <col min="1792" max="1792" width="5.7265625" style="1038" customWidth="1"/>
    <col min="1793" max="1793" width="16.26953125" style="1038" customWidth="1"/>
    <col min="1794" max="1794" width="67" style="1038" customWidth="1"/>
    <col min="1795" max="1795" width="15.1796875" style="1038" customWidth="1"/>
    <col min="1796" max="1796" width="15" style="1038" customWidth="1"/>
    <col min="1797" max="1797" width="15.1796875" style="1038" customWidth="1"/>
    <col min="1798" max="1798" width="18.26953125" style="1038" customWidth="1"/>
    <col min="1799" max="1799" width="5.7265625" style="1038" customWidth="1"/>
    <col min="1800" max="1800" width="20.7265625" style="1038" customWidth="1"/>
    <col min="1801" max="2047" width="9.1796875" style="1038"/>
    <col min="2048" max="2048" width="5.7265625" style="1038" customWidth="1"/>
    <col min="2049" max="2049" width="16.26953125" style="1038" customWidth="1"/>
    <col min="2050" max="2050" width="67" style="1038" customWidth="1"/>
    <col min="2051" max="2051" width="15.1796875" style="1038" customWidth="1"/>
    <col min="2052" max="2052" width="15" style="1038" customWidth="1"/>
    <col min="2053" max="2053" width="15.1796875" style="1038" customWidth="1"/>
    <col min="2054" max="2054" width="18.26953125" style="1038" customWidth="1"/>
    <col min="2055" max="2055" width="5.7265625" style="1038" customWidth="1"/>
    <col min="2056" max="2056" width="20.7265625" style="1038" customWidth="1"/>
    <col min="2057" max="2303" width="9.1796875" style="1038"/>
    <col min="2304" max="2304" width="5.7265625" style="1038" customWidth="1"/>
    <col min="2305" max="2305" width="16.26953125" style="1038" customWidth="1"/>
    <col min="2306" max="2306" width="67" style="1038" customWidth="1"/>
    <col min="2307" max="2307" width="15.1796875" style="1038" customWidth="1"/>
    <col min="2308" max="2308" width="15" style="1038" customWidth="1"/>
    <col min="2309" max="2309" width="15.1796875" style="1038" customWidth="1"/>
    <col min="2310" max="2310" width="18.26953125" style="1038" customWidth="1"/>
    <col min="2311" max="2311" width="5.7265625" style="1038" customWidth="1"/>
    <col min="2312" max="2312" width="20.7265625" style="1038" customWidth="1"/>
    <col min="2313" max="2559" width="9.1796875" style="1038"/>
    <col min="2560" max="2560" width="5.7265625" style="1038" customWidth="1"/>
    <col min="2561" max="2561" width="16.26953125" style="1038" customWidth="1"/>
    <col min="2562" max="2562" width="67" style="1038" customWidth="1"/>
    <col min="2563" max="2563" width="15.1796875" style="1038" customWidth="1"/>
    <col min="2564" max="2564" width="15" style="1038" customWidth="1"/>
    <col min="2565" max="2565" width="15.1796875" style="1038" customWidth="1"/>
    <col min="2566" max="2566" width="18.26953125" style="1038" customWidth="1"/>
    <col min="2567" max="2567" width="5.7265625" style="1038" customWidth="1"/>
    <col min="2568" max="2568" width="20.7265625" style="1038" customWidth="1"/>
    <col min="2569" max="2815" width="9.1796875" style="1038"/>
    <col min="2816" max="2816" width="5.7265625" style="1038" customWidth="1"/>
    <col min="2817" max="2817" width="16.26953125" style="1038" customWidth="1"/>
    <col min="2818" max="2818" width="67" style="1038" customWidth="1"/>
    <col min="2819" max="2819" width="15.1796875" style="1038" customWidth="1"/>
    <col min="2820" max="2820" width="15" style="1038" customWidth="1"/>
    <col min="2821" max="2821" width="15.1796875" style="1038" customWidth="1"/>
    <col min="2822" max="2822" width="18.26953125" style="1038" customWidth="1"/>
    <col min="2823" max="2823" width="5.7265625" style="1038" customWidth="1"/>
    <col min="2824" max="2824" width="20.7265625" style="1038" customWidth="1"/>
    <col min="2825" max="3071" width="9.1796875" style="1038"/>
    <col min="3072" max="3072" width="5.7265625" style="1038" customWidth="1"/>
    <col min="3073" max="3073" width="16.26953125" style="1038" customWidth="1"/>
    <col min="3074" max="3074" width="67" style="1038" customWidth="1"/>
    <col min="3075" max="3075" width="15.1796875" style="1038" customWidth="1"/>
    <col min="3076" max="3076" width="15" style="1038" customWidth="1"/>
    <col min="3077" max="3077" width="15.1796875" style="1038" customWidth="1"/>
    <col min="3078" max="3078" width="18.26953125" style="1038" customWidth="1"/>
    <col min="3079" max="3079" width="5.7265625" style="1038" customWidth="1"/>
    <col min="3080" max="3080" width="20.7265625" style="1038" customWidth="1"/>
    <col min="3081" max="3327" width="9.1796875" style="1038"/>
    <col min="3328" max="3328" width="5.7265625" style="1038" customWidth="1"/>
    <col min="3329" max="3329" width="16.26953125" style="1038" customWidth="1"/>
    <col min="3330" max="3330" width="67" style="1038" customWidth="1"/>
    <col min="3331" max="3331" width="15.1796875" style="1038" customWidth="1"/>
    <col min="3332" max="3332" width="15" style="1038" customWidth="1"/>
    <col min="3333" max="3333" width="15.1796875" style="1038" customWidth="1"/>
    <col min="3334" max="3334" width="18.26953125" style="1038" customWidth="1"/>
    <col min="3335" max="3335" width="5.7265625" style="1038" customWidth="1"/>
    <col min="3336" max="3336" width="20.7265625" style="1038" customWidth="1"/>
    <col min="3337" max="3583" width="9.1796875" style="1038"/>
    <col min="3584" max="3584" width="5.7265625" style="1038" customWidth="1"/>
    <col min="3585" max="3585" width="16.26953125" style="1038" customWidth="1"/>
    <col min="3586" max="3586" width="67" style="1038" customWidth="1"/>
    <col min="3587" max="3587" width="15.1796875" style="1038" customWidth="1"/>
    <col min="3588" max="3588" width="15" style="1038" customWidth="1"/>
    <col min="3589" max="3589" width="15.1796875" style="1038" customWidth="1"/>
    <col min="3590" max="3590" width="18.26953125" style="1038" customWidth="1"/>
    <col min="3591" max="3591" width="5.7265625" style="1038" customWidth="1"/>
    <col min="3592" max="3592" width="20.7265625" style="1038" customWidth="1"/>
    <col min="3593" max="3839" width="9.1796875" style="1038"/>
    <col min="3840" max="3840" width="5.7265625" style="1038" customWidth="1"/>
    <col min="3841" max="3841" width="16.26953125" style="1038" customWidth="1"/>
    <col min="3842" max="3842" width="67" style="1038" customWidth="1"/>
    <col min="3843" max="3843" width="15.1796875" style="1038" customWidth="1"/>
    <col min="3844" max="3844" width="15" style="1038" customWidth="1"/>
    <col min="3845" max="3845" width="15.1796875" style="1038" customWidth="1"/>
    <col min="3846" max="3846" width="18.26953125" style="1038" customWidth="1"/>
    <col min="3847" max="3847" width="5.7265625" style="1038" customWidth="1"/>
    <col min="3848" max="3848" width="20.7265625" style="1038" customWidth="1"/>
    <col min="3849" max="4095" width="9.1796875" style="1038"/>
    <col min="4096" max="4096" width="5.7265625" style="1038" customWidth="1"/>
    <col min="4097" max="4097" width="16.26953125" style="1038" customWidth="1"/>
    <col min="4098" max="4098" width="67" style="1038" customWidth="1"/>
    <col min="4099" max="4099" width="15.1796875" style="1038" customWidth="1"/>
    <col min="4100" max="4100" width="15" style="1038" customWidth="1"/>
    <col min="4101" max="4101" width="15.1796875" style="1038" customWidth="1"/>
    <col min="4102" max="4102" width="18.26953125" style="1038" customWidth="1"/>
    <col min="4103" max="4103" width="5.7265625" style="1038" customWidth="1"/>
    <col min="4104" max="4104" width="20.7265625" style="1038" customWidth="1"/>
    <col min="4105" max="4351" width="9.1796875" style="1038"/>
    <col min="4352" max="4352" width="5.7265625" style="1038" customWidth="1"/>
    <col min="4353" max="4353" width="16.26953125" style="1038" customWidth="1"/>
    <col min="4354" max="4354" width="67" style="1038" customWidth="1"/>
    <col min="4355" max="4355" width="15.1796875" style="1038" customWidth="1"/>
    <col min="4356" max="4356" width="15" style="1038" customWidth="1"/>
    <col min="4357" max="4357" width="15.1796875" style="1038" customWidth="1"/>
    <col min="4358" max="4358" width="18.26953125" style="1038" customWidth="1"/>
    <col min="4359" max="4359" width="5.7265625" style="1038" customWidth="1"/>
    <col min="4360" max="4360" width="20.7265625" style="1038" customWidth="1"/>
    <col min="4361" max="4607" width="9.1796875" style="1038"/>
    <col min="4608" max="4608" width="5.7265625" style="1038" customWidth="1"/>
    <col min="4609" max="4609" width="16.26953125" style="1038" customWidth="1"/>
    <col min="4610" max="4610" width="67" style="1038" customWidth="1"/>
    <col min="4611" max="4611" width="15.1796875" style="1038" customWidth="1"/>
    <col min="4612" max="4612" width="15" style="1038" customWidth="1"/>
    <col min="4613" max="4613" width="15.1796875" style="1038" customWidth="1"/>
    <col min="4614" max="4614" width="18.26953125" style="1038" customWidth="1"/>
    <col min="4615" max="4615" width="5.7265625" style="1038" customWidth="1"/>
    <col min="4616" max="4616" width="20.7265625" style="1038" customWidth="1"/>
    <col min="4617" max="4863" width="9.1796875" style="1038"/>
    <col min="4864" max="4864" width="5.7265625" style="1038" customWidth="1"/>
    <col min="4865" max="4865" width="16.26953125" style="1038" customWidth="1"/>
    <col min="4866" max="4866" width="67" style="1038" customWidth="1"/>
    <col min="4867" max="4867" width="15.1796875" style="1038" customWidth="1"/>
    <col min="4868" max="4868" width="15" style="1038" customWidth="1"/>
    <col min="4869" max="4869" width="15.1796875" style="1038" customWidth="1"/>
    <col min="4870" max="4870" width="18.26953125" style="1038" customWidth="1"/>
    <col min="4871" max="4871" width="5.7265625" style="1038" customWidth="1"/>
    <col min="4872" max="4872" width="20.7265625" style="1038" customWidth="1"/>
    <col min="4873" max="5119" width="9.1796875" style="1038"/>
    <col min="5120" max="5120" width="5.7265625" style="1038" customWidth="1"/>
    <col min="5121" max="5121" width="16.26953125" style="1038" customWidth="1"/>
    <col min="5122" max="5122" width="67" style="1038" customWidth="1"/>
    <col min="5123" max="5123" width="15.1796875" style="1038" customWidth="1"/>
    <col min="5124" max="5124" width="15" style="1038" customWidth="1"/>
    <col min="5125" max="5125" width="15.1796875" style="1038" customWidth="1"/>
    <col min="5126" max="5126" width="18.26953125" style="1038" customWidth="1"/>
    <col min="5127" max="5127" width="5.7265625" style="1038" customWidth="1"/>
    <col min="5128" max="5128" width="20.7265625" style="1038" customWidth="1"/>
    <col min="5129" max="5375" width="9.1796875" style="1038"/>
    <col min="5376" max="5376" width="5.7265625" style="1038" customWidth="1"/>
    <col min="5377" max="5377" width="16.26953125" style="1038" customWidth="1"/>
    <col min="5378" max="5378" width="67" style="1038" customWidth="1"/>
    <col min="5379" max="5379" width="15.1796875" style="1038" customWidth="1"/>
    <col min="5380" max="5380" width="15" style="1038" customWidth="1"/>
    <col min="5381" max="5381" width="15.1796875" style="1038" customWidth="1"/>
    <col min="5382" max="5382" width="18.26953125" style="1038" customWidth="1"/>
    <col min="5383" max="5383" width="5.7265625" style="1038" customWidth="1"/>
    <col min="5384" max="5384" width="20.7265625" style="1038" customWidth="1"/>
    <col min="5385" max="5631" width="9.1796875" style="1038"/>
    <col min="5632" max="5632" width="5.7265625" style="1038" customWidth="1"/>
    <col min="5633" max="5633" width="16.26953125" style="1038" customWidth="1"/>
    <col min="5634" max="5634" width="67" style="1038" customWidth="1"/>
    <col min="5635" max="5635" width="15.1796875" style="1038" customWidth="1"/>
    <col min="5636" max="5636" width="15" style="1038" customWidth="1"/>
    <col min="5637" max="5637" width="15.1796875" style="1038" customWidth="1"/>
    <col min="5638" max="5638" width="18.26953125" style="1038" customWidth="1"/>
    <col min="5639" max="5639" width="5.7265625" style="1038" customWidth="1"/>
    <col min="5640" max="5640" width="20.7265625" style="1038" customWidth="1"/>
    <col min="5641" max="5887" width="9.1796875" style="1038"/>
    <col min="5888" max="5888" width="5.7265625" style="1038" customWidth="1"/>
    <col min="5889" max="5889" width="16.26953125" style="1038" customWidth="1"/>
    <col min="5890" max="5890" width="67" style="1038" customWidth="1"/>
    <col min="5891" max="5891" width="15.1796875" style="1038" customWidth="1"/>
    <col min="5892" max="5892" width="15" style="1038" customWidth="1"/>
    <col min="5893" max="5893" width="15.1796875" style="1038" customWidth="1"/>
    <col min="5894" max="5894" width="18.26953125" style="1038" customWidth="1"/>
    <col min="5895" max="5895" width="5.7265625" style="1038" customWidth="1"/>
    <col min="5896" max="5896" width="20.7265625" style="1038" customWidth="1"/>
    <col min="5897" max="6143" width="9.1796875" style="1038"/>
    <col min="6144" max="6144" width="5.7265625" style="1038" customWidth="1"/>
    <col min="6145" max="6145" width="16.26953125" style="1038" customWidth="1"/>
    <col min="6146" max="6146" width="67" style="1038" customWidth="1"/>
    <col min="6147" max="6147" width="15.1796875" style="1038" customWidth="1"/>
    <col min="6148" max="6148" width="15" style="1038" customWidth="1"/>
    <col min="6149" max="6149" width="15.1796875" style="1038" customWidth="1"/>
    <col min="6150" max="6150" width="18.26953125" style="1038" customWidth="1"/>
    <col min="6151" max="6151" width="5.7265625" style="1038" customWidth="1"/>
    <col min="6152" max="6152" width="20.7265625" style="1038" customWidth="1"/>
    <col min="6153" max="6399" width="9.1796875" style="1038"/>
    <col min="6400" max="6400" width="5.7265625" style="1038" customWidth="1"/>
    <col min="6401" max="6401" width="16.26953125" style="1038" customWidth="1"/>
    <col min="6402" max="6402" width="67" style="1038" customWidth="1"/>
    <col min="6403" max="6403" width="15.1796875" style="1038" customWidth="1"/>
    <col min="6404" max="6404" width="15" style="1038" customWidth="1"/>
    <col min="6405" max="6405" width="15.1796875" style="1038" customWidth="1"/>
    <col min="6406" max="6406" width="18.26953125" style="1038" customWidth="1"/>
    <col min="6407" max="6407" width="5.7265625" style="1038" customWidth="1"/>
    <col min="6408" max="6408" width="20.7265625" style="1038" customWidth="1"/>
    <col min="6409" max="6655" width="9.1796875" style="1038"/>
    <col min="6656" max="6656" width="5.7265625" style="1038" customWidth="1"/>
    <col min="6657" max="6657" width="16.26953125" style="1038" customWidth="1"/>
    <col min="6658" max="6658" width="67" style="1038" customWidth="1"/>
    <col min="6659" max="6659" width="15.1796875" style="1038" customWidth="1"/>
    <col min="6660" max="6660" width="15" style="1038" customWidth="1"/>
    <col min="6661" max="6661" width="15.1796875" style="1038" customWidth="1"/>
    <col min="6662" max="6662" width="18.26953125" style="1038" customWidth="1"/>
    <col min="6663" max="6663" width="5.7265625" style="1038" customWidth="1"/>
    <col min="6664" max="6664" width="20.7265625" style="1038" customWidth="1"/>
    <col min="6665" max="6911" width="9.1796875" style="1038"/>
    <col min="6912" max="6912" width="5.7265625" style="1038" customWidth="1"/>
    <col min="6913" max="6913" width="16.26953125" style="1038" customWidth="1"/>
    <col min="6914" max="6914" width="67" style="1038" customWidth="1"/>
    <col min="6915" max="6915" width="15.1796875" style="1038" customWidth="1"/>
    <col min="6916" max="6916" width="15" style="1038" customWidth="1"/>
    <col min="6917" max="6917" width="15.1796875" style="1038" customWidth="1"/>
    <col min="6918" max="6918" width="18.26953125" style="1038" customWidth="1"/>
    <col min="6919" max="6919" width="5.7265625" style="1038" customWidth="1"/>
    <col min="6920" max="6920" width="20.7265625" style="1038" customWidth="1"/>
    <col min="6921" max="7167" width="9.1796875" style="1038"/>
    <col min="7168" max="7168" width="5.7265625" style="1038" customWidth="1"/>
    <col min="7169" max="7169" width="16.26953125" style="1038" customWidth="1"/>
    <col min="7170" max="7170" width="67" style="1038" customWidth="1"/>
    <col min="7171" max="7171" width="15.1796875" style="1038" customWidth="1"/>
    <col min="7172" max="7172" width="15" style="1038" customWidth="1"/>
    <col min="7173" max="7173" width="15.1796875" style="1038" customWidth="1"/>
    <col min="7174" max="7174" width="18.26953125" style="1038" customWidth="1"/>
    <col min="7175" max="7175" width="5.7265625" style="1038" customWidth="1"/>
    <col min="7176" max="7176" width="20.7265625" style="1038" customWidth="1"/>
    <col min="7177" max="7423" width="9.1796875" style="1038"/>
    <col min="7424" max="7424" width="5.7265625" style="1038" customWidth="1"/>
    <col min="7425" max="7425" width="16.26953125" style="1038" customWidth="1"/>
    <col min="7426" max="7426" width="67" style="1038" customWidth="1"/>
    <col min="7427" max="7427" width="15.1796875" style="1038" customWidth="1"/>
    <col min="7428" max="7428" width="15" style="1038" customWidth="1"/>
    <col min="7429" max="7429" width="15.1796875" style="1038" customWidth="1"/>
    <col min="7430" max="7430" width="18.26953125" style="1038" customWidth="1"/>
    <col min="7431" max="7431" width="5.7265625" style="1038" customWidth="1"/>
    <col min="7432" max="7432" width="20.7265625" style="1038" customWidth="1"/>
    <col min="7433" max="7679" width="9.1796875" style="1038"/>
    <col min="7680" max="7680" width="5.7265625" style="1038" customWidth="1"/>
    <col min="7681" max="7681" width="16.26953125" style="1038" customWidth="1"/>
    <col min="7682" max="7682" width="67" style="1038" customWidth="1"/>
    <col min="7683" max="7683" width="15.1796875" style="1038" customWidth="1"/>
    <col min="7684" max="7684" width="15" style="1038" customWidth="1"/>
    <col min="7685" max="7685" width="15.1796875" style="1038" customWidth="1"/>
    <col min="7686" max="7686" width="18.26953125" style="1038" customWidth="1"/>
    <col min="7687" max="7687" width="5.7265625" style="1038" customWidth="1"/>
    <col min="7688" max="7688" width="20.7265625" style="1038" customWidth="1"/>
    <col min="7689" max="7935" width="9.1796875" style="1038"/>
    <col min="7936" max="7936" width="5.7265625" style="1038" customWidth="1"/>
    <col min="7937" max="7937" width="16.26953125" style="1038" customWidth="1"/>
    <col min="7938" max="7938" width="67" style="1038" customWidth="1"/>
    <col min="7939" max="7939" width="15.1796875" style="1038" customWidth="1"/>
    <col min="7940" max="7940" width="15" style="1038" customWidth="1"/>
    <col min="7941" max="7941" width="15.1796875" style="1038" customWidth="1"/>
    <col min="7942" max="7942" width="18.26953125" style="1038" customWidth="1"/>
    <col min="7943" max="7943" width="5.7265625" style="1038" customWidth="1"/>
    <col min="7944" max="7944" width="20.7265625" style="1038" customWidth="1"/>
    <col min="7945" max="8191" width="9.1796875" style="1038"/>
    <col min="8192" max="8192" width="5.7265625" style="1038" customWidth="1"/>
    <col min="8193" max="8193" width="16.26953125" style="1038" customWidth="1"/>
    <col min="8194" max="8194" width="67" style="1038" customWidth="1"/>
    <col min="8195" max="8195" width="15.1796875" style="1038" customWidth="1"/>
    <col min="8196" max="8196" width="15" style="1038" customWidth="1"/>
    <col min="8197" max="8197" width="15.1796875" style="1038" customWidth="1"/>
    <col min="8198" max="8198" width="18.26953125" style="1038" customWidth="1"/>
    <col min="8199" max="8199" width="5.7265625" style="1038" customWidth="1"/>
    <col min="8200" max="8200" width="20.7265625" style="1038" customWidth="1"/>
    <col min="8201" max="8447" width="9.1796875" style="1038"/>
    <col min="8448" max="8448" width="5.7265625" style="1038" customWidth="1"/>
    <col min="8449" max="8449" width="16.26953125" style="1038" customWidth="1"/>
    <col min="8450" max="8450" width="67" style="1038" customWidth="1"/>
    <col min="8451" max="8451" width="15.1796875" style="1038" customWidth="1"/>
    <col min="8452" max="8452" width="15" style="1038" customWidth="1"/>
    <col min="8453" max="8453" width="15.1796875" style="1038" customWidth="1"/>
    <col min="8454" max="8454" width="18.26953125" style="1038" customWidth="1"/>
    <col min="8455" max="8455" width="5.7265625" style="1038" customWidth="1"/>
    <col min="8456" max="8456" width="20.7265625" style="1038" customWidth="1"/>
    <col min="8457" max="8703" width="9.1796875" style="1038"/>
    <col min="8704" max="8704" width="5.7265625" style="1038" customWidth="1"/>
    <col min="8705" max="8705" width="16.26953125" style="1038" customWidth="1"/>
    <col min="8706" max="8706" width="67" style="1038" customWidth="1"/>
    <col min="8707" max="8707" width="15.1796875" style="1038" customWidth="1"/>
    <col min="8708" max="8708" width="15" style="1038" customWidth="1"/>
    <col min="8709" max="8709" width="15.1796875" style="1038" customWidth="1"/>
    <col min="8710" max="8710" width="18.26953125" style="1038" customWidth="1"/>
    <col min="8711" max="8711" width="5.7265625" style="1038" customWidth="1"/>
    <col min="8712" max="8712" width="20.7265625" style="1038" customWidth="1"/>
    <col min="8713" max="8959" width="9.1796875" style="1038"/>
    <col min="8960" max="8960" width="5.7265625" style="1038" customWidth="1"/>
    <col min="8961" max="8961" width="16.26953125" style="1038" customWidth="1"/>
    <col min="8962" max="8962" width="67" style="1038" customWidth="1"/>
    <col min="8963" max="8963" width="15.1796875" style="1038" customWidth="1"/>
    <col min="8964" max="8964" width="15" style="1038" customWidth="1"/>
    <col min="8965" max="8965" width="15.1796875" style="1038" customWidth="1"/>
    <col min="8966" max="8966" width="18.26953125" style="1038" customWidth="1"/>
    <col min="8967" max="8967" width="5.7265625" style="1038" customWidth="1"/>
    <col min="8968" max="8968" width="20.7265625" style="1038" customWidth="1"/>
    <col min="8969" max="9215" width="9.1796875" style="1038"/>
    <col min="9216" max="9216" width="5.7265625" style="1038" customWidth="1"/>
    <col min="9217" max="9217" width="16.26953125" style="1038" customWidth="1"/>
    <col min="9218" max="9218" width="67" style="1038" customWidth="1"/>
    <col min="9219" max="9219" width="15.1796875" style="1038" customWidth="1"/>
    <col min="9220" max="9220" width="15" style="1038" customWidth="1"/>
    <col min="9221" max="9221" width="15.1796875" style="1038" customWidth="1"/>
    <col min="9222" max="9222" width="18.26953125" style="1038" customWidth="1"/>
    <col min="9223" max="9223" width="5.7265625" style="1038" customWidth="1"/>
    <col min="9224" max="9224" width="20.7265625" style="1038" customWidth="1"/>
    <col min="9225" max="9471" width="9.1796875" style="1038"/>
    <col min="9472" max="9472" width="5.7265625" style="1038" customWidth="1"/>
    <col min="9473" max="9473" width="16.26953125" style="1038" customWidth="1"/>
    <col min="9474" max="9474" width="67" style="1038" customWidth="1"/>
    <col min="9475" max="9475" width="15.1796875" style="1038" customWidth="1"/>
    <col min="9476" max="9476" width="15" style="1038" customWidth="1"/>
    <col min="9477" max="9477" width="15.1796875" style="1038" customWidth="1"/>
    <col min="9478" max="9478" width="18.26953125" style="1038" customWidth="1"/>
    <col min="9479" max="9479" width="5.7265625" style="1038" customWidth="1"/>
    <col min="9480" max="9480" width="20.7265625" style="1038" customWidth="1"/>
    <col min="9481" max="9727" width="9.1796875" style="1038"/>
    <col min="9728" max="9728" width="5.7265625" style="1038" customWidth="1"/>
    <col min="9729" max="9729" width="16.26953125" style="1038" customWidth="1"/>
    <col min="9730" max="9730" width="67" style="1038" customWidth="1"/>
    <col min="9731" max="9731" width="15.1796875" style="1038" customWidth="1"/>
    <col min="9732" max="9732" width="15" style="1038" customWidth="1"/>
    <col min="9733" max="9733" width="15.1796875" style="1038" customWidth="1"/>
    <col min="9734" max="9734" width="18.26953125" style="1038" customWidth="1"/>
    <col min="9735" max="9735" width="5.7265625" style="1038" customWidth="1"/>
    <col min="9736" max="9736" width="20.7265625" style="1038" customWidth="1"/>
    <col min="9737" max="9983" width="9.1796875" style="1038"/>
    <col min="9984" max="9984" width="5.7265625" style="1038" customWidth="1"/>
    <col min="9985" max="9985" width="16.26953125" style="1038" customWidth="1"/>
    <col min="9986" max="9986" width="67" style="1038" customWidth="1"/>
    <col min="9987" max="9987" width="15.1796875" style="1038" customWidth="1"/>
    <col min="9988" max="9988" width="15" style="1038" customWidth="1"/>
    <col min="9989" max="9989" width="15.1796875" style="1038" customWidth="1"/>
    <col min="9990" max="9990" width="18.26953125" style="1038" customWidth="1"/>
    <col min="9991" max="9991" width="5.7265625" style="1038" customWidth="1"/>
    <col min="9992" max="9992" width="20.7265625" style="1038" customWidth="1"/>
    <col min="9993" max="10239" width="9.1796875" style="1038"/>
    <col min="10240" max="10240" width="5.7265625" style="1038" customWidth="1"/>
    <col min="10241" max="10241" width="16.26953125" style="1038" customWidth="1"/>
    <col min="10242" max="10242" width="67" style="1038" customWidth="1"/>
    <col min="10243" max="10243" width="15.1796875" style="1038" customWidth="1"/>
    <col min="10244" max="10244" width="15" style="1038" customWidth="1"/>
    <col min="10245" max="10245" width="15.1796875" style="1038" customWidth="1"/>
    <col min="10246" max="10246" width="18.26953125" style="1038" customWidth="1"/>
    <col min="10247" max="10247" width="5.7265625" style="1038" customWidth="1"/>
    <col min="10248" max="10248" width="20.7265625" style="1038" customWidth="1"/>
    <col min="10249" max="10495" width="9.1796875" style="1038"/>
    <col min="10496" max="10496" width="5.7265625" style="1038" customWidth="1"/>
    <col min="10497" max="10497" width="16.26953125" style="1038" customWidth="1"/>
    <col min="10498" max="10498" width="67" style="1038" customWidth="1"/>
    <col min="10499" max="10499" width="15.1796875" style="1038" customWidth="1"/>
    <col min="10500" max="10500" width="15" style="1038" customWidth="1"/>
    <col min="10501" max="10501" width="15.1796875" style="1038" customWidth="1"/>
    <col min="10502" max="10502" width="18.26953125" style="1038" customWidth="1"/>
    <col min="10503" max="10503" width="5.7265625" style="1038" customWidth="1"/>
    <col min="10504" max="10504" width="20.7265625" style="1038" customWidth="1"/>
    <col min="10505" max="10751" width="9.1796875" style="1038"/>
    <col min="10752" max="10752" width="5.7265625" style="1038" customWidth="1"/>
    <col min="10753" max="10753" width="16.26953125" style="1038" customWidth="1"/>
    <col min="10754" max="10754" width="67" style="1038" customWidth="1"/>
    <col min="10755" max="10755" width="15.1796875" style="1038" customWidth="1"/>
    <col min="10756" max="10756" width="15" style="1038" customWidth="1"/>
    <col min="10757" max="10757" width="15.1796875" style="1038" customWidth="1"/>
    <col min="10758" max="10758" width="18.26953125" style="1038" customWidth="1"/>
    <col min="10759" max="10759" width="5.7265625" style="1038" customWidth="1"/>
    <col min="10760" max="10760" width="20.7265625" style="1038" customWidth="1"/>
    <col min="10761" max="11007" width="9.1796875" style="1038"/>
    <col min="11008" max="11008" width="5.7265625" style="1038" customWidth="1"/>
    <col min="11009" max="11009" width="16.26953125" style="1038" customWidth="1"/>
    <col min="11010" max="11010" width="67" style="1038" customWidth="1"/>
    <col min="11011" max="11011" width="15.1796875" style="1038" customWidth="1"/>
    <col min="11012" max="11012" width="15" style="1038" customWidth="1"/>
    <col min="11013" max="11013" width="15.1796875" style="1038" customWidth="1"/>
    <col min="11014" max="11014" width="18.26953125" style="1038" customWidth="1"/>
    <col min="11015" max="11015" width="5.7265625" style="1038" customWidth="1"/>
    <col min="11016" max="11016" width="20.7265625" style="1038" customWidth="1"/>
    <col min="11017" max="11263" width="9.1796875" style="1038"/>
    <col min="11264" max="11264" width="5.7265625" style="1038" customWidth="1"/>
    <col min="11265" max="11265" width="16.26953125" style="1038" customWidth="1"/>
    <col min="11266" max="11266" width="67" style="1038" customWidth="1"/>
    <col min="11267" max="11267" width="15.1796875" style="1038" customWidth="1"/>
    <col min="11268" max="11268" width="15" style="1038" customWidth="1"/>
    <col min="11269" max="11269" width="15.1796875" style="1038" customWidth="1"/>
    <col min="11270" max="11270" width="18.26953125" style="1038" customWidth="1"/>
    <col min="11271" max="11271" width="5.7265625" style="1038" customWidth="1"/>
    <col min="11272" max="11272" width="20.7265625" style="1038" customWidth="1"/>
    <col min="11273" max="11519" width="9.1796875" style="1038"/>
    <col min="11520" max="11520" width="5.7265625" style="1038" customWidth="1"/>
    <col min="11521" max="11521" width="16.26953125" style="1038" customWidth="1"/>
    <col min="11522" max="11522" width="67" style="1038" customWidth="1"/>
    <col min="11523" max="11523" width="15.1796875" style="1038" customWidth="1"/>
    <col min="11524" max="11524" width="15" style="1038" customWidth="1"/>
    <col min="11525" max="11525" width="15.1796875" style="1038" customWidth="1"/>
    <col min="11526" max="11526" width="18.26953125" style="1038" customWidth="1"/>
    <col min="11527" max="11527" width="5.7265625" style="1038" customWidth="1"/>
    <col min="11528" max="11528" width="20.7265625" style="1038" customWidth="1"/>
    <col min="11529" max="11775" width="9.1796875" style="1038"/>
    <col min="11776" max="11776" width="5.7265625" style="1038" customWidth="1"/>
    <col min="11777" max="11777" width="16.26953125" style="1038" customWidth="1"/>
    <col min="11778" max="11778" width="67" style="1038" customWidth="1"/>
    <col min="11779" max="11779" width="15.1796875" style="1038" customWidth="1"/>
    <col min="11780" max="11780" width="15" style="1038" customWidth="1"/>
    <col min="11781" max="11781" width="15.1796875" style="1038" customWidth="1"/>
    <col min="11782" max="11782" width="18.26953125" style="1038" customWidth="1"/>
    <col min="11783" max="11783" width="5.7265625" style="1038" customWidth="1"/>
    <col min="11784" max="11784" width="20.7265625" style="1038" customWidth="1"/>
    <col min="11785" max="12031" width="9.1796875" style="1038"/>
    <col min="12032" max="12032" width="5.7265625" style="1038" customWidth="1"/>
    <col min="12033" max="12033" width="16.26953125" style="1038" customWidth="1"/>
    <col min="12034" max="12034" width="67" style="1038" customWidth="1"/>
    <col min="12035" max="12035" width="15.1796875" style="1038" customWidth="1"/>
    <col min="12036" max="12036" width="15" style="1038" customWidth="1"/>
    <col min="12037" max="12037" width="15.1796875" style="1038" customWidth="1"/>
    <col min="12038" max="12038" width="18.26953125" style="1038" customWidth="1"/>
    <col min="12039" max="12039" width="5.7265625" style="1038" customWidth="1"/>
    <col min="12040" max="12040" width="20.7265625" style="1038" customWidth="1"/>
    <col min="12041" max="12287" width="9.1796875" style="1038"/>
    <col min="12288" max="12288" width="5.7265625" style="1038" customWidth="1"/>
    <col min="12289" max="12289" width="16.26953125" style="1038" customWidth="1"/>
    <col min="12290" max="12290" width="67" style="1038" customWidth="1"/>
    <col min="12291" max="12291" width="15.1796875" style="1038" customWidth="1"/>
    <col min="12292" max="12292" width="15" style="1038" customWidth="1"/>
    <col min="12293" max="12293" width="15.1796875" style="1038" customWidth="1"/>
    <col min="12294" max="12294" width="18.26953125" style="1038" customWidth="1"/>
    <col min="12295" max="12295" width="5.7265625" style="1038" customWidth="1"/>
    <col min="12296" max="12296" width="20.7265625" style="1038" customWidth="1"/>
    <col min="12297" max="12543" width="9.1796875" style="1038"/>
    <col min="12544" max="12544" width="5.7265625" style="1038" customWidth="1"/>
    <col min="12545" max="12545" width="16.26953125" style="1038" customWidth="1"/>
    <col min="12546" max="12546" width="67" style="1038" customWidth="1"/>
    <col min="12547" max="12547" width="15.1796875" style="1038" customWidth="1"/>
    <col min="12548" max="12548" width="15" style="1038" customWidth="1"/>
    <col min="12549" max="12549" width="15.1796875" style="1038" customWidth="1"/>
    <col min="12550" max="12550" width="18.26953125" style="1038" customWidth="1"/>
    <col min="12551" max="12551" width="5.7265625" style="1038" customWidth="1"/>
    <col min="12552" max="12552" width="20.7265625" style="1038" customWidth="1"/>
    <col min="12553" max="12799" width="9.1796875" style="1038"/>
    <col min="12800" max="12800" width="5.7265625" style="1038" customWidth="1"/>
    <col min="12801" max="12801" width="16.26953125" style="1038" customWidth="1"/>
    <col min="12802" max="12802" width="67" style="1038" customWidth="1"/>
    <col min="12803" max="12803" width="15.1796875" style="1038" customWidth="1"/>
    <col min="12804" max="12804" width="15" style="1038" customWidth="1"/>
    <col min="12805" max="12805" width="15.1796875" style="1038" customWidth="1"/>
    <col min="12806" max="12806" width="18.26953125" style="1038" customWidth="1"/>
    <col min="12807" max="12807" width="5.7265625" style="1038" customWidth="1"/>
    <col min="12808" max="12808" width="20.7265625" style="1038" customWidth="1"/>
    <col min="12809" max="13055" width="9.1796875" style="1038"/>
    <col min="13056" max="13056" width="5.7265625" style="1038" customWidth="1"/>
    <col min="13057" max="13057" width="16.26953125" style="1038" customWidth="1"/>
    <col min="13058" max="13058" width="67" style="1038" customWidth="1"/>
    <col min="13059" max="13059" width="15.1796875" style="1038" customWidth="1"/>
    <col min="13060" max="13060" width="15" style="1038" customWidth="1"/>
    <col min="13061" max="13061" width="15.1796875" style="1038" customWidth="1"/>
    <col min="13062" max="13062" width="18.26953125" style="1038" customWidth="1"/>
    <col min="13063" max="13063" width="5.7265625" style="1038" customWidth="1"/>
    <col min="13064" max="13064" width="20.7265625" style="1038" customWidth="1"/>
    <col min="13065" max="13311" width="9.1796875" style="1038"/>
    <col min="13312" max="13312" width="5.7265625" style="1038" customWidth="1"/>
    <col min="13313" max="13313" width="16.26953125" style="1038" customWidth="1"/>
    <col min="13314" max="13314" width="67" style="1038" customWidth="1"/>
    <col min="13315" max="13315" width="15.1796875" style="1038" customWidth="1"/>
    <col min="13316" max="13316" width="15" style="1038" customWidth="1"/>
    <col min="13317" max="13317" width="15.1796875" style="1038" customWidth="1"/>
    <col min="13318" max="13318" width="18.26953125" style="1038" customWidth="1"/>
    <col min="13319" max="13319" width="5.7265625" style="1038" customWidth="1"/>
    <col min="13320" max="13320" width="20.7265625" style="1038" customWidth="1"/>
    <col min="13321" max="13567" width="9.1796875" style="1038"/>
    <col min="13568" max="13568" width="5.7265625" style="1038" customWidth="1"/>
    <col min="13569" max="13569" width="16.26953125" style="1038" customWidth="1"/>
    <col min="13570" max="13570" width="67" style="1038" customWidth="1"/>
    <col min="13571" max="13571" width="15.1796875" style="1038" customWidth="1"/>
    <col min="13572" max="13572" width="15" style="1038" customWidth="1"/>
    <col min="13573" max="13573" width="15.1796875" style="1038" customWidth="1"/>
    <col min="13574" max="13574" width="18.26953125" style="1038" customWidth="1"/>
    <col min="13575" max="13575" width="5.7265625" style="1038" customWidth="1"/>
    <col min="13576" max="13576" width="20.7265625" style="1038" customWidth="1"/>
    <col min="13577" max="13823" width="9.1796875" style="1038"/>
    <col min="13824" max="13824" width="5.7265625" style="1038" customWidth="1"/>
    <col min="13825" max="13825" width="16.26953125" style="1038" customWidth="1"/>
    <col min="13826" max="13826" width="67" style="1038" customWidth="1"/>
    <col min="13827" max="13827" width="15.1796875" style="1038" customWidth="1"/>
    <col min="13828" max="13828" width="15" style="1038" customWidth="1"/>
    <col min="13829" max="13829" width="15.1796875" style="1038" customWidth="1"/>
    <col min="13830" max="13830" width="18.26953125" style="1038" customWidth="1"/>
    <col min="13831" max="13831" width="5.7265625" style="1038" customWidth="1"/>
    <col min="13832" max="13832" width="20.7265625" style="1038" customWidth="1"/>
    <col min="13833" max="14079" width="9.1796875" style="1038"/>
    <col min="14080" max="14080" width="5.7265625" style="1038" customWidth="1"/>
    <col min="14081" max="14081" width="16.26953125" style="1038" customWidth="1"/>
    <col min="14082" max="14082" width="67" style="1038" customWidth="1"/>
    <col min="14083" max="14083" width="15.1796875" style="1038" customWidth="1"/>
    <col min="14084" max="14084" width="15" style="1038" customWidth="1"/>
    <col min="14085" max="14085" width="15.1796875" style="1038" customWidth="1"/>
    <col min="14086" max="14086" width="18.26953125" style="1038" customWidth="1"/>
    <col min="14087" max="14087" width="5.7265625" style="1038" customWidth="1"/>
    <col min="14088" max="14088" width="20.7265625" style="1038" customWidth="1"/>
    <col min="14089" max="14335" width="9.1796875" style="1038"/>
    <col min="14336" max="14336" width="5.7265625" style="1038" customWidth="1"/>
    <col min="14337" max="14337" width="16.26953125" style="1038" customWidth="1"/>
    <col min="14338" max="14338" width="67" style="1038" customWidth="1"/>
    <col min="14339" max="14339" width="15.1796875" style="1038" customWidth="1"/>
    <col min="14340" max="14340" width="15" style="1038" customWidth="1"/>
    <col min="14341" max="14341" width="15.1796875" style="1038" customWidth="1"/>
    <col min="14342" max="14342" width="18.26953125" style="1038" customWidth="1"/>
    <col min="14343" max="14343" width="5.7265625" style="1038" customWidth="1"/>
    <col min="14344" max="14344" width="20.7265625" style="1038" customWidth="1"/>
    <col min="14345" max="14591" width="9.1796875" style="1038"/>
    <col min="14592" max="14592" width="5.7265625" style="1038" customWidth="1"/>
    <col min="14593" max="14593" width="16.26953125" style="1038" customWidth="1"/>
    <col min="14594" max="14594" width="67" style="1038" customWidth="1"/>
    <col min="14595" max="14595" width="15.1796875" style="1038" customWidth="1"/>
    <col min="14596" max="14596" width="15" style="1038" customWidth="1"/>
    <col min="14597" max="14597" width="15.1796875" style="1038" customWidth="1"/>
    <col min="14598" max="14598" width="18.26953125" style="1038" customWidth="1"/>
    <col min="14599" max="14599" width="5.7265625" style="1038" customWidth="1"/>
    <col min="14600" max="14600" width="20.7265625" style="1038" customWidth="1"/>
    <col min="14601" max="14847" width="9.1796875" style="1038"/>
    <col min="14848" max="14848" width="5.7265625" style="1038" customWidth="1"/>
    <col min="14849" max="14849" width="16.26953125" style="1038" customWidth="1"/>
    <col min="14850" max="14850" width="67" style="1038" customWidth="1"/>
    <col min="14851" max="14851" width="15.1796875" style="1038" customWidth="1"/>
    <col min="14852" max="14852" width="15" style="1038" customWidth="1"/>
    <col min="14853" max="14853" width="15.1796875" style="1038" customWidth="1"/>
    <col min="14854" max="14854" width="18.26953125" style="1038" customWidth="1"/>
    <col min="14855" max="14855" width="5.7265625" style="1038" customWidth="1"/>
    <col min="14856" max="14856" width="20.7265625" style="1038" customWidth="1"/>
    <col min="14857" max="15103" width="9.1796875" style="1038"/>
    <col min="15104" max="15104" width="5.7265625" style="1038" customWidth="1"/>
    <col min="15105" max="15105" width="16.26953125" style="1038" customWidth="1"/>
    <col min="15106" max="15106" width="67" style="1038" customWidth="1"/>
    <col min="15107" max="15107" width="15.1796875" style="1038" customWidth="1"/>
    <col min="15108" max="15108" width="15" style="1038" customWidth="1"/>
    <col min="15109" max="15109" width="15.1796875" style="1038" customWidth="1"/>
    <col min="15110" max="15110" width="18.26953125" style="1038" customWidth="1"/>
    <col min="15111" max="15111" width="5.7265625" style="1038" customWidth="1"/>
    <col min="15112" max="15112" width="20.7265625" style="1038" customWidth="1"/>
    <col min="15113" max="15359" width="9.1796875" style="1038"/>
    <col min="15360" max="15360" width="5.7265625" style="1038" customWidth="1"/>
    <col min="15361" max="15361" width="16.26953125" style="1038" customWidth="1"/>
    <col min="15362" max="15362" width="67" style="1038" customWidth="1"/>
    <col min="15363" max="15363" width="15.1796875" style="1038" customWidth="1"/>
    <col min="15364" max="15364" width="15" style="1038" customWidth="1"/>
    <col min="15365" max="15365" width="15.1796875" style="1038" customWidth="1"/>
    <col min="15366" max="15366" width="18.26953125" style="1038" customWidth="1"/>
    <col min="15367" max="15367" width="5.7265625" style="1038" customWidth="1"/>
    <col min="15368" max="15368" width="20.7265625" style="1038" customWidth="1"/>
    <col min="15369" max="15615" width="9.1796875" style="1038"/>
    <col min="15616" max="15616" width="5.7265625" style="1038" customWidth="1"/>
    <col min="15617" max="15617" width="16.26953125" style="1038" customWidth="1"/>
    <col min="15618" max="15618" width="67" style="1038" customWidth="1"/>
    <col min="15619" max="15619" width="15.1796875" style="1038" customWidth="1"/>
    <col min="15620" max="15620" width="15" style="1038" customWidth="1"/>
    <col min="15621" max="15621" width="15.1796875" style="1038" customWidth="1"/>
    <col min="15622" max="15622" width="18.26953125" style="1038" customWidth="1"/>
    <col min="15623" max="15623" width="5.7265625" style="1038" customWidth="1"/>
    <col min="15624" max="15624" width="20.7265625" style="1038" customWidth="1"/>
    <col min="15625" max="15871" width="9.1796875" style="1038"/>
    <col min="15872" max="15872" width="5.7265625" style="1038" customWidth="1"/>
    <col min="15873" max="15873" width="16.26953125" style="1038" customWidth="1"/>
    <col min="15874" max="15874" width="67" style="1038" customWidth="1"/>
    <col min="15875" max="15875" width="15.1796875" style="1038" customWidth="1"/>
    <col min="15876" max="15876" width="15" style="1038" customWidth="1"/>
    <col min="15877" max="15877" width="15.1796875" style="1038" customWidth="1"/>
    <col min="15878" max="15878" width="18.26953125" style="1038" customWidth="1"/>
    <col min="15879" max="15879" width="5.7265625" style="1038" customWidth="1"/>
    <col min="15880" max="15880" width="20.7265625" style="1038" customWidth="1"/>
    <col min="15881" max="16127" width="9.1796875" style="1038"/>
    <col min="16128" max="16128" width="5.7265625" style="1038" customWidth="1"/>
    <col min="16129" max="16129" width="16.26953125" style="1038" customWidth="1"/>
    <col min="16130" max="16130" width="67" style="1038" customWidth="1"/>
    <col min="16131" max="16131" width="15.1796875" style="1038" customWidth="1"/>
    <col min="16132" max="16132" width="15" style="1038" customWidth="1"/>
    <col min="16133" max="16133" width="15.1796875" style="1038" customWidth="1"/>
    <col min="16134" max="16134" width="18.26953125" style="1038" customWidth="1"/>
    <col min="16135" max="16135" width="5.7265625" style="1038" customWidth="1"/>
    <col min="16136" max="16136" width="20.7265625" style="1038" customWidth="1"/>
    <col min="16137" max="16384" width="9.1796875" style="1038"/>
  </cols>
  <sheetData>
    <row r="1" spans="1:9" s="995" customFormat="1">
      <c r="B1" s="1149"/>
      <c r="C1" s="996"/>
      <c r="G1" s="1179"/>
      <c r="H1" s="1319" t="s">
        <v>1764</v>
      </c>
    </row>
    <row r="2" spans="1:9" ht="20">
      <c r="A2" s="1037"/>
      <c r="B2" s="1021" t="s">
        <v>1638</v>
      </c>
      <c r="C2" s="1037"/>
      <c r="D2" s="1037"/>
      <c r="E2" s="1037"/>
      <c r="F2" s="1037"/>
    </row>
    <row r="3" spans="1:9" ht="27.75" customHeight="1">
      <c r="A3" s="1037"/>
      <c r="B3" s="1040" t="s">
        <v>1571</v>
      </c>
      <c r="C3" s="1037"/>
      <c r="D3" s="1037"/>
      <c r="E3" s="1037"/>
      <c r="F3" s="1037"/>
    </row>
    <row r="4" spans="1:9" ht="12.75" customHeight="1">
      <c r="C4" s="1041"/>
    </row>
    <row r="5" spans="1:9" ht="39.75" customHeight="1">
      <c r="B5" s="1325" t="s">
        <v>1662</v>
      </c>
      <c r="C5" s="1326"/>
      <c r="D5" s="1326"/>
      <c r="E5" s="1326"/>
      <c r="F5" s="1326"/>
    </row>
    <row r="7" spans="1:9" s="1041" customFormat="1" ht="15.5">
      <c r="B7" s="1327" t="s">
        <v>1572</v>
      </c>
      <c r="C7" s="1329" t="s">
        <v>1573</v>
      </c>
      <c r="D7" s="1331" t="s">
        <v>1574</v>
      </c>
      <c r="E7" s="1332"/>
      <c r="F7" s="1332"/>
      <c r="H7" s="1172"/>
    </row>
    <row r="8" spans="1:9" s="1041" customFormat="1" ht="16" thickBot="1">
      <c r="B8" s="1328"/>
      <c r="C8" s="1330"/>
      <c r="D8" s="1042" t="s">
        <v>1575</v>
      </c>
      <c r="E8" s="1043" t="s">
        <v>1576</v>
      </c>
      <c r="F8" s="1150" t="s">
        <v>1577</v>
      </c>
      <c r="H8" s="1173"/>
      <c r="I8" s="1044"/>
    </row>
    <row r="9" spans="1:9" ht="38.9" customHeight="1">
      <c r="B9" s="1045" t="s">
        <v>1578</v>
      </c>
      <c r="C9" s="1046" t="s">
        <v>1579</v>
      </c>
      <c r="D9" s="1151">
        <f>100%</f>
        <v>1</v>
      </c>
      <c r="E9" s="1152">
        <v>1</v>
      </c>
      <c r="F9" s="1153" t="s">
        <v>1580</v>
      </c>
      <c r="H9" s="1174"/>
    </row>
    <row r="10" spans="1:9" ht="38.9" customHeight="1">
      <c r="B10" s="1047" t="s">
        <v>1578</v>
      </c>
      <c r="C10" s="1048" t="s">
        <v>1581</v>
      </c>
      <c r="D10" s="1154">
        <f>100%</f>
        <v>1</v>
      </c>
      <c r="E10" s="1155">
        <v>1</v>
      </c>
      <c r="F10" s="1156" t="s">
        <v>1580</v>
      </c>
    </row>
    <row r="11" spans="1:9" ht="14.25" customHeight="1">
      <c r="B11" s="1049"/>
      <c r="C11" s="1049"/>
      <c r="D11" s="1049"/>
      <c r="E11" s="1049"/>
      <c r="F11" s="1049"/>
      <c r="H11" s="1173"/>
    </row>
    <row r="12" spans="1:9" ht="35.25" customHeight="1">
      <c r="B12" s="1050" t="s">
        <v>1582</v>
      </c>
      <c r="C12" s="1157" t="s">
        <v>1654</v>
      </c>
      <c r="D12" s="1158">
        <v>3297</v>
      </c>
      <c r="E12" s="1159">
        <v>1330755</v>
      </c>
      <c r="F12" s="1160" t="s">
        <v>1651</v>
      </c>
      <c r="G12" s="1321"/>
      <c r="H12" s="1173"/>
    </row>
    <row r="13" spans="1:9" ht="35.25" customHeight="1">
      <c r="B13" s="1050" t="s">
        <v>1582</v>
      </c>
      <c r="C13" s="1157" t="s">
        <v>1742</v>
      </c>
      <c r="D13" s="1158">
        <f>3286</f>
        <v>3286</v>
      </c>
      <c r="E13" s="1178">
        <v>3286</v>
      </c>
      <c r="F13" s="1160" t="s">
        <v>1655</v>
      </c>
      <c r="G13" s="1321"/>
      <c r="H13" s="1173"/>
    </row>
    <row r="14" spans="1:9" ht="35.25" customHeight="1">
      <c r="B14" s="1050" t="s">
        <v>1582</v>
      </c>
      <c r="C14" s="1157" t="s">
        <v>1656</v>
      </c>
      <c r="D14" s="1158">
        <v>483.33333329999999</v>
      </c>
      <c r="E14" s="1178">
        <v>483</v>
      </c>
      <c r="F14" s="1160" t="s">
        <v>1657</v>
      </c>
      <c r="G14" s="1321"/>
      <c r="H14" s="1173"/>
    </row>
    <row r="15" spans="1:9" ht="42" customHeight="1">
      <c r="B15" s="1051" t="s">
        <v>1582</v>
      </c>
      <c r="C15" s="1157" t="s">
        <v>699</v>
      </c>
      <c r="D15" s="1161">
        <v>0.25</v>
      </c>
      <c r="E15" s="1162">
        <v>0.25</v>
      </c>
      <c r="F15" s="1163" t="s">
        <v>1652</v>
      </c>
      <c r="G15" s="1321"/>
      <c r="H15" s="1173"/>
    </row>
    <row r="16" spans="1:9" ht="18" customHeight="1">
      <c r="B16" s="1164"/>
      <c r="C16" s="1165"/>
      <c r="D16" s="1166"/>
      <c r="E16" s="1167"/>
      <c r="F16" s="1139"/>
      <c r="G16" s="1322"/>
    </row>
    <row r="17" spans="2:8" ht="24" customHeight="1">
      <c r="B17" s="1323">
        <f>IF(H9="N",IF(H15="N","Reminder: Please reset all summary parameters to original values before changing specific parameters.  Specific parameters will only be used in ERR computation when all summary parameters are set to initial values",0),0)</f>
        <v>0</v>
      </c>
      <c r="C17" s="1323"/>
      <c r="D17" s="1323"/>
      <c r="E17" s="1323"/>
      <c r="F17" s="1323"/>
      <c r="G17" s="1322"/>
      <c r="H17" s="1175"/>
    </row>
    <row r="18" spans="2:8" ht="17.25" customHeight="1">
      <c r="B18" s="1168"/>
      <c r="C18" s="1168"/>
      <c r="D18" s="1168"/>
      <c r="E18" s="1168"/>
      <c r="F18" s="1168"/>
      <c r="G18" s="1322"/>
      <c r="H18" s="1176"/>
    </row>
    <row r="19" spans="2:8" ht="16.5" customHeight="1">
      <c r="C19" s="1052" t="s">
        <v>1583</v>
      </c>
      <c r="D19" s="1169">
        <f>'Cost-Benefit Summary'!B13</f>
        <v>9.7433953785446059E-2</v>
      </c>
      <c r="E19" s="1053"/>
      <c r="G19" s="1322"/>
      <c r="H19" s="1176"/>
    </row>
    <row r="20" spans="2:8" ht="13">
      <c r="C20" s="1052"/>
      <c r="D20" s="1053"/>
      <c r="E20" s="1053"/>
    </row>
    <row r="21" spans="2:8" ht="31.5" customHeight="1">
      <c r="C21" s="1052"/>
      <c r="D21" s="1054"/>
      <c r="E21" s="1053"/>
    </row>
    <row r="22" spans="2:8" ht="12" customHeight="1">
      <c r="C22" s="1052" t="s">
        <v>1584</v>
      </c>
      <c r="D22" s="1055"/>
      <c r="E22" s="1198" t="s">
        <v>1671</v>
      </c>
    </row>
    <row r="23" spans="2:8" ht="13">
      <c r="C23" s="1052"/>
      <c r="D23" s="1056" t="s">
        <v>1585</v>
      </c>
      <c r="E23" s="1177">
        <v>0.13700000000000001</v>
      </c>
    </row>
    <row r="24" spans="2:8" ht="13">
      <c r="D24" s="1056" t="s">
        <v>1569</v>
      </c>
      <c r="E24" s="1268">
        <v>43544</v>
      </c>
    </row>
    <row r="26" spans="2:8" ht="13">
      <c r="C26" s="1170" t="s">
        <v>1586</v>
      </c>
      <c r="D26" s="1057">
        <f>'Cost-Benefit Summary'!B17</f>
        <v>240.91091834076838</v>
      </c>
      <c r="E26" s="1038" t="s">
        <v>1653</v>
      </c>
    </row>
    <row r="27" spans="2:8" ht="13">
      <c r="C27" s="1170"/>
      <c r="D27" s="1058"/>
    </row>
    <row r="28" spans="2:8" ht="13">
      <c r="C28" s="1170" t="s">
        <v>1672</v>
      </c>
      <c r="D28" s="1057">
        <f>'Cost-Benefit Summary'!B18</f>
        <v>244.45580368710847</v>
      </c>
      <c r="E28" s="1038" t="s">
        <v>1653</v>
      </c>
    </row>
    <row r="29" spans="2:8">
      <c r="C29" s="1059"/>
      <c r="D29" s="1059"/>
    </row>
    <row r="30" spans="2:8">
      <c r="C30" s="1060"/>
    </row>
    <row r="77" spans="3:6">
      <c r="C77" s="1324"/>
      <c r="D77" s="1324"/>
      <c r="E77" s="1324"/>
      <c r="F77" s="1324"/>
    </row>
    <row r="78" spans="3:6">
      <c r="C78" s="1324"/>
      <c r="D78" s="1324"/>
      <c r="E78" s="1324"/>
      <c r="F78" s="1324"/>
    </row>
    <row r="79" spans="3:6">
      <c r="C79" s="1060"/>
      <c r="D79" s="1060"/>
      <c r="E79" s="1060"/>
      <c r="F79" s="1060"/>
    </row>
    <row r="81" ht="22.5" customHeight="1"/>
    <row r="82" ht="42" customHeight="1"/>
  </sheetData>
  <mergeCells count="8">
    <mergeCell ref="G12:G19"/>
    <mergeCell ref="B17:F17"/>
    <mergeCell ref="C77:F77"/>
    <mergeCell ref="C78:F78"/>
    <mergeCell ref="B5:F5"/>
    <mergeCell ref="B7:B8"/>
    <mergeCell ref="C7:C8"/>
    <mergeCell ref="D7:F7"/>
  </mergeCells>
  <conditionalFormatting sqref="B17:B18 B11">
    <cfRule type="cellIs" dxfId="5" priority="1" stopIfTrue="1" operator="equal">
      <formula>0</formula>
    </cfRule>
    <cfRule type="cellIs" dxfId="4" priority="2" stopIfTrue="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X18"/>
  <sheetViews>
    <sheetView zoomScale="80" zoomScaleNormal="80" workbookViewId="0">
      <selection activeCell="V1" sqref="V1"/>
    </sheetView>
  </sheetViews>
  <sheetFormatPr defaultRowHeight="14.5"/>
  <cols>
    <col min="1" max="1" width="28" customWidth="1"/>
    <col min="2" max="2" width="12.1796875" customWidth="1"/>
  </cols>
  <sheetData>
    <row r="1" spans="1:24" s="1034" customFormat="1">
      <c r="I1" s="1333"/>
      <c r="J1" s="1333"/>
      <c r="K1" s="1333"/>
      <c r="V1" s="1319" t="s">
        <v>1764</v>
      </c>
      <c r="W1" s="1180"/>
      <c r="X1" s="1180"/>
    </row>
    <row r="2" spans="1:24" ht="20">
      <c r="A2" s="1021" t="s">
        <v>1570</v>
      </c>
      <c r="B2" s="1034"/>
      <c r="C2" s="1034"/>
      <c r="D2" s="1034"/>
      <c r="E2" s="1034"/>
      <c r="F2" s="1034"/>
      <c r="G2" s="1034"/>
      <c r="H2" s="1034"/>
      <c r="I2" s="1034"/>
      <c r="J2" s="1034"/>
      <c r="K2" s="1034"/>
      <c r="L2" s="1034"/>
      <c r="M2" s="1034"/>
      <c r="N2" s="1034"/>
      <c r="V2" s="1137"/>
      <c r="W2" s="1137"/>
      <c r="X2" s="1137"/>
    </row>
    <row r="3" spans="1:24" ht="18">
      <c r="A3" s="1039"/>
      <c r="B3" s="1034"/>
      <c r="C3" s="1034"/>
      <c r="D3" s="1034"/>
      <c r="E3" s="1034"/>
      <c r="F3" s="1034"/>
      <c r="G3" s="1034"/>
      <c r="H3" s="1034"/>
      <c r="I3" s="1034"/>
      <c r="J3" s="1034"/>
      <c r="K3" s="1034"/>
      <c r="L3" s="1034"/>
      <c r="M3" s="1034"/>
      <c r="N3" s="1034"/>
    </row>
    <row r="4" spans="1:24" s="1034" customFormat="1" ht="18">
      <c r="A4" s="1039"/>
      <c r="B4" s="3" t="s">
        <v>1595</v>
      </c>
    </row>
    <row r="5" spans="1:24">
      <c r="A5" s="1034"/>
      <c r="B5" s="589"/>
      <c r="C5" s="588"/>
      <c r="D5" s="588"/>
      <c r="E5" s="588" t="s">
        <v>783</v>
      </c>
      <c r="F5" s="588"/>
      <c r="G5" s="588"/>
      <c r="H5" s="587"/>
      <c r="I5" s="587"/>
      <c r="J5" s="587"/>
      <c r="K5" s="587"/>
      <c r="L5" s="587"/>
      <c r="M5" s="586"/>
      <c r="N5" s="586"/>
      <c r="O5" s="586"/>
      <c r="P5" s="586"/>
      <c r="Q5" s="586"/>
      <c r="R5" s="585"/>
      <c r="S5" s="585"/>
      <c r="T5" s="585"/>
      <c r="U5" s="585"/>
      <c r="V5" s="585"/>
    </row>
    <row r="6" spans="1:24" s="1034" customFormat="1">
      <c r="A6" s="534" t="s">
        <v>91</v>
      </c>
      <c r="B6" s="534">
        <v>0</v>
      </c>
      <c r="C6" s="534">
        <f t="shared" ref="C6:V6" si="0">B6+1</f>
        <v>1</v>
      </c>
      <c r="D6" s="534">
        <f t="shared" si="0"/>
        <v>2</v>
      </c>
      <c r="E6" s="534">
        <f t="shared" si="0"/>
        <v>3</v>
      </c>
      <c r="F6" s="534">
        <f t="shared" si="0"/>
        <v>4</v>
      </c>
      <c r="G6" s="534">
        <f t="shared" si="0"/>
        <v>5</v>
      </c>
      <c r="H6" s="534">
        <f t="shared" si="0"/>
        <v>6</v>
      </c>
      <c r="I6" s="534">
        <f t="shared" si="0"/>
        <v>7</v>
      </c>
      <c r="J6" s="534">
        <f t="shared" si="0"/>
        <v>8</v>
      </c>
      <c r="K6" s="534">
        <f t="shared" si="0"/>
        <v>9</v>
      </c>
      <c r="L6" s="534">
        <f t="shared" si="0"/>
        <v>10</v>
      </c>
      <c r="M6" s="534">
        <f t="shared" si="0"/>
        <v>11</v>
      </c>
      <c r="N6" s="534">
        <f t="shared" si="0"/>
        <v>12</v>
      </c>
      <c r="O6" s="534">
        <f t="shared" si="0"/>
        <v>13</v>
      </c>
      <c r="P6" s="534">
        <f t="shared" si="0"/>
        <v>14</v>
      </c>
      <c r="Q6" s="534">
        <f t="shared" si="0"/>
        <v>15</v>
      </c>
      <c r="R6" s="534">
        <f t="shared" si="0"/>
        <v>16</v>
      </c>
      <c r="S6" s="534">
        <f t="shared" si="0"/>
        <v>17</v>
      </c>
      <c r="T6" s="534">
        <f t="shared" si="0"/>
        <v>18</v>
      </c>
      <c r="U6" s="534">
        <f t="shared" si="0"/>
        <v>19</v>
      </c>
      <c r="V6" s="534">
        <f t="shared" si="0"/>
        <v>20</v>
      </c>
    </row>
    <row r="7" spans="1:24" ht="15" thickBot="1">
      <c r="A7" s="1062" t="s">
        <v>1589</v>
      </c>
      <c r="B7" s="1063">
        <v>2012</v>
      </c>
      <c r="C7" s="1063">
        <f>B7+1</f>
        <v>2013</v>
      </c>
      <c r="D7" s="1063">
        <f t="shared" ref="D7:V7" si="1">C7+1</f>
        <v>2014</v>
      </c>
      <c r="E7" s="1063">
        <f t="shared" si="1"/>
        <v>2015</v>
      </c>
      <c r="F7" s="1063">
        <f t="shared" si="1"/>
        <v>2016</v>
      </c>
      <c r="G7" s="1063">
        <f t="shared" si="1"/>
        <v>2017</v>
      </c>
      <c r="H7" s="1063">
        <f t="shared" si="1"/>
        <v>2018</v>
      </c>
      <c r="I7" s="1063">
        <f t="shared" si="1"/>
        <v>2019</v>
      </c>
      <c r="J7" s="1063">
        <f t="shared" si="1"/>
        <v>2020</v>
      </c>
      <c r="K7" s="1063">
        <f t="shared" si="1"/>
        <v>2021</v>
      </c>
      <c r="L7" s="1063">
        <f t="shared" si="1"/>
        <v>2022</v>
      </c>
      <c r="M7" s="1063">
        <f t="shared" si="1"/>
        <v>2023</v>
      </c>
      <c r="N7" s="1063">
        <f t="shared" si="1"/>
        <v>2024</v>
      </c>
      <c r="O7" s="1063">
        <f t="shared" si="1"/>
        <v>2025</v>
      </c>
      <c r="P7" s="1063">
        <f t="shared" si="1"/>
        <v>2026</v>
      </c>
      <c r="Q7" s="1063">
        <f t="shared" si="1"/>
        <v>2027</v>
      </c>
      <c r="R7" s="1063">
        <f t="shared" si="1"/>
        <v>2028</v>
      </c>
      <c r="S7" s="1063">
        <f t="shared" si="1"/>
        <v>2029</v>
      </c>
      <c r="T7" s="1063">
        <f t="shared" si="1"/>
        <v>2030</v>
      </c>
      <c r="U7" s="1063">
        <f t="shared" si="1"/>
        <v>2031</v>
      </c>
      <c r="V7" s="1063">
        <f t="shared" si="1"/>
        <v>2032</v>
      </c>
    </row>
    <row r="8" spans="1:24">
      <c r="A8" t="s">
        <v>1592</v>
      </c>
      <c r="B8">
        <f>ERR!E9</f>
        <v>11.412506655003416</v>
      </c>
      <c r="C8" s="1034">
        <f>ERR!F9</f>
        <v>19.973621044529942</v>
      </c>
      <c r="D8" s="1034">
        <f>ERR!G9</f>
        <v>65.66334655860021</v>
      </c>
      <c r="E8" s="1034">
        <f>ERR!H9</f>
        <v>80.937097108693976</v>
      </c>
      <c r="F8" s="1034">
        <f>ERR!I9</f>
        <v>95.575118391688761</v>
      </c>
      <c r="G8" s="1034">
        <f>ERR!J9</f>
        <v>56.736645586689534</v>
      </c>
      <c r="H8" s="1034">
        <f>ERR!K9</f>
        <v>5.0280773098952469</v>
      </c>
      <c r="I8" s="1034">
        <f>ERR!L9</f>
        <v>5.0280773098952469</v>
      </c>
      <c r="J8" s="1034">
        <f>ERR!M9</f>
        <v>5.0280773098952469</v>
      </c>
      <c r="K8" s="1034">
        <f>ERR!N9</f>
        <v>5.0280773098952469</v>
      </c>
      <c r="L8" s="1034">
        <f>ERR!O9</f>
        <v>5.0280773098952469</v>
      </c>
      <c r="M8" s="1034">
        <f>ERR!P9</f>
        <v>5.0280773098952469</v>
      </c>
      <c r="N8" s="1034">
        <f>ERR!Q9</f>
        <v>5.0280773098952469</v>
      </c>
      <c r="O8" s="1034">
        <f>ERR!R9</f>
        <v>5.0280773098952469</v>
      </c>
      <c r="P8" s="1034">
        <f>ERR!S9</f>
        <v>5.0280773098952469</v>
      </c>
      <c r="Q8" s="1034">
        <f>ERR!T9</f>
        <v>5.0280773098952469</v>
      </c>
      <c r="R8" s="1034">
        <f>ERR!U9</f>
        <v>5.0280773098952469</v>
      </c>
      <c r="S8" s="1034">
        <f>ERR!V9</f>
        <v>5.0280773098952469</v>
      </c>
      <c r="T8" s="1034">
        <f>ERR!W9</f>
        <v>5.0280773098952469</v>
      </c>
      <c r="U8" s="1034">
        <f>ERR!X9</f>
        <v>5.0280773098952469</v>
      </c>
      <c r="V8" s="1034">
        <f>ERR!Y9</f>
        <v>5.0280773098952469</v>
      </c>
    </row>
    <row r="9" spans="1:24">
      <c r="A9" t="s">
        <v>1663</v>
      </c>
      <c r="B9">
        <f>ERR!E7</f>
        <v>0</v>
      </c>
      <c r="C9" s="1034">
        <f>ERR!F7</f>
        <v>0</v>
      </c>
      <c r="D9" s="1034">
        <f>ERR!G7</f>
        <v>0.64442484226935459</v>
      </c>
      <c r="E9" s="1034">
        <f>ERR!H7</f>
        <v>-16.472349125966836</v>
      </c>
      <c r="F9" s="1034">
        <f>ERR!I7</f>
        <v>8.1488080168221089</v>
      </c>
      <c r="G9" s="1034">
        <f>ERR!J7</f>
        <v>147.27541895297637</v>
      </c>
      <c r="H9" s="1034">
        <f>ERR!K7</f>
        <v>31.755793312622096</v>
      </c>
      <c r="I9" s="1034">
        <f>ERR!L7</f>
        <v>19.820059088582742</v>
      </c>
      <c r="J9" s="1034">
        <f>ERR!M7</f>
        <v>21.378391226962155</v>
      </c>
      <c r="K9" s="1034">
        <f>ERR!N7</f>
        <v>25.073935583197432</v>
      </c>
      <c r="L9" s="1034">
        <f>ERR!O7</f>
        <v>28.660772757283148</v>
      </c>
      <c r="M9" s="1034">
        <f>ERR!P7</f>
        <v>29.616676301627365</v>
      </c>
      <c r="N9" s="1034">
        <f>ERR!Q7</f>
        <v>33.112655550837552</v>
      </c>
      <c r="O9" s="1034">
        <f>ERR!R7</f>
        <v>30.943811141403895</v>
      </c>
      <c r="P9" s="1034">
        <f>ERR!S7</f>
        <v>196.40869020053586</v>
      </c>
      <c r="Q9" s="1034">
        <f>ERR!T7</f>
        <v>31.433367678956852</v>
      </c>
      <c r="R9" s="1034">
        <f>ERR!U7</f>
        <v>34.754532949019769</v>
      </c>
      <c r="S9" s="1034">
        <f>ERR!V7</f>
        <v>34.004662985082831</v>
      </c>
      <c r="T9" s="1034">
        <f>ERR!W7</f>
        <v>33.542069843162885</v>
      </c>
      <c r="U9" s="1034">
        <f>ERR!X7</f>
        <v>33.508064192485861</v>
      </c>
      <c r="V9" s="1034">
        <f>ERR!Y7</f>
        <v>34.560617138162364</v>
      </c>
    </row>
    <row r="10" spans="1:24">
      <c r="A10" t="s">
        <v>1591</v>
      </c>
      <c r="B10">
        <f>B9-B8</f>
        <v>-11.412506655003416</v>
      </c>
      <c r="C10" s="1034">
        <f t="shared" ref="C10:O10" si="2">C9-C8</f>
        <v>-19.973621044529942</v>
      </c>
      <c r="D10" s="1034">
        <f t="shared" si="2"/>
        <v>-65.018921716330851</v>
      </c>
      <c r="E10" s="1034">
        <f t="shared" si="2"/>
        <v>-97.409446234660805</v>
      </c>
      <c r="F10" s="1034">
        <f t="shared" si="2"/>
        <v>-87.426310374866659</v>
      </c>
      <c r="G10" s="1034">
        <f t="shared" si="2"/>
        <v>90.538773366286833</v>
      </c>
      <c r="H10" s="1034">
        <f t="shared" si="2"/>
        <v>26.727716002726851</v>
      </c>
      <c r="I10" s="1034">
        <f t="shared" si="2"/>
        <v>14.791981778687495</v>
      </c>
      <c r="J10" s="1034">
        <f t="shared" si="2"/>
        <v>16.350313917066906</v>
      </c>
      <c r="K10" s="1034">
        <f t="shared" si="2"/>
        <v>20.045858273302187</v>
      </c>
      <c r="L10" s="1034">
        <f t="shared" si="2"/>
        <v>23.632695447387903</v>
      </c>
      <c r="M10" s="1034">
        <f t="shared" si="2"/>
        <v>24.58859899173212</v>
      </c>
      <c r="N10" s="1034">
        <f t="shared" si="2"/>
        <v>28.084578240942307</v>
      </c>
      <c r="O10" s="1034">
        <f t="shared" si="2"/>
        <v>25.915733831508646</v>
      </c>
      <c r="P10" s="1034">
        <f>P9-P8</f>
        <v>191.38061289064061</v>
      </c>
      <c r="Q10" s="1034">
        <f t="shared" ref="Q10" si="3">Q9-Q8</f>
        <v>26.405290369061603</v>
      </c>
      <c r="R10" s="1034">
        <f t="shared" ref="R10" si="4">R9-R8</f>
        <v>29.726455639124524</v>
      </c>
      <c r="S10" s="1034">
        <f t="shared" ref="S10" si="5">S9-S8</f>
        <v>28.976585675187586</v>
      </c>
      <c r="T10" s="1034">
        <f t="shared" ref="T10" si="6">T9-T8</f>
        <v>28.51399253326764</v>
      </c>
      <c r="U10" s="1034">
        <f t="shared" ref="U10" si="7">U9-U8</f>
        <v>28.479986882590616</v>
      </c>
      <c r="V10" s="1034">
        <f t="shared" ref="V10" si="8">V9-V8</f>
        <v>29.532539828267119</v>
      </c>
    </row>
    <row r="11" spans="1:24" s="1034" customFormat="1"/>
    <row r="12" spans="1:24">
      <c r="A12" s="173"/>
    </row>
    <row r="13" spans="1:24">
      <c r="A13" s="3" t="s">
        <v>1593</v>
      </c>
      <c r="B13" s="1064">
        <f>IRR(B10:V10,(0))</f>
        <v>9.7433953785446059E-2</v>
      </c>
    </row>
    <row r="15" spans="1:24">
      <c r="F15" s="534"/>
    </row>
    <row r="16" spans="1:24">
      <c r="A16" s="534" t="s">
        <v>1640</v>
      </c>
      <c r="B16" s="1065">
        <f>NPV(0.1,B10:V10)</f>
        <v>-3.5448853463402115</v>
      </c>
    </row>
    <row r="17" spans="1:2">
      <c r="A17" s="3" t="s">
        <v>1594</v>
      </c>
      <c r="B17" s="1065">
        <f>Benefits!C11</f>
        <v>240.91091834076838</v>
      </c>
    </row>
    <row r="18" spans="1:2">
      <c r="A18" s="3" t="s">
        <v>1588</v>
      </c>
      <c r="B18" s="1065">
        <f>Costs!C18</f>
        <v>244.45580368710847</v>
      </c>
    </row>
  </sheetData>
  <mergeCells count="1">
    <mergeCell ref="I1:K1"/>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
  <sheetViews>
    <sheetView workbookViewId="0">
      <selection activeCell="W1" sqref="W1"/>
    </sheetView>
  </sheetViews>
  <sheetFormatPr defaultRowHeight="14.5"/>
  <cols>
    <col min="1" max="1" width="19.26953125" customWidth="1"/>
  </cols>
  <sheetData>
    <row r="1" spans="1:23">
      <c r="A1" t="s">
        <v>1752</v>
      </c>
      <c r="B1">
        <v>20</v>
      </c>
      <c r="W1" s="1319" t="s">
        <v>1764</v>
      </c>
    </row>
    <row r="2" spans="1:23" s="1137" customFormat="1">
      <c r="B2" s="589"/>
      <c r="C2" s="588"/>
      <c r="D2" s="588"/>
      <c r="E2" s="588" t="s">
        <v>783</v>
      </c>
      <c r="F2" s="588"/>
      <c r="G2" s="588"/>
      <c r="H2" s="587"/>
      <c r="I2" s="587"/>
      <c r="J2" s="587"/>
      <c r="K2" s="587"/>
      <c r="L2" s="587"/>
      <c r="M2" s="586"/>
      <c r="N2" s="586"/>
      <c r="O2" s="586"/>
      <c r="P2" s="586"/>
      <c r="Q2" s="586"/>
      <c r="R2" s="585"/>
      <c r="S2" s="585"/>
      <c r="T2" s="585"/>
      <c r="U2" s="585"/>
      <c r="V2" s="585"/>
    </row>
    <row r="3" spans="1:23" s="1137" customFormat="1">
      <c r="A3" s="534" t="s">
        <v>91</v>
      </c>
      <c r="B3" s="534">
        <v>0</v>
      </c>
      <c r="C3" s="534">
        <f t="shared" ref="C3:V4" si="0">B3+1</f>
        <v>1</v>
      </c>
      <c r="D3" s="534">
        <f t="shared" si="0"/>
        <v>2</v>
      </c>
      <c r="E3" s="534">
        <f t="shared" si="0"/>
        <v>3</v>
      </c>
      <c r="F3" s="534">
        <f t="shared" si="0"/>
        <v>4</v>
      </c>
      <c r="G3" s="534">
        <f t="shared" si="0"/>
        <v>5</v>
      </c>
      <c r="H3" s="534">
        <f t="shared" si="0"/>
        <v>6</v>
      </c>
      <c r="I3" s="534">
        <f t="shared" si="0"/>
        <v>7</v>
      </c>
      <c r="J3" s="534">
        <f t="shared" si="0"/>
        <v>8</v>
      </c>
      <c r="K3" s="534">
        <f t="shared" si="0"/>
        <v>9</v>
      </c>
      <c r="L3" s="534">
        <f t="shared" si="0"/>
        <v>10</v>
      </c>
      <c r="M3" s="534">
        <f t="shared" si="0"/>
        <v>11</v>
      </c>
      <c r="N3" s="534">
        <f t="shared" si="0"/>
        <v>12</v>
      </c>
      <c r="O3" s="534">
        <f t="shared" si="0"/>
        <v>13</v>
      </c>
      <c r="P3" s="534">
        <f t="shared" si="0"/>
        <v>14</v>
      </c>
      <c r="Q3" s="534">
        <f t="shared" si="0"/>
        <v>15</v>
      </c>
      <c r="R3" s="534">
        <f t="shared" si="0"/>
        <v>16</v>
      </c>
      <c r="S3" s="534">
        <f t="shared" si="0"/>
        <v>17</v>
      </c>
      <c r="T3" s="534">
        <f t="shared" si="0"/>
        <v>18</v>
      </c>
      <c r="U3" s="534">
        <f t="shared" si="0"/>
        <v>19</v>
      </c>
      <c r="V3" s="534">
        <f t="shared" si="0"/>
        <v>20</v>
      </c>
    </row>
    <row r="4" spans="1:23" s="1137" customFormat="1" ht="15" thickBot="1">
      <c r="A4" s="1062" t="s">
        <v>1589</v>
      </c>
      <c r="B4" s="1063">
        <v>2012</v>
      </c>
      <c r="C4" s="1063">
        <f>B4+1</f>
        <v>2013</v>
      </c>
      <c r="D4" s="1063">
        <f t="shared" si="0"/>
        <v>2014</v>
      </c>
      <c r="E4" s="1063">
        <f t="shared" si="0"/>
        <v>2015</v>
      </c>
      <c r="F4" s="1063">
        <f t="shared" si="0"/>
        <v>2016</v>
      </c>
      <c r="G4" s="1063">
        <f t="shared" si="0"/>
        <v>2017</v>
      </c>
      <c r="H4" s="1063">
        <f t="shared" si="0"/>
        <v>2018</v>
      </c>
      <c r="I4" s="1063">
        <f t="shared" si="0"/>
        <v>2019</v>
      </c>
      <c r="J4" s="1063">
        <f t="shared" si="0"/>
        <v>2020</v>
      </c>
      <c r="K4" s="1063">
        <f t="shared" si="0"/>
        <v>2021</v>
      </c>
      <c r="L4" s="1063">
        <f t="shared" si="0"/>
        <v>2022</v>
      </c>
      <c r="M4" s="1063">
        <f t="shared" si="0"/>
        <v>2023</v>
      </c>
      <c r="N4" s="1063">
        <f t="shared" si="0"/>
        <v>2024</v>
      </c>
      <c r="O4" s="1063">
        <f t="shared" si="0"/>
        <v>2025</v>
      </c>
      <c r="P4" s="1063">
        <f t="shared" si="0"/>
        <v>2026</v>
      </c>
      <c r="Q4" s="1063">
        <f t="shared" si="0"/>
        <v>2027</v>
      </c>
      <c r="R4" s="1063">
        <f t="shared" si="0"/>
        <v>2028</v>
      </c>
      <c r="S4" s="1063">
        <f t="shared" si="0"/>
        <v>2029</v>
      </c>
      <c r="T4" s="1063">
        <f t="shared" si="0"/>
        <v>2030</v>
      </c>
      <c r="U4" s="1063">
        <f t="shared" si="0"/>
        <v>2031</v>
      </c>
      <c r="V4" s="1063">
        <f t="shared" si="0"/>
        <v>2032</v>
      </c>
    </row>
    <row r="5" spans="1:23" s="1137" customFormat="1">
      <c r="A5" s="1137" t="s">
        <v>1592</v>
      </c>
      <c r="B5" s="1137">
        <f>'Cost-Benefit Summary'!B8</f>
        <v>11.412506655003416</v>
      </c>
      <c r="C5" s="1137">
        <f>'Cost-Benefit Summary'!C8</f>
        <v>19.973621044529942</v>
      </c>
      <c r="D5" s="1137">
        <f>'Cost-Benefit Summary'!D8</f>
        <v>65.66334655860021</v>
      </c>
      <c r="E5" s="1137">
        <f>'Cost-Benefit Summary'!E8</f>
        <v>80.937097108693976</v>
      </c>
      <c r="F5" s="1137">
        <f>'Cost-Benefit Summary'!F8</f>
        <v>95.575118391688761</v>
      </c>
      <c r="G5" s="1137">
        <f>'Cost-Benefit Summary'!G8</f>
        <v>56.736645586689534</v>
      </c>
      <c r="H5" s="1137">
        <f>'Cost-Benefit Summary'!H8</f>
        <v>5.0280773098952469</v>
      </c>
      <c r="I5" s="1137">
        <f>'Cost-Benefit Summary'!I8</f>
        <v>5.0280773098952469</v>
      </c>
      <c r="J5" s="1137">
        <f>'Cost-Benefit Summary'!J8</f>
        <v>5.0280773098952469</v>
      </c>
      <c r="K5" s="1137">
        <f>'Cost-Benefit Summary'!K8</f>
        <v>5.0280773098952469</v>
      </c>
      <c r="L5" s="1137">
        <f>'Cost-Benefit Summary'!L8</f>
        <v>5.0280773098952469</v>
      </c>
      <c r="M5" s="1137">
        <f>'Cost-Benefit Summary'!M8</f>
        <v>5.0280773098952469</v>
      </c>
      <c r="N5" s="1137">
        <f>'Cost-Benefit Summary'!N8</f>
        <v>5.0280773098952469</v>
      </c>
      <c r="O5" s="1137">
        <f>'Cost-Benefit Summary'!O8</f>
        <v>5.0280773098952469</v>
      </c>
      <c r="P5" s="1137">
        <f>'Cost-Benefit Summary'!P8</f>
        <v>5.0280773098952469</v>
      </c>
      <c r="Q5" s="1137">
        <f>'Cost-Benefit Summary'!Q8</f>
        <v>5.0280773098952469</v>
      </c>
      <c r="R5" s="1137">
        <f>'Cost-Benefit Summary'!R8</f>
        <v>5.0280773098952469</v>
      </c>
      <c r="S5" s="1137">
        <f>'Cost-Benefit Summary'!S8</f>
        <v>5.0280773098952469</v>
      </c>
      <c r="T5" s="1137">
        <f>'Cost-Benefit Summary'!T8</f>
        <v>5.0280773098952469</v>
      </c>
      <c r="U5" s="1137">
        <f>'Cost-Benefit Summary'!U8</f>
        <v>5.0280773098952469</v>
      </c>
      <c r="V5" s="1137">
        <f>'Cost-Benefit Summary'!V8</f>
        <v>5.0280773098952469</v>
      </c>
    </row>
    <row r="6" spans="1:23" s="1137" customFormat="1">
      <c r="A6" s="1137" t="s">
        <v>1663</v>
      </c>
      <c r="B6" s="1137">
        <f>'Cost-Benefit Summary'!B9</f>
        <v>0</v>
      </c>
      <c r="C6" s="1137">
        <f>'Cost-Benefit Summary'!C9</f>
        <v>0</v>
      </c>
      <c r="D6" s="1137">
        <f>'Cost-Benefit Summary'!D9</f>
        <v>0.64442484226935459</v>
      </c>
      <c r="E6" s="1137">
        <f>'Cost-Benefit Summary'!E9</f>
        <v>-16.472349125966836</v>
      </c>
      <c r="F6" s="1137">
        <f>'Cost-Benefit Summary'!F9</f>
        <v>8.1488080168221089</v>
      </c>
      <c r="G6" s="1137">
        <f>'Cost-Benefit Summary'!G9</f>
        <v>147.27541895297637</v>
      </c>
      <c r="H6" s="1137">
        <f>'Cost-Benefit Summary'!H9</f>
        <v>31.755793312622096</v>
      </c>
      <c r="I6" s="1137">
        <f>'Cost-Benefit Summary'!I9</f>
        <v>19.820059088582742</v>
      </c>
      <c r="J6" s="1137">
        <f>'Cost-Benefit Summary'!J9</f>
        <v>21.378391226962155</v>
      </c>
      <c r="K6" s="1137">
        <f>'Cost-Benefit Summary'!K9</f>
        <v>25.073935583197432</v>
      </c>
      <c r="L6" s="1137">
        <f>'Cost-Benefit Summary'!L9</f>
        <v>28.660772757283148</v>
      </c>
      <c r="M6" s="1137">
        <f>'Cost-Benefit Summary'!M9</f>
        <v>29.616676301627365</v>
      </c>
      <c r="N6" s="1137">
        <f>'Cost-Benefit Summary'!N9</f>
        <v>33.112655550837552</v>
      </c>
      <c r="O6" s="1137">
        <f>'Cost-Benefit Summary'!O9</f>
        <v>30.943811141403895</v>
      </c>
      <c r="P6" s="1137">
        <f>'Cost-Benefit Summary'!P9</f>
        <v>196.40869020053586</v>
      </c>
      <c r="Q6" s="1137">
        <f>'Cost-Benefit Summary'!Q9</f>
        <v>31.433367678956852</v>
      </c>
      <c r="R6" s="1137">
        <f>'Cost-Benefit Summary'!R9</f>
        <v>34.754532949019769</v>
      </c>
      <c r="S6" s="1137">
        <f>'Cost-Benefit Summary'!S9</f>
        <v>34.004662985082831</v>
      </c>
      <c r="T6" s="1137">
        <f>'Cost-Benefit Summary'!T9</f>
        <v>33.542069843162885</v>
      </c>
      <c r="U6" s="1137">
        <f>'Cost-Benefit Summary'!U9</f>
        <v>33.508064192485861</v>
      </c>
      <c r="V6" s="1137">
        <f>'Cost-Benefit Summary'!V9</f>
        <v>34.560617138162364</v>
      </c>
    </row>
    <row r="7" spans="1:23" s="1137" customFormat="1">
      <c r="A7" s="1137" t="s">
        <v>1591</v>
      </c>
      <c r="B7" s="1137">
        <f>'Cost-Benefit Summary'!B10</f>
        <v>-11.412506655003416</v>
      </c>
      <c r="C7" s="1137">
        <f>'Cost-Benefit Summary'!C10</f>
        <v>-19.973621044529942</v>
      </c>
      <c r="D7" s="1137">
        <f>'Cost-Benefit Summary'!D10</f>
        <v>-65.018921716330851</v>
      </c>
      <c r="E7" s="1137">
        <f>'Cost-Benefit Summary'!E10</f>
        <v>-97.409446234660805</v>
      </c>
      <c r="F7" s="1137">
        <f>'Cost-Benefit Summary'!F10</f>
        <v>-87.426310374866659</v>
      </c>
      <c r="G7" s="1137">
        <f>'Cost-Benefit Summary'!G10</f>
        <v>90.538773366286833</v>
      </c>
      <c r="H7" s="1137">
        <f>'Cost-Benefit Summary'!H10</f>
        <v>26.727716002726851</v>
      </c>
      <c r="I7" s="1137">
        <f>'Cost-Benefit Summary'!I10</f>
        <v>14.791981778687495</v>
      </c>
      <c r="J7" s="1137">
        <f>'Cost-Benefit Summary'!J10</f>
        <v>16.350313917066906</v>
      </c>
      <c r="K7" s="1137">
        <f>'Cost-Benefit Summary'!K10</f>
        <v>20.045858273302187</v>
      </c>
      <c r="L7" s="1137">
        <f>'Cost-Benefit Summary'!L10</f>
        <v>23.632695447387903</v>
      </c>
      <c r="M7" s="1137">
        <f>'Cost-Benefit Summary'!M10</f>
        <v>24.58859899173212</v>
      </c>
      <c r="N7" s="1137">
        <f>'Cost-Benefit Summary'!N10</f>
        <v>28.084578240942307</v>
      </c>
      <c r="O7" s="1137">
        <f>'Cost-Benefit Summary'!O10</f>
        <v>25.915733831508646</v>
      </c>
      <c r="P7" s="1137">
        <f>'Cost-Benefit Summary'!P10</f>
        <v>191.38061289064061</v>
      </c>
      <c r="Q7" s="1137">
        <f>'Cost-Benefit Summary'!Q10</f>
        <v>26.405290369061603</v>
      </c>
      <c r="R7" s="1137">
        <f>'Cost-Benefit Summary'!R10</f>
        <v>29.726455639124524</v>
      </c>
      <c r="S7" s="1137">
        <f>'Cost-Benefit Summary'!S10</f>
        <v>28.976585675187586</v>
      </c>
      <c r="T7" s="1137">
        <f>'Cost-Benefit Summary'!T10</f>
        <v>28.51399253326764</v>
      </c>
      <c r="U7" s="1137">
        <f>'Cost-Benefit Summary'!U10</f>
        <v>28.479986882590616</v>
      </c>
      <c r="V7" s="1137">
        <f>'Cost-Benefit Summary'!V10</f>
        <v>29.532539828267119</v>
      </c>
    </row>
    <row r="8" spans="1:23">
      <c r="A8" t="s">
        <v>1751</v>
      </c>
      <c r="B8">
        <v>0</v>
      </c>
      <c r="C8">
        <v>0</v>
      </c>
      <c r="D8">
        <f>1-(D3-2)/$B1</f>
        <v>1</v>
      </c>
      <c r="E8" s="1137">
        <f t="shared" ref="E8:V8" si="1">1-(E3-2)/$B1</f>
        <v>0.95</v>
      </c>
      <c r="F8" s="1137">
        <f t="shared" si="1"/>
        <v>0.9</v>
      </c>
      <c r="G8" s="1137">
        <f t="shared" si="1"/>
        <v>0.85</v>
      </c>
      <c r="H8" s="1137">
        <f t="shared" si="1"/>
        <v>0.8</v>
      </c>
      <c r="I8" s="1137">
        <f t="shared" si="1"/>
        <v>0.75</v>
      </c>
      <c r="J8" s="1137">
        <f t="shared" si="1"/>
        <v>0.7</v>
      </c>
      <c r="K8" s="1137">
        <f t="shared" si="1"/>
        <v>0.65</v>
      </c>
      <c r="L8" s="1137">
        <f t="shared" si="1"/>
        <v>0.6</v>
      </c>
      <c r="M8" s="1137">
        <f t="shared" si="1"/>
        <v>0.55000000000000004</v>
      </c>
      <c r="N8" s="1137">
        <f t="shared" si="1"/>
        <v>0.5</v>
      </c>
      <c r="O8" s="1137">
        <f t="shared" si="1"/>
        <v>0.44999999999999996</v>
      </c>
      <c r="P8" s="1137">
        <f t="shared" si="1"/>
        <v>0.4</v>
      </c>
      <c r="Q8" s="1137">
        <f t="shared" si="1"/>
        <v>0.35</v>
      </c>
      <c r="R8" s="1137">
        <f t="shared" si="1"/>
        <v>0.30000000000000004</v>
      </c>
      <c r="S8" s="1137">
        <f t="shared" si="1"/>
        <v>0.25</v>
      </c>
      <c r="T8" s="1137">
        <f t="shared" si="1"/>
        <v>0.19999999999999996</v>
      </c>
      <c r="U8" s="1137">
        <f t="shared" si="1"/>
        <v>0.15000000000000002</v>
      </c>
      <c r="V8" s="1137">
        <f t="shared" si="1"/>
        <v>9.9999999999999978E-2</v>
      </c>
    </row>
    <row r="9" spans="1:23">
      <c r="A9" t="s">
        <v>1753</v>
      </c>
      <c r="B9">
        <f>B8*B6</f>
        <v>0</v>
      </c>
      <c r="C9" s="1137">
        <f t="shared" ref="C9:V9" si="2">C8*C6</f>
        <v>0</v>
      </c>
      <c r="D9" s="1137">
        <f t="shared" si="2"/>
        <v>0.64442484226935459</v>
      </c>
      <c r="E9" s="1137">
        <f t="shared" si="2"/>
        <v>-15.648731669668495</v>
      </c>
      <c r="F9" s="1137">
        <f t="shared" si="2"/>
        <v>7.333927215139898</v>
      </c>
      <c r="G9" s="1137">
        <f t="shared" si="2"/>
        <v>125.1841061100299</v>
      </c>
      <c r="H9" s="1137">
        <f t="shared" si="2"/>
        <v>25.404634650097677</v>
      </c>
      <c r="I9" s="1137">
        <f t="shared" si="2"/>
        <v>14.865044316437057</v>
      </c>
      <c r="J9" s="1137">
        <f t="shared" si="2"/>
        <v>14.964873858873506</v>
      </c>
      <c r="K9" s="1137">
        <f t="shared" si="2"/>
        <v>16.298058129078331</v>
      </c>
      <c r="L9" s="1137">
        <f t="shared" si="2"/>
        <v>17.196463654369889</v>
      </c>
      <c r="M9" s="1137">
        <f t="shared" si="2"/>
        <v>16.289171965895051</v>
      </c>
      <c r="N9" s="1137">
        <f t="shared" si="2"/>
        <v>16.556327775418776</v>
      </c>
      <c r="O9" s="1137">
        <f t="shared" si="2"/>
        <v>13.924715013631751</v>
      </c>
      <c r="P9" s="1137">
        <f t="shared" si="2"/>
        <v>78.563476080214343</v>
      </c>
      <c r="Q9" s="1137">
        <f t="shared" si="2"/>
        <v>11.001678687634898</v>
      </c>
      <c r="R9" s="1137">
        <f t="shared" si="2"/>
        <v>10.426359884705931</v>
      </c>
      <c r="S9" s="1137">
        <f t="shared" si="2"/>
        <v>8.5011657462707078</v>
      </c>
      <c r="T9" s="1137">
        <f t="shared" si="2"/>
        <v>6.7084139686325752</v>
      </c>
      <c r="U9" s="1137">
        <f t="shared" si="2"/>
        <v>5.0262096288728797</v>
      </c>
      <c r="V9" s="1137">
        <f t="shared" si="2"/>
        <v>3.4560617138162355</v>
      </c>
    </row>
    <row r="10" spans="1:23">
      <c r="A10" t="s">
        <v>1754</v>
      </c>
      <c r="B10">
        <f>B9-B5</f>
        <v>-11.412506655003416</v>
      </c>
      <c r="C10" s="1137">
        <f t="shared" ref="C10:V10" si="3">C9-C5</f>
        <v>-19.973621044529942</v>
      </c>
      <c r="D10" s="1137">
        <f t="shared" si="3"/>
        <v>-65.018921716330851</v>
      </c>
      <c r="E10" s="1137">
        <f t="shared" si="3"/>
        <v>-96.585828778362469</v>
      </c>
      <c r="F10" s="1137">
        <f t="shared" si="3"/>
        <v>-88.241191176548867</v>
      </c>
      <c r="G10" s="1137">
        <f t="shared" si="3"/>
        <v>68.447460523340368</v>
      </c>
      <c r="H10" s="1137">
        <f t="shared" si="3"/>
        <v>20.376557340202432</v>
      </c>
      <c r="I10" s="1137">
        <f t="shared" si="3"/>
        <v>9.8369670065418102</v>
      </c>
      <c r="J10" s="1137">
        <f t="shared" si="3"/>
        <v>9.9367965489782595</v>
      </c>
      <c r="K10" s="1137">
        <f t="shared" si="3"/>
        <v>11.269980819183084</v>
      </c>
      <c r="L10" s="1137">
        <f t="shared" si="3"/>
        <v>12.168386344474643</v>
      </c>
      <c r="M10" s="1137">
        <f t="shared" si="3"/>
        <v>11.261094655999804</v>
      </c>
      <c r="N10" s="1137">
        <f t="shared" si="3"/>
        <v>11.528250465523529</v>
      </c>
      <c r="O10" s="1137">
        <f t="shared" si="3"/>
        <v>8.8966377037365039</v>
      </c>
      <c r="P10" s="1137">
        <f t="shared" si="3"/>
        <v>73.535398770319091</v>
      </c>
      <c r="Q10" s="1137">
        <f t="shared" si="3"/>
        <v>5.9736013777396515</v>
      </c>
      <c r="R10" s="1137">
        <f t="shared" si="3"/>
        <v>5.3982825748106844</v>
      </c>
      <c r="S10" s="1137">
        <f t="shared" si="3"/>
        <v>3.4730884363754608</v>
      </c>
      <c r="T10" s="1137">
        <f t="shared" si="3"/>
        <v>1.6803366587373283</v>
      </c>
      <c r="U10" s="1137">
        <f t="shared" si="3"/>
        <v>-1.8676810223672291E-3</v>
      </c>
      <c r="V10" s="1137">
        <f t="shared" si="3"/>
        <v>-1.5720155960790114</v>
      </c>
    </row>
    <row r="12" spans="1:23">
      <c r="A12" t="s">
        <v>1755</v>
      </c>
      <c r="B12" s="4">
        <f>IRR(B10:V10)</f>
        <v>-1.5195042784562851E-2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autoPageBreaks="0"/>
  </sheetPr>
  <dimension ref="A1:AA172"/>
  <sheetViews>
    <sheetView zoomScale="90" zoomScaleNormal="90" workbookViewId="0">
      <selection activeCell="W1" sqref="W1:Y1"/>
    </sheetView>
  </sheetViews>
  <sheetFormatPr defaultColWidth="9.1796875" defaultRowHeight="14.5"/>
  <cols>
    <col min="1" max="1" width="2.7265625" style="1" bestFit="1" customWidth="1"/>
    <col min="2" max="2" width="37.7265625" style="1" bestFit="1" customWidth="1"/>
    <col min="3" max="3" width="17.453125" style="1" customWidth="1"/>
    <col min="4" max="4" width="13.54296875" style="1" customWidth="1"/>
    <col min="5" max="5" width="9.1796875" style="1" customWidth="1"/>
    <col min="6" max="8" width="9" style="1" customWidth="1"/>
    <col min="9" max="9" width="11" style="1" customWidth="1"/>
    <col min="10" max="10" width="9" style="1" customWidth="1"/>
    <col min="11" max="11" width="10.54296875" style="1" customWidth="1"/>
    <col min="12" max="13" width="9" style="1" customWidth="1"/>
    <col min="14" max="14" width="13" style="1" customWidth="1"/>
    <col min="15" max="15" width="9" style="1" customWidth="1"/>
    <col min="16" max="24" width="9.1796875" style="1"/>
    <col min="25" max="25" width="9.1796875" style="1" customWidth="1"/>
    <col min="26" max="16384" width="9.1796875" style="1"/>
  </cols>
  <sheetData>
    <row r="1" spans="1:27" ht="21.5" thickBot="1">
      <c r="D1" s="504"/>
      <c r="E1" s="504"/>
      <c r="O1" s="1" t="s">
        <v>1545</v>
      </c>
      <c r="P1" s="1" t="s">
        <v>1546</v>
      </c>
      <c r="W1" s="1333" t="s">
        <v>1764</v>
      </c>
      <c r="X1" s="1333"/>
      <c r="Y1" s="1333"/>
    </row>
    <row r="2" spans="1:27" ht="29.5" thickBot="1">
      <c r="B2" s="504" t="s">
        <v>730</v>
      </c>
      <c r="C2" s="504" t="s">
        <v>49</v>
      </c>
      <c r="D2" s="504"/>
      <c r="E2" s="504"/>
      <c r="H2" s="503" t="s">
        <v>729</v>
      </c>
      <c r="I2" s="502">
        <f>IRR(E11:Y11,-0.31)</f>
        <v>9.7433953784229255E-2</v>
      </c>
      <c r="K2" s="1336" t="str">
        <f>IF(M29=1,"Base Case","Sensitivity Case")</f>
        <v>Base Case</v>
      </c>
      <c r="L2" s="1337"/>
      <c r="N2" s="993" t="s">
        <v>1540</v>
      </c>
      <c r="O2" s="1">
        <v>0</v>
      </c>
      <c r="P2" s="1">
        <v>0</v>
      </c>
      <c r="W2" s="1137"/>
      <c r="X2" s="1137"/>
      <c r="Y2" s="1137"/>
    </row>
    <row r="4" spans="1:27" ht="16" thickBot="1">
      <c r="B4" s="192" t="s">
        <v>465</v>
      </c>
      <c r="E4" s="68">
        <v>2012</v>
      </c>
      <c r="F4" s="68">
        <f t="shared" ref="F4:Y4" si="0">E4+1</f>
        <v>2013</v>
      </c>
      <c r="G4" s="68">
        <f t="shared" si="0"/>
        <v>2014</v>
      </c>
      <c r="H4" s="68">
        <f t="shared" si="0"/>
        <v>2015</v>
      </c>
      <c r="I4" s="68">
        <f t="shared" si="0"/>
        <v>2016</v>
      </c>
      <c r="J4" s="68">
        <f t="shared" si="0"/>
        <v>2017</v>
      </c>
      <c r="K4" s="68">
        <f t="shared" si="0"/>
        <v>2018</v>
      </c>
      <c r="L4" s="68">
        <f t="shared" si="0"/>
        <v>2019</v>
      </c>
      <c r="M4" s="68">
        <f t="shared" si="0"/>
        <v>2020</v>
      </c>
      <c r="N4" s="68">
        <f t="shared" si="0"/>
        <v>2021</v>
      </c>
      <c r="O4" s="68">
        <f t="shared" si="0"/>
        <v>2022</v>
      </c>
      <c r="P4" s="68">
        <f t="shared" si="0"/>
        <v>2023</v>
      </c>
      <c r="Q4" s="68">
        <f t="shared" si="0"/>
        <v>2024</v>
      </c>
      <c r="R4" s="68">
        <f t="shared" si="0"/>
        <v>2025</v>
      </c>
      <c r="S4" s="68">
        <f t="shared" si="0"/>
        <v>2026</v>
      </c>
      <c r="T4" s="68">
        <f t="shared" si="0"/>
        <v>2027</v>
      </c>
      <c r="U4" s="68">
        <f t="shared" si="0"/>
        <v>2028</v>
      </c>
      <c r="V4" s="68">
        <f t="shared" si="0"/>
        <v>2029</v>
      </c>
      <c r="W4" s="68">
        <f t="shared" si="0"/>
        <v>2030</v>
      </c>
      <c r="X4" s="68">
        <f t="shared" si="0"/>
        <v>2031</v>
      </c>
      <c r="Y4" s="68">
        <f t="shared" si="0"/>
        <v>2032</v>
      </c>
    </row>
    <row r="5" spans="1:27">
      <c r="B5" s="501" t="s">
        <v>727</v>
      </c>
      <c r="C5" s="500"/>
      <c r="D5" s="499" t="s">
        <v>728</v>
      </c>
      <c r="E5" s="430"/>
      <c r="F5" s="1335" t="s">
        <v>415</v>
      </c>
      <c r="G5" s="1335"/>
      <c r="H5" s="1335"/>
      <c r="I5" s="1335"/>
      <c r="J5" s="1335"/>
      <c r="K5" s="429"/>
      <c r="L5" s="429"/>
      <c r="M5" s="429"/>
      <c r="N5" s="429"/>
      <c r="O5" s="429"/>
      <c r="P5" s="429"/>
      <c r="Q5" s="429"/>
      <c r="R5" s="429"/>
      <c r="S5" s="429"/>
      <c r="T5" s="429"/>
      <c r="U5" s="429"/>
      <c r="V5" s="429"/>
      <c r="W5" s="429"/>
      <c r="X5" s="429"/>
      <c r="Y5" s="428"/>
    </row>
    <row r="6" spans="1:27" s="3" customFormat="1">
      <c r="B6" s="420"/>
      <c r="C6" s="421"/>
      <c r="D6" s="498" t="s">
        <v>727</v>
      </c>
      <c r="E6" s="197">
        <v>0</v>
      </c>
      <c r="F6" s="197">
        <f t="shared" ref="F6:X6" si="1">E6+1</f>
        <v>1</v>
      </c>
      <c r="G6" s="197">
        <f t="shared" si="1"/>
        <v>2</v>
      </c>
      <c r="H6" s="197">
        <f t="shared" si="1"/>
        <v>3</v>
      </c>
      <c r="I6" s="197">
        <f t="shared" si="1"/>
        <v>4</v>
      </c>
      <c r="J6" s="197">
        <f t="shared" si="1"/>
        <v>5</v>
      </c>
      <c r="K6" s="197">
        <f t="shared" si="1"/>
        <v>6</v>
      </c>
      <c r="L6" s="197">
        <f t="shared" si="1"/>
        <v>7</v>
      </c>
      <c r="M6" s="197">
        <f t="shared" si="1"/>
        <v>8</v>
      </c>
      <c r="N6" s="197">
        <f t="shared" si="1"/>
        <v>9</v>
      </c>
      <c r="O6" s="197">
        <f t="shared" si="1"/>
        <v>10</v>
      </c>
      <c r="P6" s="197">
        <f t="shared" si="1"/>
        <v>11</v>
      </c>
      <c r="Q6" s="197">
        <f t="shared" si="1"/>
        <v>12</v>
      </c>
      <c r="R6" s="197">
        <f t="shared" si="1"/>
        <v>13</v>
      </c>
      <c r="S6" s="197">
        <f t="shared" si="1"/>
        <v>14</v>
      </c>
      <c r="T6" s="197">
        <f t="shared" si="1"/>
        <v>15</v>
      </c>
      <c r="U6" s="197">
        <f t="shared" si="1"/>
        <v>16</v>
      </c>
      <c r="V6" s="197">
        <f t="shared" si="1"/>
        <v>17</v>
      </c>
      <c r="W6" s="197">
        <f t="shared" si="1"/>
        <v>18</v>
      </c>
      <c r="X6" s="197">
        <f t="shared" si="1"/>
        <v>19</v>
      </c>
      <c r="Y6" s="422">
        <v>20</v>
      </c>
    </row>
    <row r="7" spans="1:27" s="3" customFormat="1">
      <c r="B7" s="420" t="s">
        <v>726</v>
      </c>
      <c r="C7" s="571">
        <f>D7*1000000</f>
        <v>240910918.34076837</v>
      </c>
      <c r="D7" s="493">
        <f>NPV(0.1,E7:Y7)</f>
        <v>240.91091834076838</v>
      </c>
      <c r="E7" s="441">
        <f>IF($C128=1,Benefits!D11-Benefits!D16,Benefits!D11)*'ERR &amp; Sensitivity Analysis'!D10</f>
        <v>0</v>
      </c>
      <c r="F7" s="441">
        <f>IF($C128=1,Benefits!E11-Benefits!E16,Benefits!E11)*'ERR &amp; Sensitivity Analysis'!D10</f>
        <v>0</v>
      </c>
      <c r="G7" s="441">
        <f>IF($C128=1,Benefits!F11-Benefits!F16,Benefits!F11)*'ERR &amp; Sensitivity Analysis'!D10</f>
        <v>0.64442484226935459</v>
      </c>
      <c r="H7" s="441">
        <f>IF($C128=1,Benefits!G11-Benefits!G16,Benefits!G11)*'ERR &amp; Sensitivity Analysis'!D10</f>
        <v>-16.472349125966836</v>
      </c>
      <c r="I7" s="441">
        <f>IF($C128=1,Benefits!H11-Benefits!H16,Benefits!H11)*'ERR &amp; Sensitivity Analysis'!D10</f>
        <v>8.1488080168221089</v>
      </c>
      <c r="J7" s="441">
        <f>IF($C128=1,Benefits!I11-Benefits!I16,Benefits!I11)*'ERR &amp; Sensitivity Analysis'!D10</f>
        <v>147.27541895297637</v>
      </c>
      <c r="K7" s="441">
        <f>IF($C128=1,Benefits!J11-Benefits!J16,Benefits!J11)*'ERR &amp; Sensitivity Analysis'!D10</f>
        <v>31.755793312622096</v>
      </c>
      <c r="L7" s="441">
        <f>IF($C128=1,Benefits!K11-Benefits!K16,Benefits!K11)*'ERR &amp; Sensitivity Analysis'!D10</f>
        <v>19.820059088582742</v>
      </c>
      <c r="M7" s="441">
        <f>IF($C128=1,Benefits!L11-Benefits!L16,Benefits!L11)*'ERR &amp; Sensitivity Analysis'!D10</f>
        <v>21.378391226962155</v>
      </c>
      <c r="N7" s="441">
        <f>IF($C128=1,Benefits!M11-Benefits!M16,Benefits!M11)*'ERR &amp; Sensitivity Analysis'!D10</f>
        <v>25.073935583197432</v>
      </c>
      <c r="O7" s="441">
        <f>IF($C128=1,Benefits!N11-Benefits!N16,Benefits!N11)*'ERR &amp; Sensitivity Analysis'!D10</f>
        <v>28.660772757283148</v>
      </c>
      <c r="P7" s="441">
        <f>IF($C128=1,Benefits!O11-Benefits!O16,Benefits!O11)*'ERR &amp; Sensitivity Analysis'!D10</f>
        <v>29.616676301627365</v>
      </c>
      <c r="Q7" s="441">
        <f>IF($C128=1,Benefits!P11-Benefits!P16,Benefits!P11)*'ERR &amp; Sensitivity Analysis'!D10</f>
        <v>33.112655550837552</v>
      </c>
      <c r="R7" s="441">
        <f>IF($C128=1,Benefits!Q11-Benefits!Q16,Benefits!Q11)*'ERR &amp; Sensitivity Analysis'!D10</f>
        <v>30.943811141403895</v>
      </c>
      <c r="S7" s="441">
        <f>IF($C128=1,Benefits!R11-Benefits!R16,Benefits!R11)*'ERR &amp; Sensitivity Analysis'!D10</f>
        <v>196.40869020053586</v>
      </c>
      <c r="T7" s="441">
        <f>IF($C128=1,Benefits!S11-Benefits!S16,Benefits!S11)*'ERR &amp; Sensitivity Analysis'!D10</f>
        <v>31.433367678956852</v>
      </c>
      <c r="U7" s="441">
        <f>IF($C128=1,Benefits!T11-Benefits!T16,Benefits!T11)*'ERR &amp; Sensitivity Analysis'!D10</f>
        <v>34.754532949019769</v>
      </c>
      <c r="V7" s="441">
        <f>IF($C128=1,Benefits!U11-Benefits!U16,Benefits!U11)*'ERR &amp; Sensitivity Analysis'!D10</f>
        <v>34.004662985082831</v>
      </c>
      <c r="W7" s="441">
        <f>IF($C128=1,Benefits!V11-Benefits!V16,Benefits!V11)*'ERR &amp; Sensitivity Analysis'!D10</f>
        <v>33.542069843162885</v>
      </c>
      <c r="X7" s="441">
        <f>IF($C128=1,Benefits!W11-Benefits!W16,Benefits!W11)*'ERR &amp; Sensitivity Analysis'!D10</f>
        <v>33.508064192485861</v>
      </c>
      <c r="Y7" s="1113">
        <f>IF($C128=1,Benefits!X11-Benefits!X16,Benefits!X11)*'ERR &amp; Sensitivity Analysis'!D10</f>
        <v>34.560617138162364</v>
      </c>
    </row>
    <row r="8" spans="1:27">
      <c r="B8" s="116"/>
      <c r="C8" s="201"/>
      <c r="D8" s="201"/>
      <c r="E8" s="497"/>
      <c r="F8" s="497"/>
      <c r="G8" s="497"/>
      <c r="H8" s="497"/>
      <c r="I8" s="497"/>
      <c r="J8" s="497"/>
      <c r="K8" s="497"/>
      <c r="L8" s="497"/>
      <c r="M8" s="497"/>
      <c r="N8" s="497"/>
      <c r="O8" s="497"/>
      <c r="P8" s="497"/>
      <c r="Q8" s="497"/>
      <c r="R8" s="497"/>
      <c r="S8" s="497"/>
      <c r="T8" s="497"/>
      <c r="U8" s="497"/>
      <c r="V8" s="497"/>
      <c r="W8" s="497"/>
      <c r="X8" s="497"/>
      <c r="Y8" s="115"/>
    </row>
    <row r="9" spans="1:27">
      <c r="B9" s="420" t="s">
        <v>725</v>
      </c>
      <c r="C9" s="571">
        <f>D9*1000000</f>
        <v>244455803.68710846</v>
      </c>
      <c r="D9" s="493">
        <f>NPV(0.1,E9:Y9)</f>
        <v>244.45580368710847</v>
      </c>
      <c r="E9" s="444">
        <f>(IF($C$124=1,Costs!D22,IF($C126=1,Costs!D25,Costs!D18*(1-$M$14)))+O2)*'ERR &amp; Sensitivity Analysis'!D9</f>
        <v>11.412506655003416</v>
      </c>
      <c r="F9" s="444">
        <f>IF($C$124=1,Costs!E22,IF($C126=1,Costs!E25,Costs!E18*(1-$M$14)))*'ERR &amp; Sensitivity Analysis'!D9</f>
        <v>19.973621044529942</v>
      </c>
      <c r="G9" s="444">
        <f>IF($C$124=1,Costs!F22,IF($C126=1,Costs!F25,Costs!F18*(1-$M$14)))*'ERR &amp; Sensitivity Analysis'!D9</f>
        <v>65.66334655860021</v>
      </c>
      <c r="H9" s="444">
        <f>IF($C$124=1,Costs!G22,IF($C126=1,Costs!G25,Costs!G18*(1-$M$14)))*'ERR &amp; Sensitivity Analysis'!D9</f>
        <v>80.937097108693976</v>
      </c>
      <c r="I9" s="444">
        <f>(IF($C$124=1,Costs!H22,IF($C126=1,Costs!H25,Costs!H18*(1-$M$14)))+P2)*'ERR &amp; Sensitivity Analysis'!D9</f>
        <v>95.575118391688761</v>
      </c>
      <c r="J9" s="444">
        <f>IF($C$124=1,Costs!I22,IF($C126=1,Costs!I25,Costs!I18*(1-$M$14)))*'ERR &amp; Sensitivity Analysis'!D9</f>
        <v>56.736645586689534</v>
      </c>
      <c r="K9" s="444">
        <f>IF($C$124=1,Costs!J22,IF($C126=1,Costs!J25,Costs!J18*(1-$M$14)))*'ERR &amp; Sensitivity Analysis'!D9</f>
        <v>5.0280773098952469</v>
      </c>
      <c r="L9" s="444">
        <f>IF($C$124=1,Costs!K22,IF($C126=1,Costs!K25,Costs!K18*(1-$M$14)))*'ERR &amp; Sensitivity Analysis'!D9</f>
        <v>5.0280773098952469</v>
      </c>
      <c r="M9" s="444">
        <f>IF($C$124=1,Costs!L22,IF($C126=1,Costs!L25,Costs!L18*(1-$M$14)))*'ERR &amp; Sensitivity Analysis'!D9</f>
        <v>5.0280773098952469</v>
      </c>
      <c r="N9" s="444">
        <f>IF($C$124=1,Costs!M22,IF($C126=1,Costs!M25,Costs!M18*(1-$M$14)))*'ERR &amp; Sensitivity Analysis'!D9</f>
        <v>5.0280773098952469</v>
      </c>
      <c r="O9" s="444">
        <f>IF($C$124=1,Costs!N22,IF($C126=1,Costs!N25,Costs!N18*(1-$M$14)))*'ERR &amp; Sensitivity Analysis'!D9</f>
        <v>5.0280773098952469</v>
      </c>
      <c r="P9" s="444">
        <f>IF($C$124=1,Costs!O22,IF($C126=1,Costs!O25,Costs!O18*(1-$M$14)))*'ERR &amp; Sensitivity Analysis'!D9</f>
        <v>5.0280773098952469</v>
      </c>
      <c r="Q9" s="444">
        <f>IF($C$124=1,Costs!P22,IF($C126=1,Costs!P25,Costs!P18*(1-$M$14)))*'ERR &amp; Sensitivity Analysis'!D9</f>
        <v>5.0280773098952469</v>
      </c>
      <c r="R9" s="444">
        <f>IF($C$124=1,Costs!Q22,IF($C126=1,Costs!Q25,Costs!Q18*(1-$M$14)))*'ERR &amp; Sensitivity Analysis'!D9</f>
        <v>5.0280773098952469</v>
      </c>
      <c r="S9" s="444">
        <f>IF($C$124=1,Costs!R22,IF($C126=1,Costs!R25,Costs!R18*(1-$M$14)))*'ERR &amp; Sensitivity Analysis'!D9</f>
        <v>5.0280773098952469</v>
      </c>
      <c r="T9" s="444">
        <f>IF($C$124=1,Costs!S22,IF($C126=1,Costs!S25,Costs!S18*(1-$M$14)))*'ERR &amp; Sensitivity Analysis'!D9</f>
        <v>5.0280773098952469</v>
      </c>
      <c r="U9" s="444">
        <f>IF($C$124=1,Costs!T22,IF($C126=1,Costs!T25,Costs!T18*(1-$M$14)))*'ERR &amp; Sensitivity Analysis'!D9</f>
        <v>5.0280773098952469</v>
      </c>
      <c r="V9" s="444">
        <f>IF($C$124=1,Costs!U22,IF($C126=1,Costs!U25,Costs!U18*(1-$M$14)))*'ERR &amp; Sensitivity Analysis'!D9</f>
        <v>5.0280773098952469</v>
      </c>
      <c r="W9" s="444">
        <f>IF($C$124=1,Costs!V22,IF($C126=1,Costs!V25,Costs!V18*(1-$M$14)))*'ERR &amp; Sensitivity Analysis'!D9</f>
        <v>5.0280773098952469</v>
      </c>
      <c r="X9" s="444">
        <f>IF($C$124=1,Costs!W22,IF($C126=1,Costs!W25,Costs!W18*(1-$M$14)))*'ERR &amp; Sensitivity Analysis'!D9</f>
        <v>5.0280773098952469</v>
      </c>
      <c r="Y9" s="444">
        <f>IF($C$124=1,Costs!X22,IF($C126=1,Costs!X25,Costs!X18*(1-$M$14)))*'ERR &amp; Sensitivity Analysis'!D9</f>
        <v>5.0280773098952469</v>
      </c>
      <c r="Z9" s="116"/>
    </row>
    <row r="10" spans="1:27" s="482" customFormat="1">
      <c r="A10" s="3"/>
      <c r="B10" s="420"/>
      <c r="C10" s="488"/>
      <c r="D10" s="488"/>
      <c r="E10" s="444"/>
      <c r="F10" s="495"/>
      <c r="G10" s="495"/>
      <c r="H10" s="495"/>
      <c r="I10" s="495"/>
      <c r="J10" s="495"/>
      <c r="K10" s="495"/>
      <c r="L10" s="495"/>
      <c r="M10" s="496"/>
      <c r="N10" s="495"/>
      <c r="O10" s="495"/>
      <c r="P10" s="495"/>
      <c r="Q10" s="495"/>
      <c r="R10" s="495"/>
      <c r="S10" s="495"/>
      <c r="T10" s="495"/>
      <c r="U10" s="495"/>
      <c r="V10" s="495"/>
      <c r="W10" s="495"/>
      <c r="X10" s="495"/>
      <c r="Y10" s="494"/>
      <c r="Z10" s="483"/>
      <c r="AA10" s="483"/>
    </row>
    <row r="11" spans="1:27" s="482" customFormat="1">
      <c r="B11" s="420" t="s">
        <v>724</v>
      </c>
      <c r="C11" s="488"/>
      <c r="D11" s="493">
        <f>NPV(0.1,E11:Y11)</f>
        <v>-3.5448853463402115</v>
      </c>
      <c r="E11" s="444">
        <f t="shared" ref="E11:Y11" si="2">E7-E9</f>
        <v>-11.412506655003416</v>
      </c>
      <c r="F11" s="444">
        <f t="shared" si="2"/>
        <v>-19.973621044529942</v>
      </c>
      <c r="G11" s="444">
        <f t="shared" si="2"/>
        <v>-65.018921716330851</v>
      </c>
      <c r="H11" s="444">
        <f t="shared" si="2"/>
        <v>-97.409446234660805</v>
      </c>
      <c r="I11" s="444">
        <f t="shared" si="2"/>
        <v>-87.426310374866659</v>
      </c>
      <c r="J11" s="444">
        <f t="shared" si="2"/>
        <v>90.538773366286833</v>
      </c>
      <c r="K11" s="444">
        <f t="shared" si="2"/>
        <v>26.727716002726851</v>
      </c>
      <c r="L11" s="444">
        <f t="shared" si="2"/>
        <v>14.791981778687495</v>
      </c>
      <c r="M11" s="444">
        <f t="shared" si="2"/>
        <v>16.350313917066906</v>
      </c>
      <c r="N11" s="444">
        <f t="shared" si="2"/>
        <v>20.045858273302187</v>
      </c>
      <c r="O11" s="444">
        <f t="shared" si="2"/>
        <v>23.632695447387903</v>
      </c>
      <c r="P11" s="444">
        <f t="shared" si="2"/>
        <v>24.58859899173212</v>
      </c>
      <c r="Q11" s="444">
        <f t="shared" si="2"/>
        <v>28.084578240942307</v>
      </c>
      <c r="R11" s="444">
        <f t="shared" si="2"/>
        <v>25.915733831508646</v>
      </c>
      <c r="S11" s="444">
        <f t="shared" si="2"/>
        <v>191.38061289064061</v>
      </c>
      <c r="T11" s="444">
        <f t="shared" si="2"/>
        <v>26.405290369061603</v>
      </c>
      <c r="U11" s="444">
        <f t="shared" si="2"/>
        <v>29.726455639124524</v>
      </c>
      <c r="V11" s="444">
        <f t="shared" si="2"/>
        <v>28.976585675187586</v>
      </c>
      <c r="W11" s="444">
        <f t="shared" si="2"/>
        <v>28.51399253326764</v>
      </c>
      <c r="X11" s="444">
        <f t="shared" si="2"/>
        <v>28.479986882590616</v>
      </c>
      <c r="Y11" s="443">
        <f t="shared" si="2"/>
        <v>29.532539828267119</v>
      </c>
      <c r="Z11" s="483"/>
      <c r="AA11" s="483"/>
    </row>
    <row r="12" spans="1:27" s="482" customFormat="1" ht="15" thickBot="1">
      <c r="B12" s="114"/>
      <c r="C12" s="492" t="s">
        <v>1756</v>
      </c>
      <c r="D12" s="1278">
        <f>IRR(E12:Y12)</f>
        <v>7.3096429511211314E-2</v>
      </c>
      <c r="E12" s="1277">
        <f>E11-Benefits!D35</f>
        <v>-11.412506655003416</v>
      </c>
      <c r="F12" s="1277">
        <f>F11-Benefits!E35</f>
        <v>-19.973621044529942</v>
      </c>
      <c r="G12" s="1277">
        <f>G11-Benefits!F35</f>
        <v>-65.018921716330851</v>
      </c>
      <c r="H12" s="1277">
        <f>H11-Benefits!G35</f>
        <v>-77.609446234660808</v>
      </c>
      <c r="I12" s="1277">
        <f>I11-Benefits!H35</f>
        <v>-87.326310374866665</v>
      </c>
      <c r="J12" s="1277">
        <f>J11-Benefits!I35</f>
        <v>90.638773366286827</v>
      </c>
      <c r="K12" s="1277">
        <f>K11-Benefits!J35</f>
        <v>26.827716002726852</v>
      </c>
      <c r="L12" s="1277">
        <f>L11-Benefits!K35</f>
        <v>14.891981778687494</v>
      </c>
      <c r="M12" s="1277">
        <f>M11-Benefits!L35</f>
        <v>16.450313917066907</v>
      </c>
      <c r="N12" s="1277">
        <f>N11-Benefits!M35</f>
        <v>20.145858273302188</v>
      </c>
      <c r="O12" s="1277">
        <f>O11-Benefits!N35</f>
        <v>23.732695447387904</v>
      </c>
      <c r="P12" s="1277">
        <f>P11-Benefits!O35</f>
        <v>24.688598991732121</v>
      </c>
      <c r="Q12" s="1277">
        <f>Q11-Benefits!P35</f>
        <v>28.184578240942308</v>
      </c>
      <c r="R12" s="1277">
        <f>R11-Benefits!Q35</f>
        <v>26.015733831508648</v>
      </c>
      <c r="S12" s="1277">
        <f>S11-Benefits!R35</f>
        <v>23.733586011557378</v>
      </c>
      <c r="T12" s="1277">
        <f>T11-Benefits!S35</f>
        <v>26.505290369061605</v>
      </c>
      <c r="U12" s="1277">
        <f>U11-Benefits!T35</f>
        <v>29.826455639124525</v>
      </c>
      <c r="V12" s="1277">
        <f>V11-Benefits!U35</f>
        <v>29.076585675187587</v>
      </c>
      <c r="W12" s="1277">
        <f>W11-Benefits!V35</f>
        <v>28.613992533267641</v>
      </c>
      <c r="X12" s="1277">
        <f>X11-Benefits!W35</f>
        <v>28.579986882590617</v>
      </c>
      <c r="Y12" s="1277">
        <f>Y11-Benefits!X35</f>
        <v>29.63253982826712</v>
      </c>
      <c r="Z12" s="484"/>
      <c r="AA12" s="483"/>
    </row>
    <row r="13" spans="1:27" s="482" customFormat="1" ht="15" thickBot="1">
      <c r="B13" s="366" t="s">
        <v>723</v>
      </c>
      <c r="C13" s="488"/>
      <c r="D13" s="488"/>
      <c r="E13" s="68"/>
      <c r="F13" s="487"/>
      <c r="G13" s="487"/>
      <c r="H13" s="487"/>
      <c r="I13" s="484"/>
      <c r="J13" s="282" t="s">
        <v>722</v>
      </c>
      <c r="K13" s="282" t="s">
        <v>721</v>
      </c>
      <c r="L13" s="484"/>
      <c r="M13" s="491"/>
      <c r="N13" s="484"/>
      <c r="O13" s="484"/>
      <c r="P13" s="484"/>
      <c r="Q13" s="484"/>
      <c r="R13" s="484"/>
      <c r="S13" s="484"/>
      <c r="T13" s="484"/>
      <c r="U13" s="484"/>
      <c r="V13" s="484"/>
      <c r="W13" s="484"/>
      <c r="X13" s="484"/>
      <c r="Y13" s="484"/>
      <c r="Z13" s="484"/>
      <c r="AA13" s="483"/>
    </row>
    <row r="14" spans="1:27" s="482" customFormat="1">
      <c r="A14" s="462">
        <v>1</v>
      </c>
      <c r="B14" s="490" t="s">
        <v>698</v>
      </c>
      <c r="C14" s="489">
        <v>1</v>
      </c>
      <c r="D14" s="488"/>
      <c r="E14" s="68"/>
      <c r="F14" s="487"/>
      <c r="G14" s="487"/>
      <c r="H14" s="487"/>
      <c r="I14" s="484"/>
      <c r="J14" s="452">
        <v>1</v>
      </c>
      <c r="K14" s="481">
        <v>1</v>
      </c>
      <c r="L14" s="484"/>
      <c r="M14" s="486">
        <v>0</v>
      </c>
      <c r="N14" s="485" t="s">
        <v>720</v>
      </c>
      <c r="O14" s="484"/>
      <c r="P14" s="484"/>
      <c r="Q14" s="484"/>
      <c r="R14" s="484"/>
      <c r="S14" s="484"/>
      <c r="T14" s="484"/>
      <c r="U14" s="484"/>
      <c r="V14" s="484"/>
      <c r="W14" s="484"/>
      <c r="X14" s="484"/>
      <c r="Y14" s="484"/>
      <c r="Z14" s="484"/>
      <c r="AA14" s="483"/>
    </row>
    <row r="15" spans="1:27">
      <c r="A15" s="462">
        <v>2</v>
      </c>
      <c r="B15" s="477" t="s">
        <v>697</v>
      </c>
      <c r="C15" s="476">
        <v>1</v>
      </c>
      <c r="D15" s="229"/>
      <c r="E15" s="229"/>
      <c r="F15" s="229"/>
      <c r="I15" s="449"/>
      <c r="J15" s="452">
        <v>1</v>
      </c>
      <c r="K15" s="481">
        <v>1</v>
      </c>
    </row>
    <row r="16" spans="1:27">
      <c r="A16" s="462">
        <v>3</v>
      </c>
      <c r="B16" s="477" t="s">
        <v>696</v>
      </c>
      <c r="C16" s="476">
        <v>1</v>
      </c>
      <c r="D16" s="229"/>
      <c r="E16" s="229"/>
      <c r="F16" s="229"/>
      <c r="G16" s="1338"/>
      <c r="H16" s="1339"/>
      <c r="I16" s="1339"/>
      <c r="J16" s="452">
        <v>1</v>
      </c>
      <c r="K16" s="481">
        <v>1</v>
      </c>
      <c r="N16" s="1">
        <f>-16.2</f>
        <v>-16.2</v>
      </c>
      <c r="O16" s="1">
        <v>24.3</v>
      </c>
      <c r="P16" s="1">
        <v>12.8</v>
      </c>
    </row>
    <row r="17" spans="1:25">
      <c r="A17" s="462">
        <v>4</v>
      </c>
      <c r="B17" s="477" t="s">
        <v>695</v>
      </c>
      <c r="C17" s="480">
        <v>0</v>
      </c>
      <c r="F17" s="68"/>
      <c r="G17" s="1340"/>
      <c r="H17" s="1340"/>
      <c r="I17" s="1340"/>
      <c r="J17" s="452">
        <v>0</v>
      </c>
      <c r="K17" s="452">
        <v>0</v>
      </c>
      <c r="O17" s="1">
        <f>N16+O16</f>
        <v>8.1000000000000014</v>
      </c>
      <c r="P17" s="1">
        <f>O17+P16</f>
        <v>20.900000000000002</v>
      </c>
    </row>
    <row r="18" spans="1:25" ht="15" customHeight="1">
      <c r="A18" s="462">
        <v>5</v>
      </c>
      <c r="B18" s="477" t="s">
        <v>719</v>
      </c>
      <c r="C18" s="480">
        <v>0</v>
      </c>
      <c r="E18" s="229"/>
      <c r="F18" s="479" t="s">
        <v>718</v>
      </c>
      <c r="G18" s="478">
        <v>0</v>
      </c>
      <c r="H18" s="132" t="s">
        <v>717</v>
      </c>
      <c r="I18" s="449"/>
      <c r="J18" s="452">
        <v>1</v>
      </c>
      <c r="K18" s="452">
        <v>0</v>
      </c>
      <c r="L18" s="1" t="s">
        <v>716</v>
      </c>
    </row>
    <row r="19" spans="1:25">
      <c r="A19" s="462">
        <v>6</v>
      </c>
      <c r="B19" s="477" t="s">
        <v>694</v>
      </c>
      <c r="C19" s="476">
        <v>1</v>
      </c>
      <c r="G19" s="449"/>
      <c r="H19" s="448" t="s">
        <v>715</v>
      </c>
      <c r="I19" s="229"/>
      <c r="J19" s="452">
        <v>0</v>
      </c>
      <c r="K19" s="465">
        <v>1</v>
      </c>
    </row>
    <row r="20" spans="1:25" ht="15" thickBot="1">
      <c r="A20" s="462">
        <v>7</v>
      </c>
      <c r="B20" s="434" t="s">
        <v>693</v>
      </c>
      <c r="C20" s="475">
        <v>0</v>
      </c>
      <c r="G20" s="449"/>
      <c r="H20" s="467">
        <v>-8.7332950247636418</v>
      </c>
      <c r="I20" s="229"/>
      <c r="J20" s="452">
        <v>0</v>
      </c>
      <c r="K20" s="451">
        <v>0</v>
      </c>
      <c r="M20" s="3" t="s">
        <v>714</v>
      </c>
    </row>
    <row r="21" spans="1:25">
      <c r="B21" s="1334" t="s">
        <v>713</v>
      </c>
      <c r="C21" s="1334"/>
      <c r="D21" s="474">
        <v>0</v>
      </c>
      <c r="E21" s="282" t="s">
        <v>692</v>
      </c>
      <c r="F21" s="229"/>
      <c r="H21" s="467">
        <v>32.40205103976146</v>
      </c>
      <c r="I21" s="471"/>
      <c r="J21" s="470">
        <v>0</v>
      </c>
      <c r="K21" s="469">
        <v>0</v>
      </c>
      <c r="M21" s="459">
        <v>1</v>
      </c>
      <c r="N21" s="1" t="s">
        <v>712</v>
      </c>
    </row>
    <row r="22" spans="1:25" ht="15" thickBot="1">
      <c r="B22" s="1334"/>
      <c r="C22" s="1334"/>
      <c r="D22" s="473">
        <v>0</v>
      </c>
      <c r="E22" s="282" t="s">
        <v>158</v>
      </c>
      <c r="F22" s="229"/>
      <c r="G22" s="449"/>
      <c r="H22" s="467">
        <v>23.933313667076838</v>
      </c>
      <c r="I22" s="471"/>
      <c r="J22" s="470">
        <v>0</v>
      </c>
      <c r="K22" s="469">
        <v>0</v>
      </c>
      <c r="M22" s="459">
        <v>1</v>
      </c>
      <c r="N22" s="1" t="s">
        <v>711</v>
      </c>
    </row>
    <row r="23" spans="1:25" ht="15" thickBot="1">
      <c r="B23" s="210" t="s">
        <v>690</v>
      </c>
      <c r="D23" s="9"/>
      <c r="E23" s="282"/>
      <c r="G23" s="442" t="s">
        <v>710</v>
      </c>
      <c r="H23" s="472">
        <v>19.936114771034479</v>
      </c>
      <c r="I23" s="471" t="s">
        <v>709</v>
      </c>
      <c r="J23" s="470"/>
      <c r="K23" s="469"/>
      <c r="M23" s="459">
        <v>1</v>
      </c>
      <c r="N23" s="1" t="s">
        <v>708</v>
      </c>
    </row>
    <row r="24" spans="1:25">
      <c r="B24" s="438" t="s">
        <v>50</v>
      </c>
      <c r="C24" s="468">
        <v>0</v>
      </c>
      <c r="D24" s="9"/>
      <c r="E24" s="282"/>
      <c r="G24" s="237">
        <v>63.862358604003738</v>
      </c>
      <c r="H24" s="467">
        <f>SUM(H20:H23)</f>
        <v>67.538184453109139</v>
      </c>
      <c r="I24" s="236">
        <f>G24-H24</f>
        <v>-3.6758258491054008</v>
      </c>
      <c r="J24" s="452">
        <v>0</v>
      </c>
      <c r="K24" s="451">
        <v>0</v>
      </c>
      <c r="M24" s="459">
        <f>'Health-Stunting'!C45</f>
        <v>1</v>
      </c>
      <c r="N24" s="1" t="s">
        <v>707</v>
      </c>
    </row>
    <row r="25" spans="1:25" ht="15" thickBot="1">
      <c r="A25" s="462">
        <v>8</v>
      </c>
      <c r="B25" s="434" t="s">
        <v>51</v>
      </c>
      <c r="C25" s="466">
        <v>1</v>
      </c>
      <c r="D25" s="9"/>
      <c r="E25" s="282"/>
      <c r="F25" s="229"/>
      <c r="G25" s="449"/>
      <c r="H25" s="448"/>
      <c r="I25" s="229"/>
      <c r="J25" s="452">
        <v>1</v>
      </c>
      <c r="K25" s="465">
        <v>1</v>
      </c>
      <c r="M25" s="459">
        <f>'Travel Time Analysis'!E65</f>
        <v>1</v>
      </c>
      <c r="N25" s="1" t="s">
        <v>706</v>
      </c>
    </row>
    <row r="26" spans="1:25" ht="15" thickBot="1">
      <c r="A26" s="462"/>
      <c r="B26" s="464" t="s">
        <v>705</v>
      </c>
      <c r="C26" s="463"/>
      <c r="D26" s="9"/>
      <c r="E26" s="282"/>
      <c r="F26" s="229"/>
      <c r="G26" s="449"/>
      <c r="H26" s="448"/>
      <c r="I26" s="229"/>
      <c r="J26" s="452"/>
      <c r="K26" s="292"/>
      <c r="M26" s="459">
        <f>'Time Savings'!H75</f>
        <v>1</v>
      </c>
      <c r="N26" s="1" t="s">
        <v>704</v>
      </c>
    </row>
    <row r="27" spans="1:25" ht="15" thickBot="1">
      <c r="A27" s="462"/>
      <c r="B27" s="461" t="s">
        <v>703</v>
      </c>
      <c r="C27" s="460">
        <v>0</v>
      </c>
      <c r="D27" s="241" t="s">
        <v>700</v>
      </c>
      <c r="E27" s="282"/>
      <c r="F27" s="229"/>
      <c r="G27" s="449"/>
      <c r="H27" s="448"/>
      <c r="I27" s="229"/>
      <c r="J27" s="452">
        <v>0</v>
      </c>
      <c r="K27" s="292">
        <v>0</v>
      </c>
      <c r="M27" s="459">
        <f>NRW!F53</f>
        <v>1</v>
      </c>
      <c r="N27" s="1" t="s">
        <v>702</v>
      </c>
    </row>
    <row r="28" spans="1:25" ht="15" thickBot="1">
      <c r="B28" s="458" t="s">
        <v>701</v>
      </c>
      <c r="C28" s="457">
        <v>0</v>
      </c>
      <c r="D28" s="241" t="s">
        <v>700</v>
      </c>
      <c r="E28" s="282"/>
      <c r="F28" s="229"/>
      <c r="G28" s="449"/>
      <c r="H28" s="448"/>
      <c r="I28" s="237"/>
      <c r="J28" s="452">
        <v>0</v>
      </c>
      <c r="K28" s="451">
        <v>0</v>
      </c>
      <c r="M28" s="456">
        <f>NRW!K45</f>
        <v>1</v>
      </c>
      <c r="N28" s="1" t="s">
        <v>699</v>
      </c>
    </row>
    <row r="29" spans="1:25" ht="15" thickBot="1">
      <c r="B29" s="455"/>
      <c r="C29" s="200"/>
      <c r="D29" s="241"/>
      <c r="E29" s="282"/>
      <c r="F29" s="229"/>
      <c r="G29" s="449"/>
      <c r="H29" s="448"/>
      <c r="I29" s="454"/>
      <c r="J29" s="452"/>
      <c r="K29" s="451"/>
      <c r="M29" s="453">
        <f>PRODUCT(M21:M28)</f>
        <v>1</v>
      </c>
    </row>
    <row r="30" spans="1:25">
      <c r="B30" s="972" t="s">
        <v>1396</v>
      </c>
      <c r="C30" s="71">
        <v>120.35125714285712</v>
      </c>
      <c r="D30" s="1">
        <v>0</v>
      </c>
      <c r="E30" s="879" t="s">
        <v>1398</v>
      </c>
      <c r="F30" s="229"/>
      <c r="G30" s="449"/>
      <c r="H30" s="448"/>
      <c r="I30" s="229"/>
      <c r="J30" s="452"/>
      <c r="K30" s="451"/>
      <c r="M30" s="171"/>
    </row>
    <row r="31" spans="1:25">
      <c r="B31" s="201"/>
      <c r="C31" s="200">
        <v>5</v>
      </c>
      <c r="D31" s="241">
        <v>1</v>
      </c>
      <c r="E31" s="282" t="s">
        <v>1422</v>
      </c>
      <c r="F31" s="229"/>
      <c r="G31" s="449"/>
      <c r="H31" s="448"/>
      <c r="I31" s="229"/>
      <c r="J31" s="452"/>
      <c r="K31" s="451"/>
    </row>
    <row r="32" spans="1:25">
      <c r="B32" s="201"/>
      <c r="C32" s="200"/>
      <c r="D32" s="241"/>
      <c r="E32" s="282"/>
      <c r="F32" s="229"/>
      <c r="G32" s="449"/>
      <c r="H32" s="448"/>
      <c r="I32" s="229"/>
      <c r="J32" s="450"/>
      <c r="K32" s="992">
        <f>14.7*0.75</f>
        <v>11.024999999999999</v>
      </c>
      <c r="L32" s="210"/>
      <c r="M32" s="210"/>
      <c r="N32" s="210"/>
      <c r="O32" s="210"/>
      <c r="P32" s="210"/>
      <c r="Q32" s="210"/>
      <c r="R32" s="210"/>
      <c r="S32" s="210"/>
      <c r="T32" s="210"/>
      <c r="U32" s="210"/>
      <c r="V32" s="210"/>
      <c r="W32" s="210"/>
      <c r="X32" s="210"/>
      <c r="Y32" s="210"/>
    </row>
    <row r="33" spans="2:25">
      <c r="B33" s="1099" t="s">
        <v>1639</v>
      </c>
      <c r="C33" s="6"/>
      <c r="D33" s="6"/>
      <c r="E33" s="1068"/>
      <c r="F33" s="441"/>
      <c r="G33" s="441"/>
      <c r="H33" s="441"/>
      <c r="I33" s="441"/>
      <c r="J33" s="441"/>
      <c r="K33" s="441"/>
      <c r="L33" s="441"/>
      <c r="M33" s="441"/>
      <c r="N33" s="441"/>
      <c r="O33" s="441"/>
      <c r="P33" s="441"/>
      <c r="Q33" s="441"/>
      <c r="R33" s="441"/>
      <c r="S33" s="441"/>
      <c r="T33" s="441"/>
      <c r="U33" s="441"/>
      <c r="V33" s="441"/>
      <c r="W33" s="441"/>
      <c r="X33" s="441"/>
      <c r="Y33" s="441"/>
    </row>
    <row r="34" spans="2:25">
      <c r="B34" s="1" t="s">
        <v>1327</v>
      </c>
      <c r="C34" s="879" t="s">
        <v>1346</v>
      </c>
      <c r="D34" s="879" t="s">
        <v>787</v>
      </c>
      <c r="E34" s="879" t="s">
        <v>906</v>
      </c>
      <c r="F34" s="441"/>
      <c r="G34" s="963" t="s">
        <v>1329</v>
      </c>
      <c r="H34" s="441"/>
      <c r="I34" s="441"/>
      <c r="J34" s="441"/>
      <c r="K34" s="441"/>
      <c r="L34" s="441"/>
      <c r="M34" s="441"/>
      <c r="N34" s="441"/>
      <c r="O34" s="441"/>
      <c r="P34" s="441"/>
      <c r="Q34" s="441"/>
      <c r="R34" s="441"/>
      <c r="S34" s="441"/>
      <c r="T34" s="441"/>
      <c r="U34" s="441"/>
      <c r="V34" s="441"/>
      <c r="W34" s="441"/>
      <c r="X34" s="441"/>
      <c r="Y34" s="441"/>
    </row>
    <row r="35" spans="2:25">
      <c r="C35" s="1">
        <v>1</v>
      </c>
      <c r="D35" s="1">
        <v>0</v>
      </c>
      <c r="E35" s="879">
        <v>0</v>
      </c>
      <c r="F35" s="441"/>
      <c r="G35" s="441"/>
      <c r="H35" s="441"/>
      <c r="I35" s="441"/>
      <c r="J35" s="441"/>
      <c r="K35" s="441"/>
      <c r="L35" s="441"/>
      <c r="M35" s="441"/>
      <c r="N35" s="441"/>
      <c r="O35" s="441"/>
      <c r="P35" s="441"/>
      <c r="Q35" s="441"/>
      <c r="R35" s="441"/>
      <c r="S35" s="441"/>
      <c r="T35" s="441"/>
      <c r="U35" s="441"/>
      <c r="V35" s="441"/>
      <c r="W35" s="441"/>
      <c r="X35" s="441"/>
      <c r="Y35" s="441"/>
    </row>
    <row r="36" spans="2:25">
      <c r="B36" s="1" t="s">
        <v>1328</v>
      </c>
      <c r="C36" s="204" t="s">
        <v>899</v>
      </c>
      <c r="D36" s="201" t="s">
        <v>1350</v>
      </c>
      <c r="E36" s="962" t="s">
        <v>900</v>
      </c>
      <c r="F36" s="441"/>
      <c r="G36" s="441"/>
      <c r="H36" s="441"/>
      <c r="I36" s="441"/>
      <c r="J36" s="441"/>
      <c r="K36" s="441"/>
      <c r="L36" s="441"/>
      <c r="M36" s="441"/>
      <c r="N36" s="441"/>
      <c r="O36" s="441"/>
      <c r="P36" s="441"/>
      <c r="Q36" s="441"/>
      <c r="R36" s="441"/>
      <c r="S36" s="441"/>
      <c r="T36" s="441"/>
      <c r="U36" s="441"/>
      <c r="V36" s="441"/>
      <c r="W36" s="441"/>
      <c r="X36" s="441"/>
      <c r="Y36" s="441"/>
    </row>
    <row r="37" spans="2:25">
      <c r="C37" s="1">
        <v>0</v>
      </c>
      <c r="D37" s="1">
        <v>1</v>
      </c>
      <c r="E37" s="879">
        <v>0</v>
      </c>
      <c r="F37" s="441"/>
      <c r="G37" s="441"/>
      <c r="H37" s="441"/>
      <c r="I37" s="441"/>
      <c r="J37" s="441"/>
      <c r="K37" s="441"/>
      <c r="L37" s="441"/>
      <c r="M37" s="441"/>
      <c r="N37" s="441"/>
      <c r="O37" s="441"/>
      <c r="P37" s="441"/>
      <c r="Q37" s="441"/>
      <c r="R37" s="441"/>
      <c r="S37" s="441"/>
      <c r="T37" s="441"/>
      <c r="U37" s="441"/>
      <c r="V37" s="441"/>
      <c r="W37" s="441"/>
      <c r="X37" s="441"/>
      <c r="Y37" s="441"/>
    </row>
    <row r="38" spans="2:25">
      <c r="E38" s="441"/>
      <c r="F38" s="441"/>
      <c r="G38" s="441"/>
      <c r="H38" s="441"/>
      <c r="I38" s="441"/>
      <c r="J38" s="441"/>
      <c r="K38" s="441"/>
      <c r="L38" s="441"/>
      <c r="M38" s="441"/>
      <c r="N38" s="441"/>
      <c r="O38" s="441"/>
      <c r="P38" s="441"/>
      <c r="Q38" s="441"/>
      <c r="R38" s="441"/>
      <c r="S38" s="441"/>
      <c r="T38" s="441"/>
      <c r="U38" s="441"/>
      <c r="V38" s="441"/>
      <c r="W38" s="441"/>
      <c r="X38" s="441"/>
      <c r="Y38" s="441"/>
    </row>
    <row r="39" spans="2:25">
      <c r="B39" s="1" t="s">
        <v>1360</v>
      </c>
      <c r="E39" s="441"/>
      <c r="F39" s="441"/>
      <c r="G39" s="441"/>
      <c r="H39" s="441"/>
      <c r="I39" s="441"/>
      <c r="J39" s="441"/>
      <c r="K39" s="441"/>
      <c r="L39" s="441"/>
      <c r="M39" s="441"/>
      <c r="N39" s="441"/>
      <c r="O39" s="441"/>
      <c r="P39" s="441"/>
      <c r="Q39" s="441"/>
      <c r="R39" s="441"/>
      <c r="S39" s="441"/>
      <c r="T39" s="441"/>
      <c r="U39" s="441"/>
      <c r="V39" s="441"/>
      <c r="W39" s="441"/>
      <c r="X39" s="441"/>
      <c r="Y39" s="441"/>
    </row>
    <row r="40" spans="2:25" s="879" customFormat="1">
      <c r="B40" s="879" t="s">
        <v>1369</v>
      </c>
      <c r="C40" s="879" t="s">
        <v>1370</v>
      </c>
      <c r="E40" s="441"/>
      <c r="F40" s="441"/>
      <c r="G40" s="441"/>
      <c r="H40" s="441"/>
      <c r="I40" s="441"/>
      <c r="J40" s="441"/>
      <c r="K40" s="441"/>
      <c r="L40" s="441"/>
      <c r="M40" s="441"/>
      <c r="N40" s="441"/>
      <c r="O40" s="441"/>
      <c r="P40" s="441"/>
      <c r="Q40" s="441"/>
      <c r="R40" s="441"/>
      <c r="S40" s="441"/>
      <c r="T40" s="441"/>
      <c r="U40" s="441"/>
      <c r="V40" s="441"/>
      <c r="W40" s="441"/>
      <c r="X40" s="441"/>
      <c r="Y40" s="441"/>
    </row>
    <row r="41" spans="2:25">
      <c r="B41" s="1" t="s">
        <v>1361</v>
      </c>
      <c r="C41" s="1" t="s">
        <v>1362</v>
      </c>
      <c r="E41" s="441"/>
      <c r="F41" s="441"/>
      <c r="G41" s="441"/>
      <c r="H41" s="441"/>
      <c r="I41" s="441"/>
      <c r="J41" s="441"/>
      <c r="K41" s="441"/>
      <c r="L41" s="441"/>
      <c r="M41" s="441"/>
      <c r="N41" s="441"/>
      <c r="O41" s="441"/>
      <c r="P41" s="441"/>
      <c r="Q41" s="441"/>
      <c r="R41" s="441"/>
      <c r="S41" s="441"/>
      <c r="T41" s="441"/>
      <c r="U41" s="441"/>
      <c r="V41" s="441"/>
      <c r="W41" s="441"/>
      <c r="X41" s="441"/>
      <c r="Y41" s="441"/>
    </row>
    <row r="42" spans="2:25">
      <c r="C42" s="1" t="s">
        <v>1368</v>
      </c>
      <c r="E42" s="441"/>
      <c r="F42" s="441"/>
      <c r="G42" s="441"/>
      <c r="H42" s="441"/>
      <c r="I42" s="441"/>
      <c r="J42" s="441"/>
      <c r="K42" s="441"/>
      <c r="L42" s="441"/>
      <c r="M42" s="441"/>
      <c r="N42" s="441"/>
      <c r="O42" s="441"/>
      <c r="P42" s="441"/>
      <c r="Q42" s="441"/>
      <c r="R42" s="441"/>
      <c r="S42" s="441"/>
      <c r="T42" s="441"/>
      <c r="U42" s="441"/>
      <c r="V42" s="441"/>
      <c r="W42" s="441"/>
      <c r="X42" s="441"/>
      <c r="Y42" s="441"/>
    </row>
    <row r="43" spans="2:25" s="879" customFormat="1">
      <c r="C43" s="879" t="s">
        <v>1372</v>
      </c>
      <c r="E43" s="441"/>
      <c r="F43" s="441"/>
      <c r="G43" s="441"/>
      <c r="H43" s="441"/>
      <c r="I43" s="441"/>
      <c r="J43" s="441"/>
      <c r="K43" s="441"/>
      <c r="L43" s="441"/>
      <c r="M43" s="441"/>
      <c r="N43" s="441"/>
      <c r="O43" s="441"/>
      <c r="P43" s="441"/>
      <c r="Q43" s="441"/>
      <c r="R43" s="441"/>
      <c r="S43" s="441"/>
      <c r="T43" s="441"/>
      <c r="U43" s="441"/>
      <c r="V43" s="441"/>
      <c r="W43" s="441"/>
      <c r="X43" s="441"/>
      <c r="Y43" s="441"/>
    </row>
    <row r="44" spans="2:25" s="879" customFormat="1">
      <c r="C44" s="879" t="s">
        <v>1420</v>
      </c>
      <c r="E44" s="441"/>
      <c r="F44" s="441"/>
      <c r="G44" s="441"/>
      <c r="H44" s="441"/>
      <c r="I44" s="441"/>
      <c r="J44" s="441"/>
      <c r="K44" s="441"/>
      <c r="L44" s="441"/>
      <c r="M44" s="441"/>
      <c r="N44" s="441"/>
      <c r="O44" s="441"/>
      <c r="P44" s="441"/>
      <c r="Q44" s="441"/>
      <c r="R44" s="441"/>
      <c r="S44" s="441"/>
      <c r="T44" s="441"/>
      <c r="U44" s="441"/>
      <c r="V44" s="441"/>
      <c r="W44" s="441"/>
      <c r="X44" s="441"/>
      <c r="Y44" s="441"/>
    </row>
    <row r="45" spans="2:25" s="879" customFormat="1">
      <c r="C45" s="879" t="s">
        <v>1421</v>
      </c>
      <c r="E45" s="441"/>
      <c r="F45" s="441"/>
      <c r="G45" s="441"/>
      <c r="H45" s="441"/>
      <c r="I45" s="441"/>
      <c r="J45" s="441"/>
      <c r="K45" s="441"/>
      <c r="L45" s="441"/>
      <c r="M45" s="441"/>
      <c r="N45" s="441"/>
      <c r="O45" s="441"/>
      <c r="P45" s="441"/>
      <c r="Q45" s="441"/>
      <c r="R45" s="441"/>
      <c r="S45" s="441"/>
      <c r="T45" s="441"/>
      <c r="U45" s="441"/>
      <c r="V45" s="441"/>
      <c r="W45" s="441"/>
      <c r="X45" s="441"/>
      <c r="Y45" s="441"/>
    </row>
    <row r="46" spans="2:25" s="879" customFormat="1">
      <c r="C46" s="879">
        <v>120</v>
      </c>
      <c r="D46" s="879">
        <v>5</v>
      </c>
      <c r="E46" s="441"/>
      <c r="F46" s="441"/>
      <c r="G46" s="441"/>
      <c r="H46" s="441"/>
      <c r="I46" s="441"/>
      <c r="J46" s="441"/>
      <c r="K46" s="441"/>
      <c r="L46" s="441"/>
      <c r="M46" s="441"/>
      <c r="N46" s="441"/>
      <c r="O46" s="441"/>
      <c r="P46" s="441"/>
      <c r="Q46" s="441"/>
      <c r="R46" s="441"/>
      <c r="S46" s="441"/>
      <c r="T46" s="441"/>
      <c r="U46" s="441"/>
      <c r="V46" s="441"/>
      <c r="W46" s="441"/>
      <c r="X46" s="441"/>
      <c r="Y46" s="441"/>
    </row>
    <row r="47" spans="2:25" s="879" customFormat="1">
      <c r="C47" s="879">
        <v>0</v>
      </c>
      <c r="D47" s="879">
        <v>1</v>
      </c>
      <c r="E47" s="441"/>
      <c r="F47" s="441"/>
      <c r="G47" s="441"/>
      <c r="H47" s="441"/>
      <c r="I47" s="441"/>
      <c r="J47" s="441"/>
      <c r="K47" s="441"/>
      <c r="L47" s="441"/>
      <c r="M47" s="441"/>
      <c r="N47" s="441"/>
      <c r="O47" s="441"/>
      <c r="P47" s="441"/>
      <c r="Q47" s="441"/>
      <c r="R47" s="441"/>
      <c r="S47" s="441"/>
      <c r="T47" s="441"/>
      <c r="U47" s="441"/>
      <c r="V47" s="441"/>
      <c r="W47" s="441"/>
      <c r="X47" s="441"/>
      <c r="Y47" s="441"/>
    </row>
    <row r="48" spans="2:25" s="879" customFormat="1">
      <c r="B48" s="976">
        <v>41695</v>
      </c>
      <c r="C48" s="879" t="s">
        <v>1423</v>
      </c>
      <c r="E48" s="441"/>
      <c r="F48" s="441"/>
      <c r="G48" s="441"/>
      <c r="H48" s="441"/>
      <c r="I48" s="441"/>
      <c r="J48" s="441"/>
      <c r="K48" s="441"/>
      <c r="L48" s="441"/>
      <c r="M48" s="441"/>
      <c r="N48" s="441"/>
      <c r="O48" s="441"/>
      <c r="P48" s="441"/>
      <c r="Q48" s="441"/>
      <c r="R48" s="441"/>
      <c r="S48" s="441"/>
      <c r="T48" s="441"/>
      <c r="U48" s="441"/>
      <c r="V48" s="441"/>
      <c r="W48" s="441"/>
      <c r="X48" s="441"/>
      <c r="Y48" s="441"/>
    </row>
    <row r="49" spans="2:25">
      <c r="B49" s="1" t="s">
        <v>1363</v>
      </c>
      <c r="C49" s="1" t="s">
        <v>1364</v>
      </c>
      <c r="E49" s="441"/>
      <c r="F49" s="441"/>
      <c r="G49" s="441"/>
      <c r="H49" s="441"/>
      <c r="I49" s="441"/>
      <c r="J49" s="441"/>
      <c r="K49" s="441"/>
      <c r="L49" s="441"/>
      <c r="M49" s="441"/>
      <c r="N49" s="441"/>
      <c r="O49" s="441"/>
      <c r="P49" s="441"/>
      <c r="Q49" s="441"/>
      <c r="R49" s="441"/>
      <c r="S49" s="441"/>
      <c r="T49" s="441"/>
      <c r="U49" s="441"/>
      <c r="V49" s="441"/>
      <c r="W49" s="441"/>
      <c r="X49" s="441"/>
      <c r="Y49" s="441"/>
    </row>
    <row r="50" spans="2:25">
      <c r="C50" s="1" t="s">
        <v>1365</v>
      </c>
      <c r="E50" s="441"/>
      <c r="F50" s="441"/>
      <c r="G50" s="441"/>
      <c r="H50" s="441"/>
      <c r="I50" s="441"/>
      <c r="J50" s="441"/>
      <c r="K50" s="441"/>
      <c r="L50" s="441"/>
      <c r="M50" s="441"/>
      <c r="N50" s="441"/>
      <c r="O50" s="441"/>
      <c r="P50" s="441"/>
      <c r="Q50" s="441"/>
      <c r="R50" s="441"/>
      <c r="S50" s="441"/>
      <c r="T50" s="441"/>
      <c r="U50" s="441"/>
      <c r="V50" s="441"/>
      <c r="W50" s="441"/>
      <c r="X50" s="441"/>
      <c r="Y50" s="441"/>
    </row>
    <row r="51" spans="2:25">
      <c r="C51" s="1" t="s">
        <v>1366</v>
      </c>
      <c r="E51" s="441"/>
      <c r="F51" s="441"/>
      <c r="G51" s="441"/>
      <c r="H51" s="441"/>
      <c r="I51" s="441"/>
      <c r="J51" s="441"/>
      <c r="K51" s="441"/>
      <c r="L51" s="441"/>
      <c r="M51" s="441"/>
      <c r="N51" s="441"/>
      <c r="O51" s="441"/>
      <c r="P51" s="441"/>
      <c r="Q51" s="441"/>
      <c r="R51" s="441"/>
      <c r="S51" s="441"/>
      <c r="T51" s="441"/>
      <c r="U51" s="441"/>
      <c r="V51" s="441"/>
      <c r="W51" s="441"/>
      <c r="X51" s="441"/>
      <c r="Y51" s="441"/>
    </row>
    <row r="52" spans="2:25">
      <c r="C52" s="1" t="s">
        <v>1367</v>
      </c>
      <c r="E52" s="441"/>
      <c r="F52" s="441"/>
      <c r="G52" s="441"/>
      <c r="H52" s="441"/>
      <c r="I52" s="441"/>
      <c r="J52" s="441"/>
      <c r="K52" s="441"/>
      <c r="L52" s="441"/>
      <c r="M52" s="441"/>
      <c r="N52" s="441"/>
      <c r="O52" s="441"/>
      <c r="P52" s="441"/>
      <c r="Q52" s="441"/>
      <c r="R52" s="441"/>
      <c r="S52" s="441"/>
      <c r="T52" s="441"/>
      <c r="U52" s="441"/>
      <c r="V52" s="441"/>
      <c r="W52" s="441"/>
      <c r="X52" s="441"/>
      <c r="Y52" s="441"/>
    </row>
    <row r="53" spans="2:25" s="879" customFormat="1">
      <c r="B53" s="976">
        <v>41764</v>
      </c>
      <c r="C53" s="879" t="s">
        <v>1479</v>
      </c>
      <c r="E53" s="441"/>
      <c r="F53" s="441"/>
      <c r="G53" s="441"/>
      <c r="H53" s="441"/>
      <c r="I53" s="441"/>
      <c r="J53" s="441"/>
      <c r="K53" s="441"/>
      <c r="L53" s="441"/>
      <c r="M53" s="441"/>
      <c r="N53" s="441"/>
      <c r="O53" s="441"/>
      <c r="P53" s="441"/>
      <c r="Q53" s="441"/>
      <c r="R53" s="441"/>
      <c r="S53" s="441"/>
      <c r="T53" s="441"/>
      <c r="U53" s="441"/>
      <c r="V53" s="441"/>
      <c r="W53" s="441"/>
      <c r="X53" s="441"/>
      <c r="Y53" s="441"/>
    </row>
    <row r="54" spans="2:25">
      <c r="B54" s="1" t="s">
        <v>1371</v>
      </c>
      <c r="C54" s="1" t="s">
        <v>1373</v>
      </c>
      <c r="E54" s="441"/>
      <c r="F54" s="441"/>
      <c r="G54" s="441"/>
      <c r="H54" s="441"/>
      <c r="I54" s="441"/>
      <c r="J54" s="441"/>
      <c r="K54" s="441"/>
    </row>
    <row r="55" spans="2:25" s="879" customFormat="1">
      <c r="B55" s="1181"/>
      <c r="C55" s="879" t="s">
        <v>1387</v>
      </c>
      <c r="E55" s="441"/>
      <c r="F55" s="441"/>
      <c r="G55" s="441"/>
      <c r="H55" s="441"/>
      <c r="I55" s="441"/>
      <c r="J55" s="441"/>
      <c r="K55" s="441"/>
    </row>
    <row r="56" spans="2:25" s="879" customFormat="1">
      <c r="B56" s="1138" t="s">
        <v>1596</v>
      </c>
      <c r="E56" s="441"/>
      <c r="F56" s="441"/>
      <c r="G56" s="441"/>
      <c r="H56" s="441"/>
      <c r="I56" s="441"/>
      <c r="J56" s="441"/>
      <c r="K56" s="441"/>
    </row>
    <row r="57" spans="2:25" s="879" customFormat="1">
      <c r="B57" s="1138" t="s">
        <v>1419</v>
      </c>
      <c r="E57" s="441"/>
      <c r="F57" s="441"/>
      <c r="G57" s="441"/>
      <c r="H57" s="441"/>
      <c r="I57" s="441"/>
      <c r="J57" s="441"/>
      <c r="K57" s="441"/>
    </row>
    <row r="58" spans="2:25" s="879" customFormat="1">
      <c r="B58" s="1138" t="s">
        <v>1489</v>
      </c>
      <c r="E58" s="441"/>
      <c r="F58" s="441"/>
      <c r="G58" s="441"/>
      <c r="H58" s="441"/>
      <c r="I58" s="441"/>
      <c r="J58" s="441"/>
      <c r="K58" s="441"/>
    </row>
    <row r="59" spans="2:25" s="879" customFormat="1">
      <c r="B59" s="1138" t="s">
        <v>1492</v>
      </c>
      <c r="E59" s="441"/>
      <c r="F59" s="441"/>
      <c r="G59" s="441"/>
      <c r="H59" s="441"/>
      <c r="I59" s="441"/>
      <c r="J59" s="441"/>
      <c r="K59" s="441"/>
    </row>
    <row r="60" spans="2:25">
      <c r="B60" s="1138" t="s">
        <v>1497</v>
      </c>
      <c r="E60" s="441"/>
      <c r="F60" s="441"/>
      <c r="G60" s="441"/>
      <c r="H60" s="441"/>
      <c r="I60" s="441"/>
      <c r="J60" s="441"/>
      <c r="K60" s="441"/>
    </row>
    <row r="61" spans="2:25" s="879" customFormat="1">
      <c r="B61" s="1138" t="s">
        <v>1495</v>
      </c>
      <c r="E61" s="441"/>
      <c r="F61" s="441"/>
      <c r="G61" s="441"/>
      <c r="H61" s="441"/>
      <c r="I61" s="441"/>
      <c r="J61" s="441"/>
      <c r="K61" s="441"/>
    </row>
    <row r="62" spans="2:25" s="879" customFormat="1">
      <c r="B62" s="1138" t="s">
        <v>1498</v>
      </c>
      <c r="E62" s="441"/>
      <c r="F62" s="441"/>
      <c r="G62" s="441"/>
      <c r="H62" s="441"/>
      <c r="I62" s="441"/>
      <c r="J62" s="441"/>
      <c r="K62" s="441"/>
    </row>
    <row r="63" spans="2:25" s="879" customFormat="1">
      <c r="B63" s="1138" t="s">
        <v>1499</v>
      </c>
      <c r="E63" s="441"/>
      <c r="F63" s="441"/>
      <c r="G63" s="441"/>
      <c r="H63" s="441"/>
      <c r="I63" s="441"/>
      <c r="J63" s="441"/>
      <c r="K63" s="441"/>
    </row>
    <row r="64" spans="2:25" s="879" customFormat="1">
      <c r="B64" s="1138" t="s">
        <v>1500</v>
      </c>
      <c r="E64" s="441"/>
      <c r="F64" s="441"/>
      <c r="G64" s="441"/>
      <c r="H64" s="441"/>
      <c r="I64" s="441"/>
      <c r="J64" s="441"/>
      <c r="K64" s="441"/>
    </row>
    <row r="65" spans="2:24" s="1066" customFormat="1">
      <c r="E65" s="441"/>
      <c r="F65" s="441"/>
      <c r="G65" s="441"/>
      <c r="H65" s="441"/>
      <c r="I65" s="441"/>
      <c r="J65" s="441"/>
      <c r="K65" s="441"/>
    </row>
    <row r="66" spans="2:24" s="1066" customFormat="1">
      <c r="E66" s="441"/>
      <c r="F66" s="441"/>
      <c r="G66" s="441"/>
      <c r="H66" s="441"/>
      <c r="I66" s="441"/>
      <c r="J66" s="441"/>
      <c r="K66" s="441"/>
    </row>
    <row r="67" spans="2:24">
      <c r="B67" s="1102" t="s">
        <v>1382</v>
      </c>
      <c r="C67" s="1103">
        <v>2012</v>
      </c>
      <c r="D67" s="1103">
        <f t="shared" ref="D67:W67" si="3">C67+1</f>
        <v>2013</v>
      </c>
      <c r="E67" s="1103">
        <f t="shared" si="3"/>
        <v>2014</v>
      </c>
      <c r="F67" s="1103">
        <f t="shared" si="3"/>
        <v>2015</v>
      </c>
      <c r="G67" s="1103">
        <f t="shared" si="3"/>
        <v>2016</v>
      </c>
      <c r="H67" s="1103">
        <f t="shared" si="3"/>
        <v>2017</v>
      </c>
      <c r="I67" s="1103">
        <f t="shared" si="3"/>
        <v>2018</v>
      </c>
      <c r="J67" s="1103">
        <f t="shared" si="3"/>
        <v>2019</v>
      </c>
      <c r="K67" s="1103">
        <f t="shared" si="3"/>
        <v>2020</v>
      </c>
      <c r="L67" s="1103">
        <f t="shared" si="3"/>
        <v>2021</v>
      </c>
      <c r="M67" s="1103">
        <f t="shared" si="3"/>
        <v>2022</v>
      </c>
      <c r="N67" s="1103">
        <f t="shared" si="3"/>
        <v>2023</v>
      </c>
      <c r="O67" s="1103">
        <f t="shared" si="3"/>
        <v>2024</v>
      </c>
      <c r="P67" s="1103">
        <f t="shared" si="3"/>
        <v>2025</v>
      </c>
      <c r="Q67" s="1103">
        <f t="shared" si="3"/>
        <v>2026</v>
      </c>
      <c r="R67" s="1103">
        <f t="shared" si="3"/>
        <v>2027</v>
      </c>
      <c r="S67" s="1103">
        <f t="shared" si="3"/>
        <v>2028</v>
      </c>
      <c r="T67" s="1103">
        <f t="shared" si="3"/>
        <v>2029</v>
      </c>
      <c r="U67" s="1103">
        <f t="shared" si="3"/>
        <v>2030</v>
      </c>
      <c r="V67" s="1103">
        <f t="shared" si="3"/>
        <v>2031</v>
      </c>
      <c r="W67" s="1103">
        <f t="shared" si="3"/>
        <v>2032</v>
      </c>
      <c r="X67" s="1102"/>
    </row>
    <row r="68" spans="2:24" s="879" customFormat="1">
      <c r="B68" s="1102" t="s">
        <v>1380</v>
      </c>
      <c r="C68" s="1104">
        <f>C69+C70-C72</f>
        <v>-4.4635022686721051</v>
      </c>
      <c r="D68" s="1104">
        <f t="shared" ref="D68:W68" si="4">D69+D70-D72</f>
        <v>-6.5152022547979733</v>
      </c>
      <c r="E68" s="1104">
        <f t="shared" si="4"/>
        <v>-21.735410423826842</v>
      </c>
      <c r="F68" s="1104">
        <f t="shared" si="4"/>
        <v>-27.514006759114999</v>
      </c>
      <c r="G68" s="1104">
        <f t="shared" si="4"/>
        <v>-24.962830560630191</v>
      </c>
      <c r="H68" s="1104">
        <f t="shared" si="4"/>
        <v>-12.858529429532142</v>
      </c>
      <c r="I68" s="1104">
        <f t="shared" si="4"/>
        <v>-1.567757540018146</v>
      </c>
      <c r="J68" s="1104">
        <f t="shared" si="4"/>
        <v>-1.5542356384651437</v>
      </c>
      <c r="K68" s="1104">
        <f t="shared" si="4"/>
        <v>-1.5403445889997442</v>
      </c>
      <c r="L68" s="1104">
        <f t="shared" si="4"/>
        <v>-1.5260743138839394</v>
      </c>
      <c r="M68" s="1104">
        <f t="shared" si="4"/>
        <v>-1.5114144602574731</v>
      </c>
      <c r="N68" s="1104">
        <f t="shared" si="4"/>
        <v>-1.4963543926270042</v>
      </c>
      <c r="O68" s="1104">
        <f t="shared" si="4"/>
        <v>-1.4808831851502235</v>
      </c>
      <c r="P68" s="1104">
        <f t="shared" si="4"/>
        <v>-1.464989613709327</v>
      </c>
      <c r="Q68" s="1104">
        <f t="shared" si="4"/>
        <v>-1.4486621477680934</v>
      </c>
      <c r="R68" s="1104">
        <f t="shared" si="4"/>
        <v>-1.4283735081432916</v>
      </c>
      <c r="S68" s="1104">
        <f t="shared" si="4"/>
        <v>-1.3922996350649561</v>
      </c>
      <c r="T68" s="1104">
        <f t="shared" si="4"/>
        <v>-1.3253515806998979</v>
      </c>
      <c r="U68" s="1104">
        <f t="shared" si="4"/>
        <v>-1.2206415888477151</v>
      </c>
      <c r="V68" s="1104">
        <f t="shared" si="4"/>
        <v>-1.095025874823182</v>
      </c>
      <c r="W68" s="1104">
        <f t="shared" si="4"/>
        <v>22.744610775541744</v>
      </c>
      <c r="X68" s="1106">
        <f>IRR(C68:W68)</f>
        <v>-0.10974072591731854</v>
      </c>
    </row>
    <row r="69" spans="2:24" s="879" customFormat="1">
      <c r="B69" s="1105" t="s">
        <v>1378</v>
      </c>
      <c r="C69" s="1102">
        <f>Benefits!D26</f>
        <v>0</v>
      </c>
      <c r="D69" s="1102">
        <f>Benefits!E26</f>
        <v>0</v>
      </c>
      <c r="E69" s="1102">
        <f>Benefits!F26</f>
        <v>0</v>
      </c>
      <c r="F69" s="1102">
        <f>Benefits!G26</f>
        <v>0</v>
      </c>
      <c r="G69" s="1102">
        <f>Benefits!H26</f>
        <v>0</v>
      </c>
      <c r="H69" s="1102">
        <f>Benefits!I26</f>
        <v>0</v>
      </c>
      <c r="I69" s="1102">
        <f>Benefits!J26</f>
        <v>0</v>
      </c>
      <c r="J69" s="1102">
        <f>Benefits!K26</f>
        <v>0</v>
      </c>
      <c r="K69" s="1102">
        <f>Benefits!L26</f>
        <v>0</v>
      </c>
      <c r="L69" s="1102">
        <f>Benefits!M26</f>
        <v>0</v>
      </c>
      <c r="M69" s="1102">
        <f>Benefits!N26</f>
        <v>0</v>
      </c>
      <c r="N69" s="1102">
        <f>Benefits!O26</f>
        <v>0</v>
      </c>
      <c r="O69" s="1102">
        <f>Benefits!P26</f>
        <v>0</v>
      </c>
      <c r="P69" s="1102">
        <f>Benefits!Q26</f>
        <v>0</v>
      </c>
      <c r="Q69" s="1102">
        <f>Benefits!R26</f>
        <v>0</v>
      </c>
      <c r="R69" s="1102">
        <f>Benefits!S26</f>
        <v>0</v>
      </c>
      <c r="S69" s="1102">
        <f>Benefits!T26</f>
        <v>0</v>
      </c>
      <c r="T69" s="1102">
        <f>Benefits!U26</f>
        <v>0</v>
      </c>
      <c r="U69" s="1102">
        <f>Benefits!V26</f>
        <v>0</v>
      </c>
      <c r="V69" s="1102">
        <f>Benefits!W26</f>
        <v>0</v>
      </c>
      <c r="W69" s="1102">
        <f>Benefits!X26</f>
        <v>0</v>
      </c>
      <c r="X69" s="1102"/>
    </row>
    <row r="70" spans="2:24" s="879" customFormat="1">
      <c r="B70" s="1105" t="s">
        <v>1538</v>
      </c>
      <c r="C70" s="1102">
        <f>$C153*Benefits!D16+ERR!$C154*Benefits!D17</f>
        <v>0</v>
      </c>
      <c r="D70" s="1102">
        <f>$C153*Benefits!E16+ERR!$C154*Benefits!E17</f>
        <v>0</v>
      </c>
      <c r="E70" s="1102">
        <f>$C153*Benefits!F16+ERR!$C154*Benefits!F17</f>
        <v>2.2235964629712241E-2</v>
      </c>
      <c r="F70" s="1102">
        <f>$C153*Benefits!G16+ERR!$C154*Benefits!G17</f>
        <v>0.11421503232051693</v>
      </c>
      <c r="G70" s="1102">
        <f>$C153*Benefits!H16+ERR!$C154*Benefits!H17</f>
        <v>0.28159944648688096</v>
      </c>
      <c r="H70" s="1102">
        <f>$C153*Benefits!I16+ERR!$C154*Benefits!I17</f>
        <v>0.45803792634529022</v>
      </c>
      <c r="I70" s="1102">
        <f>$C153*Benefits!J16+ERR!$C154*Benefits!J17</f>
        <v>0.49530774919422826</v>
      </c>
      <c r="J70" s="1102">
        <f>$C153*Benefits!K16+ERR!$C154*Benefits!K17</f>
        <v>0.50882965074723085</v>
      </c>
      <c r="K70" s="1102">
        <f>$C153*Benefits!L16+ERR!$C154*Benefits!L17</f>
        <v>0.52272070021263017</v>
      </c>
      <c r="L70" s="1102">
        <f>$C153*Benefits!M16+ERR!$C154*Benefits!M17</f>
        <v>0.53699097532843498</v>
      </c>
      <c r="M70" s="1102">
        <f>$C153*Benefits!N16+ERR!$C154*Benefits!N17</f>
        <v>0.55165082895490136</v>
      </c>
      <c r="N70" s="1102">
        <f>$C153*Benefits!O16+ERR!$C154*Benefits!O17</f>
        <v>0.56671089658537022</v>
      </c>
      <c r="O70" s="1102">
        <f>$C153*Benefits!P16+ERR!$C154*Benefits!P17</f>
        <v>0.58218210406215076</v>
      </c>
      <c r="P70" s="1102">
        <f>$C153*Benefits!Q16+ERR!$C154*Benefits!Q17</f>
        <v>0.59807567550304752</v>
      </c>
      <c r="Q70" s="1102">
        <f>$C153*Benefits!R16+ERR!$C154*Benefits!R17</f>
        <v>0.61440314144428099</v>
      </c>
      <c r="R70" s="1102">
        <f>$C153*Benefits!S16+ERR!$C154*Benefits!S17</f>
        <v>0.63469178106908275</v>
      </c>
      <c r="S70" s="1102">
        <f>$C153*Benefits!T16+ERR!$C154*Benefits!T17</f>
        <v>0.6707656541474184</v>
      </c>
      <c r="T70" s="1102">
        <f>$C153*Benefits!U16+ERR!$C154*Benefits!U17</f>
        <v>0.73771370851247642</v>
      </c>
      <c r="U70" s="1102">
        <f>$C153*Benefits!V16+ERR!$C154*Benefits!V17</f>
        <v>0.8424237003646593</v>
      </c>
      <c r="V70" s="1102">
        <f>$C153*Benefits!W16+ERR!$C154*Benefits!W17</f>
        <v>0.9680394143891925</v>
      </c>
      <c r="W70" s="1102">
        <f>$C153*Benefits!X16+ERR!$C154*Benefits!X17</f>
        <v>24.807676064754119</v>
      </c>
      <c r="X70" s="1102"/>
    </row>
    <row r="71" spans="2:24" s="879" customFormat="1">
      <c r="B71" s="1105" t="s">
        <v>1539</v>
      </c>
      <c r="C71" s="1102">
        <f>'Time Savings'!D10</f>
        <v>0</v>
      </c>
      <c r="D71" s="1102">
        <f>'Time Savings'!E10</f>
        <v>0</v>
      </c>
      <c r="E71" s="1102">
        <f>'Time Savings'!F10</f>
        <v>0</v>
      </c>
      <c r="F71" s="1102">
        <f>'Time Savings'!G10</f>
        <v>6.8642136905956025E-2</v>
      </c>
      <c r="G71" s="1102">
        <f>'Time Savings'!H10</f>
        <v>0.3525811589043763</v>
      </c>
      <c r="H71" s="1102">
        <f>'Time Savings'!I10</f>
        <v>0.86929792725773813</v>
      </c>
      <c r="I71" s="1102">
        <f>'Time Savings'!J10</f>
        <v>1.4139670869772276</v>
      </c>
      <c r="J71" s="1102">
        <f>'Time Savings'!K10</f>
        <v>1.5290229239745381</v>
      </c>
      <c r="K71" s="1102">
        <f>'Time Savings'!L10</f>
        <v>1.5707689149156518</v>
      </c>
      <c r="L71" s="1102">
        <f>'Time Savings'!M10</f>
        <v>1.6136546714759255</v>
      </c>
      <c r="M71" s="1102">
        <f>'Time Savings'!N10</f>
        <v>1.6577113119888178</v>
      </c>
      <c r="N71" s="1102">
        <f>'Time Savings'!O10</f>
        <v>1.7029708043928826</v>
      </c>
      <c r="O71" s="1102">
        <f>'Time Savings'!P10</f>
        <v>1.7494659894280216</v>
      </c>
      <c r="P71" s="1102">
        <f>'Time Savings'!Q10</f>
        <v>1.7972306044650583</v>
      </c>
      <c r="Q71" s="1102">
        <f>'Time Savings'!R10</f>
        <v>1.8462993079859071</v>
      </c>
      <c r="R71" s="1102">
        <f>'Time Savings'!S10</f>
        <v>1.896707704732121</v>
      </c>
      <c r="S71" s="1102">
        <f>'Time Savings'!T10</f>
        <v>1.948492371540036</v>
      </c>
      <c r="T71" s="1102">
        <f>'Time Savings'!U10</f>
        <v>2.0016908838813006</v>
      </c>
      <c r="U71" s="1102">
        <f>'Time Savings'!V10</f>
        <v>2.0563418431280107</v>
      </c>
      <c r="V71" s="1102">
        <f>'Time Savings'!W10</f>
        <v>2.1124849045622449</v>
      </c>
      <c r="W71" s="1102">
        <f>'Time Savings'!X10</f>
        <v>2.1701608061503377</v>
      </c>
      <c r="X71" s="1102"/>
    </row>
    <row r="72" spans="2:24" s="879" customFormat="1">
      <c r="B72" s="1105" t="s">
        <v>1377</v>
      </c>
      <c r="C72" s="1104">
        <f>Costs!D11</f>
        <v>4.4635022686721051</v>
      </c>
      <c r="D72" s="1104">
        <f>Costs!E11</f>
        <v>6.5152022547979733</v>
      </c>
      <c r="E72" s="1104">
        <f>Costs!F11</f>
        <v>21.757646388456553</v>
      </c>
      <c r="F72" s="1104">
        <f>Costs!G11</f>
        <v>27.628221791435514</v>
      </c>
      <c r="G72" s="1104">
        <f>Costs!H11</f>
        <v>25.244430007117071</v>
      </c>
      <c r="H72" s="1104">
        <f>Costs!I11</f>
        <v>13.316567355877432</v>
      </c>
      <c r="I72" s="1104">
        <f>Costs!J11</f>
        <v>2.0630652892123744</v>
      </c>
      <c r="J72" s="1104">
        <f>Costs!K11</f>
        <v>2.0630652892123744</v>
      </c>
      <c r="K72" s="1104">
        <f>Costs!L11</f>
        <v>2.0630652892123744</v>
      </c>
      <c r="L72" s="1104">
        <f>Costs!M11</f>
        <v>2.0630652892123744</v>
      </c>
      <c r="M72" s="1104">
        <f>Costs!N11</f>
        <v>2.0630652892123744</v>
      </c>
      <c r="N72" s="1104">
        <f>Costs!O11</f>
        <v>2.0630652892123744</v>
      </c>
      <c r="O72" s="1104">
        <f>Costs!P11</f>
        <v>2.0630652892123744</v>
      </c>
      <c r="P72" s="1104">
        <f>Costs!Q11</f>
        <v>2.0630652892123744</v>
      </c>
      <c r="Q72" s="1104">
        <f>Costs!R11</f>
        <v>2.0630652892123744</v>
      </c>
      <c r="R72" s="1104">
        <f>Costs!S11</f>
        <v>2.0630652892123744</v>
      </c>
      <c r="S72" s="1104">
        <f>Costs!T11</f>
        <v>2.0630652892123744</v>
      </c>
      <c r="T72" s="1104">
        <f>Costs!U11</f>
        <v>2.0630652892123744</v>
      </c>
      <c r="U72" s="1104">
        <f>Costs!V11</f>
        <v>2.0630652892123744</v>
      </c>
      <c r="V72" s="1104">
        <f>Costs!W11</f>
        <v>2.0630652892123744</v>
      </c>
      <c r="W72" s="1104">
        <f>Costs!X11</f>
        <v>2.0630652892123744</v>
      </c>
      <c r="X72" s="1102"/>
    </row>
    <row r="73" spans="2:24">
      <c r="B73" s="1102" t="s">
        <v>1381</v>
      </c>
      <c r="C73" s="1104">
        <f>C74+C75-C76</f>
        <v>-2.3096709291382242</v>
      </c>
      <c r="D73" s="1104">
        <f t="shared" ref="D73:W73" si="5">D74+D75-D76</f>
        <v>-3.6328402496045604</v>
      </c>
      <c r="E73" s="1104">
        <f t="shared" si="5"/>
        <v>-11.689482132729252</v>
      </c>
      <c r="F73" s="1104">
        <f t="shared" si="5"/>
        <v>-13.254767598314745</v>
      </c>
      <c r="G73" s="1104">
        <f t="shared" si="5"/>
        <v>-9.3536918393277091</v>
      </c>
      <c r="H73" s="1104">
        <f t="shared" si="5"/>
        <v>-0.20770028830000342</v>
      </c>
      <c r="I73" s="1104">
        <f t="shared" si="5"/>
        <v>6.0869700964445501</v>
      </c>
      <c r="J73" s="1104">
        <f t="shared" si="5"/>
        <v>6.2913685894371438</v>
      </c>
      <c r="K73" s="1104">
        <f t="shared" si="5"/>
        <v>6.5013476354133726</v>
      </c>
      <c r="L73" s="1104">
        <f t="shared" si="5"/>
        <v>6.7170595964144413</v>
      </c>
      <c r="M73" s="1104">
        <f t="shared" si="5"/>
        <v>6.9386609943186963</v>
      </c>
      <c r="N73" s="1104">
        <f t="shared" si="5"/>
        <v>7.166312624414835</v>
      </c>
      <c r="O73" s="1104">
        <f t="shared" si="5"/>
        <v>7.4001796720759279</v>
      </c>
      <c r="P73" s="1104">
        <f t="shared" si="5"/>
        <v>7.6404318326188845</v>
      </c>
      <c r="Q73" s="1104">
        <f t="shared" si="5"/>
        <v>7.8872434344364128</v>
      </c>
      <c r="R73" s="1104">
        <f t="shared" si="5"/>
        <v>8.1425319877675264</v>
      </c>
      <c r="S73" s="1104">
        <f t="shared" si="5"/>
        <v>8.412322585404592</v>
      </c>
      <c r="T73" s="1104">
        <f t="shared" si="5"/>
        <v>8.7042597033838653</v>
      </c>
      <c r="U73" s="1104">
        <f t="shared" si="5"/>
        <v>9.0219372260105715</v>
      </c>
      <c r="V73" s="1104">
        <f t="shared" si="5"/>
        <v>9.357212499608984</v>
      </c>
      <c r="W73" s="1104">
        <f t="shared" si="5"/>
        <v>21.426800352099679</v>
      </c>
      <c r="X73" s="1106">
        <f>IRR(C73:W73)</f>
        <v>0.11514471375697588</v>
      </c>
    </row>
    <row r="74" spans="2:24">
      <c r="B74" s="1105" t="s">
        <v>1533</v>
      </c>
      <c r="C74" s="1102">
        <f>(1-$C$152)*Benefits!D16</f>
        <v>0</v>
      </c>
      <c r="D74" s="1102">
        <f>(1-$C$152)*Benefits!E16</f>
        <v>0</v>
      </c>
      <c r="E74" s="1102">
        <f>(1-$C$152)*Benefits!F16</f>
        <v>1.0856287294046297E-2</v>
      </c>
      <c r="F74" s="1102">
        <f>(1-$C$152)*Benefits!G16</f>
        <v>5.5763319685868812E-2</v>
      </c>
      <c r="G74" s="1102">
        <f>(1-$C$152)*Benefits!H16</f>
        <v>0.1374855799519033</v>
      </c>
      <c r="H74" s="1102">
        <f>(1-$C$152)*Benefits!I16</f>
        <v>0.22362831578393458</v>
      </c>
      <c r="I74" s="1102">
        <f>(1-$C$152)*Benefits!J16</f>
        <v>0.24182459874193271</v>
      </c>
      <c r="J74" s="1102">
        <f>(1-$C$152)*Benefits!K16</f>
        <v>0.24842641028758752</v>
      </c>
      <c r="K74" s="1102">
        <f>(1-$C$152)*Benefits!L16</f>
        <v>0.25520845128843861</v>
      </c>
      <c r="L74" s="1102">
        <f>(1-$C$152)*Benefits!M16</f>
        <v>0.26217564200861304</v>
      </c>
      <c r="M74" s="1102">
        <f>(1-$C$152)*Benefits!N16</f>
        <v>0.2693330370354482</v>
      </c>
      <c r="N74" s="1102">
        <f>(1-$C$152)*Benefits!O16</f>
        <v>0.27668582894651594</v>
      </c>
      <c r="O74" s="1102">
        <f>(1-$C$152)*Benefits!P16</f>
        <v>0.28423935207675588</v>
      </c>
      <c r="P74" s="1102">
        <f>(1-$C$152)*Benefits!Q16</f>
        <v>0.29199908638845135</v>
      </c>
      <c r="Q74" s="1102">
        <f>(1-$C$152)*Benefits!R16</f>
        <v>0.29997066144685613</v>
      </c>
      <c r="R74" s="1102">
        <f>(1-$C$152)*Benefits!S16</f>
        <v>0.30989828278118076</v>
      </c>
      <c r="S74" s="1102">
        <f>(1-$C$152)*Benefits!T16</f>
        <v>0.32762900683997975</v>
      </c>
      <c r="T74" s="1102">
        <f>(1-$C$152)*Benefits!U16</f>
        <v>0.36062441249676186</v>
      </c>
      <c r="U74" s="1102">
        <f>(1-$C$152)*Benefits!V16</f>
        <v>0.4122904933630514</v>
      </c>
      <c r="V74" s="1102">
        <f>(1-$C$152)*Benefits!W16</f>
        <v>0.47429157520308945</v>
      </c>
      <c r="W74" s="1102">
        <f>(1-$C$152)*Benefits!X16</f>
        <v>12.263144195453478</v>
      </c>
      <c r="X74" s="1102"/>
    </row>
    <row r="75" spans="2:24" s="879" customFormat="1">
      <c r="B75" s="1105" t="s">
        <v>1534</v>
      </c>
      <c r="C75" s="1102">
        <f>(1-$C$154)*Benefits!D21</f>
        <v>0</v>
      </c>
      <c r="D75" s="1102">
        <f>(1-$C$154)*Benefits!E21</f>
        <v>0</v>
      </c>
      <c r="E75" s="1102">
        <f>(1-$C$154)*Benefits!F21</f>
        <v>0.32523331178259601</v>
      </c>
      <c r="F75" s="1102">
        <f>(1-$C$154)*Benefits!G21</f>
        <v>1.6705648039442966</v>
      </c>
      <c r="G75" s="1102">
        <f>(1-$C$154)*Benefits!H21</f>
        <v>4.1188205459735387</v>
      </c>
      <c r="H75" s="1102">
        <f>(1-$C$154)*Benefits!I21</f>
        <v>6.6995175147190258</v>
      </c>
      <c r="I75" s="1102">
        <f>(1-$C$154)*Benefits!J21</f>
        <v>7.2446635808710953</v>
      </c>
      <c r="J75" s="1102">
        <f>(1-$C$154)*Benefits!K21</f>
        <v>7.4424602623180345</v>
      </c>
      <c r="K75" s="1102">
        <f>(1-$C$154)*Benefits!L21</f>
        <v>7.6456572672934122</v>
      </c>
      <c r="L75" s="1102">
        <f>(1-$C$154)*Benefits!M21</f>
        <v>7.8544020375743058</v>
      </c>
      <c r="M75" s="1102">
        <f>(1-$C$154)*Benefits!N21</f>
        <v>8.0688460404517262</v>
      </c>
      <c r="N75" s="1102">
        <f>(1-$C$154)*Benefits!O21</f>
        <v>8.2891448786367974</v>
      </c>
      <c r="O75" s="1102">
        <f>(1-$C$154)*Benefits!P21</f>
        <v>8.5154584031676492</v>
      </c>
      <c r="P75" s="1102">
        <f>(1-$C$154)*Benefits!Q21</f>
        <v>8.7479508293989117</v>
      </c>
      <c r="Q75" s="1102">
        <f>(1-$C$154)*Benefits!R21</f>
        <v>8.9867908561580343</v>
      </c>
      <c r="R75" s="1102">
        <f>(1-$C$154)*Benefits!S21</f>
        <v>9.232151788154825</v>
      </c>
      <c r="S75" s="1102">
        <f>(1-$C$154)*Benefits!T21</f>
        <v>9.4842116617330898</v>
      </c>
      <c r="T75" s="1102">
        <f>(1-$C$154)*Benefits!U21</f>
        <v>9.7431533740555807</v>
      </c>
      <c r="U75" s="1102">
        <f>(1-$C$154)*Benefits!V21</f>
        <v>10.009164815815998</v>
      </c>
      <c r="V75" s="1102">
        <f>(1-$C$154)*Benefits!W21</f>
        <v>10.282439007574371</v>
      </c>
      <c r="W75" s="1102">
        <f>(1-$C$154)*Benefits!X21</f>
        <v>10.563174239814677</v>
      </c>
      <c r="X75" s="1102"/>
    </row>
    <row r="76" spans="2:24">
      <c r="B76" s="1105" t="s">
        <v>1377</v>
      </c>
      <c r="C76" s="1104">
        <f>Costs!D12+Costs!D14</f>
        <v>2.3096709291382242</v>
      </c>
      <c r="D76" s="1104">
        <f>Costs!E12+Costs!E14</f>
        <v>3.6328402496045604</v>
      </c>
      <c r="E76" s="1104">
        <f>Costs!F12+Costs!F14</f>
        <v>12.025571731805893</v>
      </c>
      <c r="F76" s="1104">
        <f>Costs!G12+Costs!G14</f>
        <v>14.981095721944911</v>
      </c>
      <c r="G76" s="1104">
        <f>Costs!H12+Costs!H14</f>
        <v>13.609997965253152</v>
      </c>
      <c r="H76" s="1104">
        <f>Costs!I12+Costs!I14</f>
        <v>7.1308461188029639</v>
      </c>
      <c r="I76" s="1104">
        <f>Costs!J12+Costs!J14</f>
        <v>1.3995180831684779</v>
      </c>
      <c r="J76" s="1104">
        <f>Costs!K12+Costs!K14</f>
        <v>1.3995180831684779</v>
      </c>
      <c r="K76" s="1104">
        <f>Costs!L12+Costs!L14</f>
        <v>1.3995180831684779</v>
      </c>
      <c r="L76" s="1104">
        <f>Costs!M12+Costs!M14</f>
        <v>1.3995180831684779</v>
      </c>
      <c r="M76" s="1104">
        <f>Costs!N12+Costs!N14</f>
        <v>1.3995180831684779</v>
      </c>
      <c r="N76" s="1104">
        <f>Costs!O12+Costs!O14</f>
        <v>1.3995180831684779</v>
      </c>
      <c r="O76" s="1104">
        <f>Costs!P12+Costs!P14</f>
        <v>1.3995180831684779</v>
      </c>
      <c r="P76" s="1104">
        <f>Costs!Q12+Costs!Q14</f>
        <v>1.3995180831684779</v>
      </c>
      <c r="Q76" s="1104">
        <f>Costs!R12+Costs!R14</f>
        <v>1.3995180831684779</v>
      </c>
      <c r="R76" s="1104">
        <f>Costs!S12+Costs!S14</f>
        <v>1.3995180831684779</v>
      </c>
      <c r="S76" s="1104">
        <f>Costs!T12+Costs!T14</f>
        <v>1.3995180831684779</v>
      </c>
      <c r="T76" s="1104">
        <f>Costs!U12+Costs!U14</f>
        <v>1.3995180831684779</v>
      </c>
      <c r="U76" s="1104">
        <f>Costs!V12+Costs!V14</f>
        <v>1.3995180831684779</v>
      </c>
      <c r="V76" s="1104">
        <f>Costs!W12+Costs!W14</f>
        <v>1.3995180831684779</v>
      </c>
      <c r="W76" s="1104">
        <f>Costs!X12+Costs!X14</f>
        <v>1.3995180831684779</v>
      </c>
      <c r="X76" s="1102"/>
    </row>
    <row r="77" spans="2:24">
      <c r="B77" s="1102" t="s">
        <v>1374</v>
      </c>
      <c r="C77" s="1104">
        <f t="shared" ref="C77:W77" si="6">C78-C79</f>
        <v>-1.9247953349756155</v>
      </c>
      <c r="D77" s="1104">
        <f t="shared" si="6"/>
        <v>-4.5753018166636945</v>
      </c>
      <c r="E77" s="1104">
        <f t="shared" si="6"/>
        <v>-14.792165019005324</v>
      </c>
      <c r="F77" s="1104">
        <f t="shared" si="6"/>
        <v>-17.663634533410306</v>
      </c>
      <c r="G77" s="1104">
        <f t="shared" si="6"/>
        <v>-15.834680137728103</v>
      </c>
      <c r="H77" s="1104">
        <f t="shared" si="6"/>
        <v>-25.975933622604341</v>
      </c>
      <c r="I77" s="1104">
        <f t="shared" si="6"/>
        <v>-0.82038491817216153</v>
      </c>
      <c r="J77" s="1104">
        <f t="shared" si="6"/>
        <v>-0.81722281686201392</v>
      </c>
      <c r="K77" s="1104">
        <f t="shared" si="6"/>
        <v>-0.81397439018609929</v>
      </c>
      <c r="L77" s="1104">
        <f t="shared" si="6"/>
        <v>-0.81063728146193226</v>
      </c>
      <c r="M77" s="1104">
        <f t="shared" si="6"/>
        <v>-0.80720906966959527</v>
      </c>
      <c r="N77" s="1104">
        <f t="shared" si="6"/>
        <v>-0.80368726769532772</v>
      </c>
      <c r="O77" s="1104">
        <f t="shared" si="6"/>
        <v>-0.80006932052716251</v>
      </c>
      <c r="P77" s="1104">
        <f t="shared" si="6"/>
        <v>-0.79635260340130642</v>
      </c>
      <c r="Q77" s="1104">
        <f t="shared" si="6"/>
        <v>-0.79253441989791451</v>
      </c>
      <c r="R77" s="1104">
        <f t="shared" si="6"/>
        <v>-0.78787169509147681</v>
      </c>
      <c r="S77" s="1104">
        <f t="shared" si="6"/>
        <v>-0.77987415187532338</v>
      </c>
      <c r="T77" s="1104">
        <f t="shared" si="6"/>
        <v>-0.76536396222546121</v>
      </c>
      <c r="U77" s="1104">
        <f t="shared" si="6"/>
        <v>-0.74289035503998258</v>
      </c>
      <c r="V77" s="1104">
        <f t="shared" si="6"/>
        <v>-0.71600272429279088</v>
      </c>
      <c r="W77" s="1104">
        <f t="shared" si="6"/>
        <v>4.3047627979412111</v>
      </c>
      <c r="X77" s="1106" t="e">
        <f>IRR(C77:W77)</f>
        <v>#NUM!</v>
      </c>
    </row>
    <row r="78" spans="2:24">
      <c r="B78" s="1105" t="s">
        <v>1376</v>
      </c>
      <c r="C78" s="1102">
        <f>(1-$C$154)*Benefits!D17</f>
        <v>0</v>
      </c>
      <c r="D78" s="1102">
        <f>(1-$C$154)*Benefits!E17</f>
        <v>0</v>
      </c>
      <c r="E78" s="1102">
        <f>(1-$C$154)*Benefits!F17</f>
        <v>5.1998879456710721E-3</v>
      </c>
      <c r="F78" s="1102">
        <f>(1-$C$154)*Benefits!G17</f>
        <v>2.6709224432939462E-2</v>
      </c>
      <c r="G78" s="1102">
        <f>(1-$C$154)*Benefits!H17</f>
        <v>6.5852127023900919E-2</v>
      </c>
      <c r="H78" s="1102">
        <f>(1-$C$154)*Benefits!I17</f>
        <v>0.10711232597845123</v>
      </c>
      <c r="I78" s="1102">
        <f>(1-$C$154)*Benefits!J17</f>
        <v>0.1158278868185926</v>
      </c>
      <c r="J78" s="1102">
        <f>(1-$C$154)*Benefits!K17</f>
        <v>0.1189899881287402</v>
      </c>
      <c r="K78" s="1102">
        <f>(1-$C$154)*Benefits!L17</f>
        <v>0.12223841480465482</v>
      </c>
      <c r="L78" s="1102">
        <f>(1-$C$154)*Benefits!M17</f>
        <v>0.1255755235288219</v>
      </c>
      <c r="M78" s="1102">
        <f>(1-$C$154)*Benefits!N17</f>
        <v>0.12900373532115877</v>
      </c>
      <c r="N78" s="1102">
        <f>(1-$C$154)*Benefits!O17</f>
        <v>0.1325255372954264</v>
      </c>
      <c r="O78" s="1102">
        <f>(1-$C$154)*Benefits!P17</f>
        <v>0.13614348446359156</v>
      </c>
      <c r="P78" s="1102">
        <f>(1-$C$154)*Benefits!Q17</f>
        <v>0.13986020158944762</v>
      </c>
      <c r="Q78" s="1102">
        <f>(1-$C$154)*Benefits!R17</f>
        <v>0.14367838509283956</v>
      </c>
      <c r="R78" s="1102">
        <f>(1-$C$154)*Benefits!S17</f>
        <v>0.14834110989927726</v>
      </c>
      <c r="S78" s="1102">
        <f>(1-$C$154)*Benefits!T17</f>
        <v>0.15633865311543069</v>
      </c>
      <c r="T78" s="1102">
        <f>(1-$C$154)*Benefits!U17</f>
        <v>0.17084884276529291</v>
      </c>
      <c r="U78" s="1102">
        <f>(1-$C$154)*Benefits!V17</f>
        <v>0.19332244995077158</v>
      </c>
      <c r="V78" s="1102">
        <f>(1-$C$154)*Benefits!W17</f>
        <v>0.22021008069796325</v>
      </c>
      <c r="W78" s="1102">
        <f>(1-$C$154)*Benefits!X17</f>
        <v>5.2409756029319654</v>
      </c>
      <c r="X78" s="1102"/>
    </row>
    <row r="79" spans="2:24">
      <c r="B79" s="1105" t="s">
        <v>1377</v>
      </c>
      <c r="C79" s="1104">
        <f>Costs!D13+Costs!D16</f>
        <v>1.9247953349756155</v>
      </c>
      <c r="D79" s="1104">
        <f>Costs!E13+Costs!E16</f>
        <v>4.5753018166636945</v>
      </c>
      <c r="E79" s="1104">
        <f>Costs!F13+Costs!F16</f>
        <v>14.797364906950996</v>
      </c>
      <c r="F79" s="1104">
        <f>Costs!G13+Costs!G16</f>
        <v>17.690343757843245</v>
      </c>
      <c r="G79" s="1104">
        <f>Costs!H13+Costs!H16</f>
        <v>15.900532264752004</v>
      </c>
      <c r="H79" s="1104">
        <f>Costs!I13+Costs!I16</f>
        <v>26.083045948582793</v>
      </c>
      <c r="I79" s="1104">
        <f>Costs!J13+Costs!J16</f>
        <v>0.9362128049907541</v>
      </c>
      <c r="J79" s="1104">
        <f>Costs!K13+Costs!K16</f>
        <v>0.9362128049907541</v>
      </c>
      <c r="K79" s="1104">
        <f>Costs!L13+Costs!L16</f>
        <v>0.9362128049907541</v>
      </c>
      <c r="L79" s="1104">
        <f>Costs!M13+Costs!M16</f>
        <v>0.9362128049907541</v>
      </c>
      <c r="M79" s="1104">
        <f>Costs!N13+Costs!N16</f>
        <v>0.9362128049907541</v>
      </c>
      <c r="N79" s="1104">
        <f>Costs!O13+Costs!O16</f>
        <v>0.9362128049907541</v>
      </c>
      <c r="O79" s="1104">
        <f>Costs!P13+Costs!P16</f>
        <v>0.9362128049907541</v>
      </c>
      <c r="P79" s="1104">
        <f>Costs!Q13+Costs!Q16</f>
        <v>0.9362128049907541</v>
      </c>
      <c r="Q79" s="1104">
        <f>Costs!R13+Costs!R16</f>
        <v>0.9362128049907541</v>
      </c>
      <c r="R79" s="1104">
        <f>Costs!S13+Costs!S16</f>
        <v>0.9362128049907541</v>
      </c>
      <c r="S79" s="1104">
        <f>Costs!T13+Costs!T16</f>
        <v>0.9362128049907541</v>
      </c>
      <c r="T79" s="1104">
        <f>Costs!U13+Costs!U16</f>
        <v>0.9362128049907541</v>
      </c>
      <c r="U79" s="1104">
        <f>Costs!V13+Costs!V16</f>
        <v>0.9362128049907541</v>
      </c>
      <c r="V79" s="1104">
        <f>Costs!W13+Costs!W16</f>
        <v>0.9362128049907541</v>
      </c>
      <c r="W79" s="1104">
        <f>Costs!X13+Costs!X16</f>
        <v>0.9362128049907541</v>
      </c>
      <c r="X79" s="1102"/>
    </row>
    <row r="80" spans="2:24">
      <c r="B80" s="1102" t="s">
        <v>1375</v>
      </c>
      <c r="C80" s="1104">
        <f t="shared" ref="C80:W80" si="7">C81+C82-C83</f>
        <v>-2.71453812221747</v>
      </c>
      <c r="D80" s="1104">
        <f t="shared" si="7"/>
        <v>-5.2502767234637151</v>
      </c>
      <c r="E80" s="1104">
        <f t="shared" si="7"/>
        <v>-16.906947466597536</v>
      </c>
      <c r="F80" s="1104">
        <f t="shared" si="7"/>
        <v>-19.713066991043284</v>
      </c>
      <c r="G80" s="1104">
        <f t="shared" si="7"/>
        <v>-38.487356913134207</v>
      </c>
      <c r="H80" s="1104">
        <f t="shared" si="7"/>
        <v>-6.3222183668911551</v>
      </c>
      <c r="I80" s="1104">
        <f t="shared" si="7"/>
        <v>3.6698605205842179</v>
      </c>
      <c r="J80" s="1104">
        <f t="shared" si="7"/>
        <v>3.8915219564958936</v>
      </c>
      <c r="K80" s="1104">
        <f t="shared" si="7"/>
        <v>4.1246557405057205</v>
      </c>
      <c r="L80" s="1104">
        <f t="shared" si="7"/>
        <v>4.3698566188695871</v>
      </c>
      <c r="M80" s="1104">
        <f t="shared" si="7"/>
        <v>4.6277501957618092</v>
      </c>
      <c r="N80" s="1104">
        <f t="shared" si="7"/>
        <v>4.898994535050706</v>
      </c>
      <c r="O80" s="1104">
        <f t="shared" si="7"/>
        <v>5.1842818452472956</v>
      </c>
      <c r="P80" s="1104">
        <f t="shared" si="7"/>
        <v>5.4843402519474225</v>
      </c>
      <c r="Q80" s="1104">
        <f t="shared" si="7"/>
        <v>5.7999356623121212</v>
      </c>
      <c r="R80" s="1104">
        <f t="shared" si="7"/>
        <v>6.1385725214432192</v>
      </c>
      <c r="S80" s="1104">
        <f t="shared" si="7"/>
        <v>6.5244261101185357</v>
      </c>
      <c r="T80" s="1104">
        <f t="shared" si="7"/>
        <v>6.9897509014931583</v>
      </c>
      <c r="U80" s="1104">
        <f t="shared" si="7"/>
        <v>7.5520323045574909</v>
      </c>
      <c r="V80" s="1104">
        <f t="shared" si="7"/>
        <v>8.1799758169483852</v>
      </c>
      <c r="W80" s="1104">
        <f t="shared" si="7"/>
        <v>64.600909573221799</v>
      </c>
      <c r="X80" s="1106">
        <f>IRR(C80:W80)</f>
        <v>3.645850101839776E-2</v>
      </c>
    </row>
    <row r="81" spans="2:24">
      <c r="B81" s="1105" t="s">
        <v>1376</v>
      </c>
      <c r="C81" s="1102">
        <f>Benefits!D18</f>
        <v>0</v>
      </c>
      <c r="D81" s="1102">
        <f>Benefits!E18</f>
        <v>0</v>
      </c>
      <c r="E81" s="1102">
        <f>Benefits!F18</f>
        <v>5.1194248049306654E-2</v>
      </c>
      <c r="F81" s="1102">
        <f>Benefits!G18</f>
        <v>0.26922557415442205</v>
      </c>
      <c r="G81" s="1102">
        <f>Benefits!H18</f>
        <v>0.67959893971496166</v>
      </c>
      <c r="H81" s="1102">
        <f>Benefits!I18</f>
        <v>1.1317491751229154</v>
      </c>
      <c r="I81" s="1102">
        <f>Benefits!J18</f>
        <v>1.2530018737458621</v>
      </c>
      <c r="J81" s="1102">
        <f>Benefits!K18</f>
        <v>1.3178830111964706</v>
      </c>
      <c r="K81" s="1102">
        <f>Benefits!L18</f>
        <v>1.3861237302128269</v>
      </c>
      <c r="L81" s="1102">
        <f>Benefits!M18</f>
        <v>1.4578979918064128</v>
      </c>
      <c r="M81" s="1102">
        <f>Benefits!N18</f>
        <v>1.533388764787126</v>
      </c>
      <c r="N81" s="1102">
        <f>Benefits!O18</f>
        <v>1.6127884921921232</v>
      </c>
      <c r="O81" s="1102">
        <f>Benefits!P18</f>
        <v>1.6962995818665982</v>
      </c>
      <c r="P81" s="1102">
        <f>Benefits!Q18</f>
        <v>1.7841349224471172</v>
      </c>
      <c r="Q81" s="1102">
        <f>Benefits!R18</f>
        <v>1.8765184260628502</v>
      </c>
      <c r="R81" s="1102">
        <f>Benefits!S18</f>
        <v>1.9803843942141963</v>
      </c>
      <c r="S81" s="1102">
        <f>Benefits!T18</f>
        <v>2.1193083527188001</v>
      </c>
      <c r="T81" s="1102">
        <f>Benefits!U18</f>
        <v>2.3249138695710245</v>
      </c>
      <c r="U81" s="1102">
        <f>Benefits!V18</f>
        <v>2.6140226795494828</v>
      </c>
      <c r="V81" s="1102">
        <f>Benefits!W18</f>
        <v>2.954642134006825</v>
      </c>
      <c r="W81" s="1102">
        <f>Benefits!X18</f>
        <v>59.073365957571561</v>
      </c>
      <c r="X81" s="1102"/>
    </row>
    <row r="82" spans="2:24">
      <c r="B82" s="1105" t="s">
        <v>1379</v>
      </c>
      <c r="C82" s="1102">
        <f>Benefits!D22</f>
        <v>0</v>
      </c>
      <c r="D82" s="1102">
        <f>Benefits!E22</f>
        <v>0</v>
      </c>
      <c r="E82" s="1102">
        <f>Benefits!F22</f>
        <v>0.12462181673991626</v>
      </c>
      <c r="F82" s="1102">
        <f>Benefits!G22</f>
        <v>0.65514327227259628</v>
      </c>
      <c r="G82" s="1102">
        <f>Benefits!H22</f>
        <v>1.6532023017173736</v>
      </c>
      <c r="H82" s="1102">
        <f>Benefits!I22</f>
        <v>2.7522186214122688</v>
      </c>
      <c r="I82" s="1102">
        <f>Benefits!J22</f>
        <v>3.0461397793619964</v>
      </c>
      <c r="J82" s="1102">
        <f>Benefits!K22</f>
        <v>3.2029200778230633</v>
      </c>
      <c r="K82" s="1102">
        <f>Benefits!L22</f>
        <v>3.3678131428165345</v>
      </c>
      <c r="L82" s="1102">
        <f>Benefits!M22</f>
        <v>3.5412397595868148</v>
      </c>
      <c r="M82" s="1102">
        <f>Benefits!N22</f>
        <v>3.7236425634983235</v>
      </c>
      <c r="N82" s="1102">
        <f>Benefits!O22</f>
        <v>3.9154871753822231</v>
      </c>
      <c r="O82" s="1102">
        <f>Benefits!P22</f>
        <v>4.1172633959043381</v>
      </c>
      <c r="P82" s="1102">
        <f>Benefits!Q22</f>
        <v>4.3294864620239455</v>
      </c>
      <c r="Q82" s="1102">
        <f>Benefits!R22</f>
        <v>4.5526983687729121</v>
      </c>
      <c r="R82" s="1102">
        <f>Benefits!S22</f>
        <v>4.7874692597526636</v>
      </c>
      <c r="S82" s="1102">
        <f>Benefits!T22</f>
        <v>5.0343988899233763</v>
      </c>
      <c r="T82" s="1102">
        <f>Benefits!U22</f>
        <v>5.2941181644457744</v>
      </c>
      <c r="U82" s="1102">
        <f>Benefits!V22</f>
        <v>5.5672907575316488</v>
      </c>
      <c r="V82" s="1102">
        <f>Benefits!W22</f>
        <v>5.8546148154652</v>
      </c>
      <c r="W82" s="1102">
        <f>Benefits!X22</f>
        <v>6.1568247481738805</v>
      </c>
      <c r="X82" s="1102"/>
    </row>
    <row r="83" spans="2:24">
      <c r="B83" s="1105" t="s">
        <v>1377</v>
      </c>
      <c r="C83" s="1104">
        <f>Costs!D15</f>
        <v>2.71453812221747</v>
      </c>
      <c r="D83" s="1104">
        <f>Costs!E15</f>
        <v>5.2502767234637151</v>
      </c>
      <c r="E83" s="1104">
        <f>Costs!F15</f>
        <v>17.08276353138676</v>
      </c>
      <c r="F83" s="1104">
        <f>Costs!G15</f>
        <v>20.637435837470303</v>
      </c>
      <c r="G83" s="1104">
        <f>Costs!H15</f>
        <v>40.820158154566542</v>
      </c>
      <c r="H83" s="1104">
        <f>Costs!I15</f>
        <v>10.20618616342634</v>
      </c>
      <c r="I83" s="1104">
        <f>Costs!J15</f>
        <v>0.62928113252364037</v>
      </c>
      <c r="J83" s="1104">
        <f>Costs!K15</f>
        <v>0.62928113252364037</v>
      </c>
      <c r="K83" s="1104">
        <f>Costs!L15</f>
        <v>0.62928113252364037</v>
      </c>
      <c r="L83" s="1104">
        <f>Costs!M15</f>
        <v>0.62928113252364037</v>
      </c>
      <c r="M83" s="1104">
        <f>Costs!N15</f>
        <v>0.62928113252364037</v>
      </c>
      <c r="N83" s="1104">
        <f>Costs!O15</f>
        <v>0.62928113252364037</v>
      </c>
      <c r="O83" s="1104">
        <f>Costs!P15</f>
        <v>0.62928113252364037</v>
      </c>
      <c r="P83" s="1104">
        <f>Costs!Q15</f>
        <v>0.62928113252364037</v>
      </c>
      <c r="Q83" s="1104">
        <f>Costs!R15</f>
        <v>0.62928113252364037</v>
      </c>
      <c r="R83" s="1104">
        <f>Costs!S15</f>
        <v>0.62928113252364037</v>
      </c>
      <c r="S83" s="1104">
        <f>Costs!T15</f>
        <v>0.62928113252364037</v>
      </c>
      <c r="T83" s="1104">
        <f>Costs!U15</f>
        <v>0.62928113252364037</v>
      </c>
      <c r="U83" s="1104">
        <f>Costs!V15</f>
        <v>0.62928113252364037</v>
      </c>
      <c r="V83" s="1104">
        <f>Costs!W15</f>
        <v>0.62928113252364037</v>
      </c>
      <c r="W83" s="1104">
        <f>Costs!X15</f>
        <v>0.62928113252364037</v>
      </c>
      <c r="X83" s="1102"/>
    </row>
    <row r="85" spans="2:24">
      <c r="B85" s="1107" t="s">
        <v>1383</v>
      </c>
      <c r="C85" s="1108"/>
    </row>
    <row r="86" spans="2:24">
      <c r="B86" s="1109" t="s">
        <v>1380</v>
      </c>
      <c r="C86" s="1110">
        <f>X68</f>
        <v>-0.10974072591731854</v>
      </c>
      <c r="E86" s="3"/>
    </row>
    <row r="87" spans="2:24">
      <c r="B87" s="1109" t="s">
        <v>1381</v>
      </c>
      <c r="C87" s="1110">
        <f>X73</f>
        <v>0.11514471375697588</v>
      </c>
    </row>
    <row r="88" spans="2:24">
      <c r="B88" s="1109" t="s">
        <v>1374</v>
      </c>
      <c r="C88" s="1110" t="e">
        <f>X77</f>
        <v>#NUM!</v>
      </c>
    </row>
    <row r="89" spans="2:24">
      <c r="B89" s="1109" t="s">
        <v>1375</v>
      </c>
      <c r="C89" s="1110">
        <f>X80</f>
        <v>3.645850101839776E-2</v>
      </c>
    </row>
    <row r="90" spans="2:24" s="879" customFormat="1">
      <c r="B90" s="1109" t="s">
        <v>1530</v>
      </c>
      <c r="C90" s="1110">
        <f>C131</f>
        <v>9.7433953784229255E-2</v>
      </c>
    </row>
    <row r="92" spans="2:24">
      <c r="B92" s="1" t="s">
        <v>1450</v>
      </c>
      <c r="C92" s="445">
        <f>SUM(C73,C77)</f>
        <v>-4.2344662641138395</v>
      </c>
      <c r="D92" s="445">
        <f t="shared" ref="D92:W92" si="8">SUM(D73,D77)</f>
        <v>-8.2081420662682554</v>
      </c>
      <c r="E92" s="445">
        <f t="shared" si="8"/>
        <v>-26.481647151734578</v>
      </c>
      <c r="F92" s="445">
        <f t="shared" si="8"/>
        <v>-30.918402131725053</v>
      </c>
      <c r="G92" s="445">
        <f t="shared" si="8"/>
        <v>-25.188371977055812</v>
      </c>
      <c r="H92" s="445">
        <f t="shared" si="8"/>
        <v>-26.183633910904344</v>
      </c>
      <c r="I92" s="445">
        <f t="shared" si="8"/>
        <v>5.2665851782723889</v>
      </c>
      <c r="J92" s="445">
        <f t="shared" si="8"/>
        <v>5.4741457725751301</v>
      </c>
      <c r="K92" s="445">
        <f t="shared" si="8"/>
        <v>5.6873732452272732</v>
      </c>
      <c r="L92" s="445">
        <f t="shared" si="8"/>
        <v>5.9064223149525095</v>
      </c>
      <c r="M92" s="445">
        <f t="shared" si="8"/>
        <v>6.1314519246491006</v>
      </c>
      <c r="N92" s="445">
        <f t="shared" si="8"/>
        <v>6.3626253567195068</v>
      </c>
      <c r="O92" s="445">
        <f t="shared" si="8"/>
        <v>6.6001103515487651</v>
      </c>
      <c r="P92" s="445">
        <f t="shared" si="8"/>
        <v>6.8440792292175781</v>
      </c>
      <c r="Q92" s="445">
        <f t="shared" si="8"/>
        <v>7.0947090145384983</v>
      </c>
      <c r="R92" s="445">
        <f t="shared" si="8"/>
        <v>7.3546602926760496</v>
      </c>
      <c r="S92" s="445">
        <f t="shared" si="8"/>
        <v>7.6324484335292686</v>
      </c>
      <c r="T92" s="445">
        <f t="shared" si="8"/>
        <v>7.9388957411584045</v>
      </c>
      <c r="U92" s="445">
        <f t="shared" si="8"/>
        <v>8.2790468709705891</v>
      </c>
      <c r="V92" s="445">
        <f t="shared" si="8"/>
        <v>8.6412097753161934</v>
      </c>
      <c r="W92" s="445">
        <f t="shared" si="8"/>
        <v>25.731563150040891</v>
      </c>
    </row>
    <row r="93" spans="2:24">
      <c r="C93" s="4">
        <f>IRR(C92:W92)</f>
        <v>-1.9520490121405221E-4</v>
      </c>
    </row>
    <row r="94" spans="2:24">
      <c r="B94" s="1100" t="s">
        <v>1385</v>
      </c>
      <c r="C94" s="1100"/>
    </row>
    <row r="95" spans="2:24">
      <c r="B95" s="1100" t="s">
        <v>1381</v>
      </c>
      <c r="C95" s="1111">
        <f>Health!B30</f>
        <v>89461.799999999988</v>
      </c>
    </row>
    <row r="96" spans="2:24">
      <c r="B96" s="1100" t="s">
        <v>1374</v>
      </c>
      <c r="C96" s="1111">
        <f>Health!B31</f>
        <v>25980.164659520808</v>
      </c>
    </row>
    <row r="97" spans="2:3">
      <c r="B97" s="1100" t="s">
        <v>1375</v>
      </c>
      <c r="C97" s="1111">
        <f>Health!B32</f>
        <v>188622.28</v>
      </c>
    </row>
    <row r="98" spans="2:3">
      <c r="B98" s="1100"/>
      <c r="C98" s="1100"/>
    </row>
    <row r="99" spans="2:3">
      <c r="B99" s="1100" t="s">
        <v>1377</v>
      </c>
      <c r="C99" s="1100"/>
    </row>
    <row r="100" spans="2:3">
      <c r="B100" s="1100" t="s">
        <v>1381</v>
      </c>
      <c r="C100" s="1101">
        <f>Costs!C12+Costs!C14</f>
        <v>42.853980770516259</v>
      </c>
    </row>
    <row r="101" spans="2:3">
      <c r="B101" s="1100" t="s">
        <v>1374</v>
      </c>
      <c r="C101" s="1101">
        <f>Costs!C13+Costs!C16</f>
        <v>64.170439873221753</v>
      </c>
    </row>
    <row r="102" spans="2:3">
      <c r="B102" s="1100" t="s">
        <v>1386</v>
      </c>
      <c r="C102" s="1101">
        <f>Costs!C13</f>
        <v>46.170439873221753</v>
      </c>
    </row>
    <row r="103" spans="2:3">
      <c r="B103" s="1100" t="s">
        <v>1375</v>
      </c>
      <c r="C103" s="1101">
        <f>Costs!C15</f>
        <v>67.546022420280551</v>
      </c>
    </row>
    <row r="104" spans="2:3">
      <c r="B104" s="1100"/>
      <c r="C104" s="1100"/>
    </row>
    <row r="105" spans="2:3">
      <c r="B105" s="1100" t="s">
        <v>1384</v>
      </c>
      <c r="C105" s="1100"/>
    </row>
    <row r="106" spans="2:3">
      <c r="B106" s="1100" t="s">
        <v>1381</v>
      </c>
      <c r="C106" s="1112">
        <f>1000000*C100/C95</f>
        <v>479.01988078169973</v>
      </c>
    </row>
    <row r="107" spans="2:3">
      <c r="B107" s="1100" t="s">
        <v>1374</v>
      </c>
      <c r="C107" s="1112">
        <f>1000000*C101/C96</f>
        <v>2469.9781819783643</v>
      </c>
    </row>
    <row r="108" spans="2:3">
      <c r="B108" s="1100" t="s">
        <v>1386</v>
      </c>
      <c r="C108" s="1112">
        <f>1000000*C102/C96</f>
        <v>1777.141926477434</v>
      </c>
    </row>
    <row r="109" spans="2:3">
      <c r="B109" s="1100" t="s">
        <v>1375</v>
      </c>
      <c r="C109" s="1112">
        <f>1000000*C103/C97</f>
        <v>358.10203556165555</v>
      </c>
    </row>
    <row r="111" spans="2:3">
      <c r="B111" s="879" t="s">
        <v>1480</v>
      </c>
    </row>
    <row r="112" spans="2:3" ht="15" thickBot="1">
      <c r="B112" s="879" t="s">
        <v>1481</v>
      </c>
    </row>
    <row r="113" spans="2:5" ht="15" thickBot="1">
      <c r="B113" s="879" t="s">
        <v>1482</v>
      </c>
      <c r="C113" s="991">
        <v>1</v>
      </c>
    </row>
    <row r="114" spans="2:5" ht="15" thickBot="1">
      <c r="B114" s="1" t="s">
        <v>1660</v>
      </c>
    </row>
    <row r="115" spans="2:5" ht="15" thickBot="1">
      <c r="B115" s="1" t="s">
        <v>1659</v>
      </c>
      <c r="C115" s="991">
        <v>1</v>
      </c>
    </row>
    <row r="117" spans="2:5" ht="15" thickBot="1">
      <c r="B117" s="879" t="s">
        <v>1490</v>
      </c>
    </row>
    <row r="118" spans="2:5" ht="15" thickBot="1">
      <c r="B118" s="1" t="s">
        <v>1491</v>
      </c>
      <c r="C118" s="991">
        <v>1</v>
      </c>
      <c r="D118" s="1">
        <v>0.75</v>
      </c>
      <c r="E118" s="879" t="s">
        <v>1547</v>
      </c>
    </row>
    <row r="120" spans="2:5" ht="15" thickBot="1">
      <c r="B120" s="1" t="s">
        <v>1493</v>
      </c>
    </row>
    <row r="121" spans="2:5" ht="15" thickBot="1">
      <c r="B121" s="1" t="s">
        <v>1494</v>
      </c>
      <c r="C121" s="991">
        <v>1</v>
      </c>
    </row>
    <row r="122" spans="2:5">
      <c r="B122" s="1" t="s">
        <v>1510</v>
      </c>
    </row>
    <row r="123" spans="2:5" ht="15" thickBot="1">
      <c r="B123" s="1" t="s">
        <v>1501</v>
      </c>
    </row>
    <row r="124" spans="2:5" ht="15" thickBot="1">
      <c r="C124" s="991">
        <v>0</v>
      </c>
      <c r="D124" s="1">
        <f>1-0.645</f>
        <v>0.35499999999999998</v>
      </c>
    </row>
    <row r="125" spans="2:5" ht="15" thickBot="1">
      <c r="B125" s="1" t="s">
        <v>1505</v>
      </c>
    </row>
    <row r="126" spans="2:5" ht="15" thickBot="1">
      <c r="C126" s="991">
        <v>0</v>
      </c>
      <c r="D126" s="1">
        <f>1-0.45</f>
        <v>0.55000000000000004</v>
      </c>
    </row>
    <row r="127" spans="2:5" ht="15" thickBot="1">
      <c r="B127" s="1" t="s">
        <v>1509</v>
      </c>
    </row>
    <row r="128" spans="2:5" ht="15" thickBot="1">
      <c r="C128" s="991">
        <v>0</v>
      </c>
    </row>
    <row r="129" spans="2:5" ht="15" thickBot="1">
      <c r="B129" s="1" t="s">
        <v>1513</v>
      </c>
      <c r="C129" s="1" t="s">
        <v>1514</v>
      </c>
      <c r="D129" s="1" t="s">
        <v>1512</v>
      </c>
    </row>
    <row r="130" spans="2:5" ht="15" thickBot="1">
      <c r="C130" s="1">
        <f>((Health!B30-Health!C30)/Health!B30)+ERR!D130*(Health!C30/Health!B30)</f>
        <v>0.9396390414679785</v>
      </c>
      <c r="D130" s="991">
        <v>0.8</v>
      </c>
    </row>
    <row r="131" spans="2:5">
      <c r="B131" s="1" t="s">
        <v>1515</v>
      </c>
      <c r="C131" s="99">
        <f>I2</f>
        <v>9.7433953784229255E-2</v>
      </c>
      <c r="E131" s="1" t="s">
        <v>1516</v>
      </c>
    </row>
    <row r="133" spans="2:5">
      <c r="B133" s="1" t="s">
        <v>1529</v>
      </c>
    </row>
    <row r="134" spans="2:5">
      <c r="B134" s="1" t="s">
        <v>1526</v>
      </c>
    </row>
    <row r="135" spans="2:5">
      <c r="B135" s="1" t="s">
        <v>1520</v>
      </c>
      <c r="C135" s="1">
        <f>Health!C30</f>
        <v>27000</v>
      </c>
      <c r="D135" s="1" t="s">
        <v>1518</v>
      </c>
      <c r="E135" s="1">
        <f>C135/6</f>
        <v>4500</v>
      </c>
    </row>
    <row r="136" spans="2:5">
      <c r="B136" s="1" t="s">
        <v>1521</v>
      </c>
      <c r="C136" s="1">
        <f>Health!B30</f>
        <v>89461.799999999988</v>
      </c>
    </row>
    <row r="137" spans="2:5">
      <c r="B137" s="1" t="s">
        <v>1522</v>
      </c>
      <c r="C137" s="445">
        <f>Benefits!C16+Benefits!C21</f>
        <v>73.34184511230319</v>
      </c>
      <c r="D137" s="1" t="s">
        <v>1524</v>
      </c>
    </row>
    <row r="138" spans="2:5">
      <c r="B138" s="1" t="s">
        <v>1519</v>
      </c>
      <c r="C138" s="445">
        <f>C137*C135/C136</f>
        <v>22.134920357428381</v>
      </c>
    </row>
    <row r="139" spans="2:5">
      <c r="B139" s="1" t="s">
        <v>1523</v>
      </c>
      <c r="C139" s="445">
        <f>1000000*C138/E135</f>
        <v>4918.8711905396403</v>
      </c>
      <c r="D139" s="1" t="s">
        <v>1525</v>
      </c>
      <c r="E139" s="445">
        <f>Benefits!C16/(Benefits!C16+Benefits!C21)</f>
        <v>0.11025506774790257</v>
      </c>
    </row>
    <row r="140" spans="2:5">
      <c r="C140" s="445">
        <f>C139-D140</f>
        <v>4376.5407141834858</v>
      </c>
      <c r="D140" s="175">
        <f>C139*E139</f>
        <v>542.33047635615424</v>
      </c>
    </row>
    <row r="142" spans="2:5">
      <c r="B142" s="1" t="s">
        <v>1374</v>
      </c>
    </row>
    <row r="143" spans="2:5">
      <c r="B143" s="1" t="s">
        <v>1517</v>
      </c>
      <c r="C143" s="1">
        <f>Health!C31</f>
        <v>17440.514659520806</v>
      </c>
      <c r="D143" s="1" t="s">
        <v>1527</v>
      </c>
      <c r="E143" s="102">
        <f>C143/6</f>
        <v>2906.7524432534678</v>
      </c>
    </row>
    <row r="144" spans="2:5">
      <c r="B144" s="1" t="s">
        <v>1521</v>
      </c>
      <c r="C144" s="1">
        <f>Health!B31</f>
        <v>25980.164659520808</v>
      </c>
    </row>
    <row r="145" spans="2:4">
      <c r="B145" s="1" t="s">
        <v>1522</v>
      </c>
      <c r="C145" s="445">
        <f>Benefits!C17</f>
        <v>2.0904302516544866</v>
      </c>
      <c r="D145" s="1" t="s">
        <v>1524</v>
      </c>
    </row>
    <row r="146" spans="2:4">
      <c r="B146" s="1" t="s">
        <v>1528</v>
      </c>
      <c r="C146" s="445">
        <f>C145*C143/C144</f>
        <v>1.4033082517560262</v>
      </c>
    </row>
    <row r="147" spans="2:4">
      <c r="B147" s="1" t="s">
        <v>1523</v>
      </c>
      <c r="C147" s="175">
        <f>1000000*C146/E143</f>
        <v>482.77528931405396</v>
      </c>
    </row>
    <row r="149" spans="2:4">
      <c r="B149" s="1" t="s">
        <v>1531</v>
      </c>
    </row>
    <row r="150" spans="2:4">
      <c r="B150" s="1" t="s">
        <v>1532</v>
      </c>
      <c r="C150" s="171">
        <f>'ERR &amp; Sensitivity Analysis'!D15/0.25</f>
        <v>1</v>
      </c>
    </row>
    <row r="152" spans="2:4">
      <c r="B152" s="1" t="s">
        <v>1535</v>
      </c>
      <c r="C152" s="1">
        <f>(Health!B30+Health!B31-Health!C30-Health!C31)/(SUM(Health!B30:B31))</f>
        <v>0.61504020838010154</v>
      </c>
    </row>
    <row r="153" spans="2:4">
      <c r="B153" s="1" t="s">
        <v>1536</v>
      </c>
      <c r="C153" s="1">
        <f>(Health!B30-Health!C30)/Health!B30</f>
        <v>0.69819520733989249</v>
      </c>
    </row>
    <row r="154" spans="2:4">
      <c r="B154" s="1" t="s">
        <v>1537</v>
      </c>
      <c r="C154" s="1">
        <f>(Health!B31-Health!C31)/Health!B31</f>
        <v>0.32869884051602893</v>
      </c>
    </row>
    <row r="155" spans="2:4" s="1137" customFormat="1"/>
    <row r="156" spans="2:4">
      <c r="B156" s="1" t="s">
        <v>1734</v>
      </c>
    </row>
    <row r="157" spans="2:4">
      <c r="B157" s="1" t="s">
        <v>1746</v>
      </c>
    </row>
    <row r="158" spans="2:4">
      <c r="B158" s="1" t="s">
        <v>1733</v>
      </c>
      <c r="C158" s="1">
        <v>0</v>
      </c>
    </row>
    <row r="160" spans="2:4">
      <c r="B160" s="1" t="s">
        <v>1735</v>
      </c>
    </row>
    <row r="162" spans="2:3">
      <c r="B162" s="1" t="s">
        <v>1745</v>
      </c>
    </row>
    <row r="163" spans="2:3">
      <c r="B163" s="1" t="s">
        <v>1747</v>
      </c>
      <c r="C163" s="1">
        <v>0</v>
      </c>
    </row>
    <row r="165" spans="2:3">
      <c r="B165" s="1" t="s">
        <v>1748</v>
      </c>
    </row>
    <row r="167" spans="2:3">
      <c r="B167" s="1" t="s">
        <v>1749</v>
      </c>
      <c r="C167" s="1">
        <v>0.1773329129886507</v>
      </c>
    </row>
    <row r="168" spans="2:3" s="1137" customFormat="1"/>
    <row r="169" spans="2:3">
      <c r="B169" s="976">
        <v>43804</v>
      </c>
    </row>
    <row r="170" spans="2:3" ht="29">
      <c r="B170" s="1276" t="s">
        <v>1757</v>
      </c>
      <c r="C170" s="1">
        <v>0.32</v>
      </c>
    </row>
    <row r="172" spans="2:3">
      <c r="B172" s="1" t="s">
        <v>1515</v>
      </c>
      <c r="C172" s="99">
        <f>I2</f>
        <v>9.7433953784229255E-2</v>
      </c>
    </row>
  </sheetData>
  <mergeCells count="6">
    <mergeCell ref="W1:Y1"/>
    <mergeCell ref="B21:C22"/>
    <mergeCell ref="F5:J5"/>
    <mergeCell ref="K2:L2"/>
    <mergeCell ref="G16:I16"/>
    <mergeCell ref="G17:I17"/>
  </mergeCells>
  <conditionalFormatting sqref="K2">
    <cfRule type="expression" dxfId="3" priority="1">
      <formula>$M$29&lt;&gt;1</formula>
    </cfRule>
    <cfRule type="expression" dxfId="2" priority="2">
      <formula>$M$29</formula>
    </cfRule>
  </conditionalFormatting>
  <pageMargins left="0.7" right="0.7" top="0.75" bottom="0.75" header="0.3" footer="0.3"/>
  <pageSetup orientation="portrait" r:id="rId1"/>
  <cellWatches>
    <cellWatch r="I2"/>
  </cellWatch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Z42"/>
  <sheetViews>
    <sheetView zoomScale="80" zoomScaleNormal="80" workbookViewId="0">
      <selection activeCell="X2" sqref="X2"/>
    </sheetView>
  </sheetViews>
  <sheetFormatPr defaultColWidth="9.1796875" defaultRowHeight="14.5"/>
  <cols>
    <col min="1" max="1" width="2.7265625" style="1" bestFit="1" customWidth="1"/>
    <col min="2" max="2" width="56.81640625" style="1" bestFit="1" customWidth="1"/>
    <col min="3" max="3" width="16.26953125" style="1" customWidth="1"/>
    <col min="4" max="5" width="9.1796875" style="1"/>
    <col min="6" max="6" width="11.26953125" style="1" customWidth="1"/>
    <col min="7" max="7" width="11.81640625" style="1" customWidth="1"/>
    <col min="8" max="16384" width="9.1796875" style="1"/>
  </cols>
  <sheetData>
    <row r="1" spans="1:26" s="1137" customFormat="1"/>
    <row r="2" spans="1:26" ht="21">
      <c r="A2" s="590"/>
      <c r="B2" s="590" t="s">
        <v>730</v>
      </c>
      <c r="C2" s="445"/>
      <c r="E2" s="879" t="s">
        <v>1480</v>
      </c>
      <c r="U2" s="1073"/>
      <c r="V2" s="1073"/>
      <c r="W2" s="1073"/>
      <c r="X2" s="1319" t="s">
        <v>1764</v>
      </c>
      <c r="Y2" s="1073"/>
      <c r="Z2" s="1073"/>
    </row>
    <row r="3" spans="1:26" ht="15" customHeight="1">
      <c r="A3" s="590"/>
      <c r="B3" s="504" t="s">
        <v>786</v>
      </c>
      <c r="C3" s="504"/>
      <c r="D3" s="445">
        <f>SUM(D10:I10)</f>
        <v>330.29833534520583</v>
      </c>
      <c r="E3" s="879" t="s">
        <v>1481</v>
      </c>
      <c r="I3" s="1" t="s">
        <v>1658</v>
      </c>
      <c r="U3" s="1137"/>
      <c r="V3" s="1137"/>
      <c r="W3" s="1137"/>
      <c r="X3" s="1137"/>
      <c r="Y3" s="1137"/>
      <c r="Z3" s="1137"/>
    </row>
    <row r="4" spans="1:26" ht="15" customHeight="1">
      <c r="A4" s="590"/>
      <c r="B4" s="583" t="s">
        <v>727</v>
      </c>
      <c r="C4" s="504"/>
      <c r="E4" s="879" t="s">
        <v>1482</v>
      </c>
      <c r="I4" s="1">
        <v>22</v>
      </c>
    </row>
    <row r="5" spans="1:26" ht="15" customHeight="1">
      <c r="B5" s="706"/>
      <c r="E5" s="879">
        <f>ERR!C113</f>
        <v>1</v>
      </c>
      <c r="I5" s="1" t="s">
        <v>1490</v>
      </c>
    </row>
    <row r="6" spans="1:26">
      <c r="C6" s="705" t="s">
        <v>895</v>
      </c>
      <c r="D6" s="589"/>
      <c r="E6" s="588"/>
      <c r="F6" s="588"/>
      <c r="G6" s="588" t="s">
        <v>783</v>
      </c>
      <c r="H6" s="588"/>
      <c r="I6" s="588"/>
      <c r="J6" s="587"/>
      <c r="K6" s="587"/>
      <c r="L6" s="587"/>
      <c r="M6" s="587"/>
      <c r="N6" s="587"/>
      <c r="O6" s="586"/>
      <c r="P6" s="586"/>
      <c r="Q6" s="586"/>
      <c r="R6" s="586"/>
      <c r="S6" s="586"/>
      <c r="T6" s="585"/>
      <c r="U6" s="585"/>
      <c r="V6" s="585"/>
      <c r="W6" s="585"/>
      <c r="X6" s="585"/>
    </row>
    <row r="7" spans="1:26" s="6" customFormat="1">
      <c r="B7" s="534" t="s">
        <v>91</v>
      </c>
      <c r="C7" s="583" t="s">
        <v>727</v>
      </c>
      <c r="D7" s="534">
        <v>0</v>
      </c>
      <c r="E7" s="534">
        <f t="shared" ref="E7:X7" si="0">D7+1</f>
        <v>1</v>
      </c>
      <c r="F7" s="534">
        <f t="shared" si="0"/>
        <v>2</v>
      </c>
      <c r="G7" s="534">
        <f t="shared" si="0"/>
        <v>3</v>
      </c>
      <c r="H7" s="534">
        <f t="shared" si="0"/>
        <v>4</v>
      </c>
      <c r="I7" s="534">
        <f t="shared" si="0"/>
        <v>5</v>
      </c>
      <c r="J7" s="534">
        <f t="shared" si="0"/>
        <v>6</v>
      </c>
      <c r="K7" s="534">
        <f t="shared" si="0"/>
        <v>7</v>
      </c>
      <c r="L7" s="534">
        <f t="shared" si="0"/>
        <v>8</v>
      </c>
      <c r="M7" s="534">
        <f t="shared" si="0"/>
        <v>9</v>
      </c>
      <c r="N7" s="534">
        <f t="shared" si="0"/>
        <v>10</v>
      </c>
      <c r="O7" s="534">
        <f t="shared" si="0"/>
        <v>11</v>
      </c>
      <c r="P7" s="534">
        <f t="shared" si="0"/>
        <v>12</v>
      </c>
      <c r="Q7" s="534">
        <f t="shared" si="0"/>
        <v>13</v>
      </c>
      <c r="R7" s="534">
        <f t="shared" si="0"/>
        <v>14</v>
      </c>
      <c r="S7" s="534">
        <f t="shared" si="0"/>
        <v>15</v>
      </c>
      <c r="T7" s="534">
        <f t="shared" si="0"/>
        <v>16</v>
      </c>
      <c r="U7" s="534">
        <f t="shared" si="0"/>
        <v>17</v>
      </c>
      <c r="V7" s="534">
        <f t="shared" si="0"/>
        <v>18</v>
      </c>
      <c r="W7" s="534">
        <f t="shared" si="0"/>
        <v>19</v>
      </c>
      <c r="X7" s="534">
        <f t="shared" si="0"/>
        <v>20</v>
      </c>
    </row>
    <row r="8" spans="1:26">
      <c r="B8" s="1" t="s">
        <v>782</v>
      </c>
      <c r="C8" s="72"/>
      <c r="D8" s="1">
        <v>2012</v>
      </c>
      <c r="E8" s="1">
        <f t="shared" ref="E8:X8" si="1">D8+1</f>
        <v>2013</v>
      </c>
      <c r="F8" s="1">
        <f t="shared" si="1"/>
        <v>2014</v>
      </c>
      <c r="G8" s="1">
        <f t="shared" si="1"/>
        <v>2015</v>
      </c>
      <c r="H8" s="1">
        <f t="shared" si="1"/>
        <v>2016</v>
      </c>
      <c r="I8" s="1">
        <f t="shared" si="1"/>
        <v>2017</v>
      </c>
      <c r="J8" s="1">
        <f t="shared" si="1"/>
        <v>2018</v>
      </c>
      <c r="K8" s="1">
        <f t="shared" si="1"/>
        <v>2019</v>
      </c>
      <c r="L8" s="1">
        <f t="shared" si="1"/>
        <v>2020</v>
      </c>
      <c r="M8" s="1">
        <f t="shared" si="1"/>
        <v>2021</v>
      </c>
      <c r="N8" s="1">
        <f t="shared" si="1"/>
        <v>2022</v>
      </c>
      <c r="O8" s="1">
        <f t="shared" si="1"/>
        <v>2023</v>
      </c>
      <c r="P8" s="1">
        <f t="shared" si="1"/>
        <v>2024</v>
      </c>
      <c r="Q8" s="1">
        <f t="shared" si="1"/>
        <v>2025</v>
      </c>
      <c r="R8" s="1">
        <f t="shared" si="1"/>
        <v>2026</v>
      </c>
      <c r="S8" s="1">
        <f t="shared" si="1"/>
        <v>2027</v>
      </c>
      <c r="T8" s="1">
        <f t="shared" si="1"/>
        <v>2028</v>
      </c>
      <c r="U8" s="1">
        <f t="shared" si="1"/>
        <v>2029</v>
      </c>
      <c r="V8" s="1">
        <f t="shared" si="1"/>
        <v>2030</v>
      </c>
      <c r="W8" s="1">
        <f t="shared" si="1"/>
        <v>2031</v>
      </c>
      <c r="X8" s="1">
        <f t="shared" si="1"/>
        <v>2032</v>
      </c>
    </row>
    <row r="9" spans="1:26" ht="6.75" customHeight="1">
      <c r="B9" s="250"/>
      <c r="C9" s="704"/>
    </row>
    <row r="10" spans="1:26" ht="15" customHeight="1">
      <c r="B10" s="173" t="s">
        <v>894</v>
      </c>
      <c r="C10" s="571">
        <f t="shared" ref="C10:C15" si="2">NPV(0.1,D10:X10)</f>
        <v>244.45580368710847</v>
      </c>
      <c r="D10" s="445">
        <f t="shared" ref="D10:X10" si="3">SUM(D11:D15)</f>
        <v>11.412506655003416</v>
      </c>
      <c r="E10" s="445">
        <f>SUM(E11:E17)</f>
        <v>19.973621044529942</v>
      </c>
      <c r="F10" s="445">
        <f t="shared" si="3"/>
        <v>65.66334655860021</v>
      </c>
      <c r="G10" s="445">
        <f t="shared" si="3"/>
        <v>80.937097108693976</v>
      </c>
      <c r="H10" s="445">
        <f t="shared" si="3"/>
        <v>95.575118391688761</v>
      </c>
      <c r="I10" s="445">
        <f>SUM(I11:I16)</f>
        <v>56.736645586689534</v>
      </c>
      <c r="J10" s="445">
        <f t="shared" si="3"/>
        <v>5.0280773098952469</v>
      </c>
      <c r="K10" s="445">
        <f t="shared" si="3"/>
        <v>5.0280773098952469</v>
      </c>
      <c r="L10" s="445">
        <f t="shared" si="3"/>
        <v>5.0280773098952469</v>
      </c>
      <c r="M10" s="445">
        <f t="shared" si="3"/>
        <v>5.0280773098952469</v>
      </c>
      <c r="N10" s="445">
        <f t="shared" si="3"/>
        <v>5.0280773098952469</v>
      </c>
      <c r="O10" s="445">
        <f t="shared" si="3"/>
        <v>5.0280773098952469</v>
      </c>
      <c r="P10" s="445">
        <f t="shared" si="3"/>
        <v>5.0280773098952469</v>
      </c>
      <c r="Q10" s="445">
        <f t="shared" si="3"/>
        <v>5.0280773098952469</v>
      </c>
      <c r="R10" s="445">
        <f t="shared" si="3"/>
        <v>5.0280773098952469</v>
      </c>
      <c r="S10" s="445">
        <f t="shared" si="3"/>
        <v>5.0280773098952469</v>
      </c>
      <c r="T10" s="445">
        <f t="shared" si="3"/>
        <v>5.0280773098952469</v>
      </c>
      <c r="U10" s="445">
        <f t="shared" si="3"/>
        <v>5.0280773098952469</v>
      </c>
      <c r="V10" s="445">
        <f t="shared" si="3"/>
        <v>5.0280773098952469</v>
      </c>
      <c r="W10" s="445">
        <f t="shared" si="3"/>
        <v>5.0280773098952469</v>
      </c>
      <c r="X10" s="445">
        <f t="shared" si="3"/>
        <v>5.0280773098952469</v>
      </c>
    </row>
    <row r="11" spans="1:26" ht="15" customHeight="1">
      <c r="A11" s="462"/>
      <c r="B11" s="363" t="s">
        <v>698</v>
      </c>
      <c r="C11" s="571">
        <f t="shared" si="2"/>
        <v>76.708776808025249</v>
      </c>
      <c r="D11" s="571">
        <v>4.4635022686721051</v>
      </c>
      <c r="E11" s="571">
        <v>6.5152022547979733</v>
      </c>
      <c r="F11" s="571">
        <v>21.757646388456553</v>
      </c>
      <c r="G11" s="571">
        <v>27.628221791435514</v>
      </c>
      <c r="H11" s="571">
        <v>25.244430007117071</v>
      </c>
      <c r="I11" s="571">
        <v>13.316567355877432</v>
      </c>
      <c r="J11" s="571">
        <v>2.0630652892123744</v>
      </c>
      <c r="K11" s="571">
        <v>2.0630652892123744</v>
      </c>
      <c r="L11" s="571">
        <v>2.0630652892123744</v>
      </c>
      <c r="M11" s="571">
        <v>2.0630652892123744</v>
      </c>
      <c r="N11" s="571">
        <v>2.0630652892123744</v>
      </c>
      <c r="O11" s="571">
        <v>2.0630652892123744</v>
      </c>
      <c r="P11" s="571">
        <v>2.0630652892123744</v>
      </c>
      <c r="Q11" s="571">
        <v>2.0630652892123744</v>
      </c>
      <c r="R11" s="571">
        <v>2.0630652892123744</v>
      </c>
      <c r="S11" s="571">
        <v>2.0630652892123744</v>
      </c>
      <c r="T11" s="571">
        <v>2.0630652892123744</v>
      </c>
      <c r="U11" s="571">
        <v>2.0630652892123744</v>
      </c>
      <c r="V11" s="571">
        <v>2.0630652892123744</v>
      </c>
      <c r="W11" s="571">
        <v>2.0630652892123744</v>
      </c>
      <c r="X11" s="571">
        <v>2.0630652892123744</v>
      </c>
    </row>
    <row r="12" spans="1:26" ht="15" customHeight="1">
      <c r="A12" s="462"/>
      <c r="B12" s="363" t="s">
        <v>697</v>
      </c>
      <c r="C12" s="571">
        <f t="shared" si="2"/>
        <v>30.216320212416019</v>
      </c>
      <c r="D12" s="571">
        <v>1.7540470933141907</v>
      </c>
      <c r="E12" s="571">
        <v>2.6238201824179983</v>
      </c>
      <c r="F12" s="571">
        <v>8.6922442412341496</v>
      </c>
      <c r="G12" s="571">
        <v>10.846073028226421</v>
      </c>
      <c r="H12" s="571">
        <v>9.8547114466609056</v>
      </c>
      <c r="I12" s="571">
        <v>5.163885624935852</v>
      </c>
      <c r="J12" s="571">
        <v>0.81072190579687198</v>
      </c>
      <c r="K12" s="571">
        <v>0.81072190579687198</v>
      </c>
      <c r="L12" s="571">
        <v>0.81072190579687198</v>
      </c>
      <c r="M12" s="571">
        <v>0.81072190579687198</v>
      </c>
      <c r="N12" s="571">
        <v>0.81072190579687198</v>
      </c>
      <c r="O12" s="571">
        <v>0.81072190579687198</v>
      </c>
      <c r="P12" s="571">
        <v>0.81072190579687198</v>
      </c>
      <c r="Q12" s="571">
        <v>0.81072190579687198</v>
      </c>
      <c r="R12" s="571">
        <v>0.81072190579687198</v>
      </c>
      <c r="S12" s="571">
        <v>0.81072190579687198</v>
      </c>
      <c r="T12" s="571">
        <v>0.81072190579687198</v>
      </c>
      <c r="U12" s="571">
        <v>0.81072190579687198</v>
      </c>
      <c r="V12" s="571">
        <v>0.81072190579687198</v>
      </c>
      <c r="W12" s="571">
        <v>0.81072190579687198</v>
      </c>
      <c r="X12" s="571">
        <v>0.81072190579687198</v>
      </c>
    </row>
    <row r="13" spans="1:26" ht="15" customHeight="1">
      <c r="A13" s="462"/>
      <c r="B13" s="363" t="s">
        <v>696</v>
      </c>
      <c r="C13" s="571">
        <f>NPV(0.1,D13:X13)</f>
        <v>46.170439873221753</v>
      </c>
      <c r="D13" s="571">
        <v>1.9247953349756155</v>
      </c>
      <c r="E13" s="571">
        <v>4.5753018166636945</v>
      </c>
      <c r="F13" s="571">
        <v>14.797364906950996</v>
      </c>
      <c r="G13" s="571">
        <v>17.690343757843245</v>
      </c>
      <c r="H13" s="571">
        <v>15.900532264752004</v>
      </c>
      <c r="I13" s="571">
        <v>6.2830459485827941</v>
      </c>
      <c r="J13" s="571">
        <v>0.9362128049907541</v>
      </c>
      <c r="K13" s="571">
        <v>0.9362128049907541</v>
      </c>
      <c r="L13" s="571">
        <v>0.9362128049907541</v>
      </c>
      <c r="M13" s="571">
        <v>0.9362128049907541</v>
      </c>
      <c r="N13" s="571">
        <v>0.9362128049907541</v>
      </c>
      <c r="O13" s="571">
        <v>0.9362128049907541</v>
      </c>
      <c r="P13" s="571">
        <v>0.9362128049907541</v>
      </c>
      <c r="Q13" s="571">
        <v>0.9362128049907541</v>
      </c>
      <c r="R13" s="571">
        <v>0.9362128049907541</v>
      </c>
      <c r="S13" s="571">
        <v>0.9362128049907541</v>
      </c>
      <c r="T13" s="571">
        <v>0.9362128049907541</v>
      </c>
      <c r="U13" s="571">
        <v>0.9362128049907541</v>
      </c>
      <c r="V13" s="571">
        <v>0.9362128049907541</v>
      </c>
      <c r="W13" s="571">
        <v>0.9362128049907541</v>
      </c>
      <c r="X13" s="571">
        <v>0.9362128049907541</v>
      </c>
    </row>
    <row r="14" spans="1:26" ht="15" customHeight="1">
      <c r="A14" s="462"/>
      <c r="B14" s="363" t="s">
        <v>694</v>
      </c>
      <c r="C14" s="571">
        <f t="shared" si="2"/>
        <v>12.63766055810024</v>
      </c>
      <c r="D14" s="571">
        <v>0.55562383582403352</v>
      </c>
      <c r="E14" s="571">
        <v>1.0090200671865621</v>
      </c>
      <c r="F14" s="571">
        <v>3.3333274905717447</v>
      </c>
      <c r="G14" s="571">
        <v>4.1350226937184908</v>
      </c>
      <c r="H14" s="571">
        <v>3.7552865185922459</v>
      </c>
      <c r="I14" s="571">
        <v>1.9669604938671121</v>
      </c>
      <c r="J14" s="571">
        <v>0.58879617737160594</v>
      </c>
      <c r="K14" s="571">
        <v>0.58879617737160594</v>
      </c>
      <c r="L14" s="571">
        <v>0.58879617737160594</v>
      </c>
      <c r="M14" s="571">
        <v>0.58879617737160594</v>
      </c>
      <c r="N14" s="571">
        <v>0.58879617737160594</v>
      </c>
      <c r="O14" s="571">
        <v>0.58879617737160594</v>
      </c>
      <c r="P14" s="571">
        <v>0.58879617737160594</v>
      </c>
      <c r="Q14" s="571">
        <v>0.58879617737160594</v>
      </c>
      <c r="R14" s="571">
        <v>0.58879617737160594</v>
      </c>
      <c r="S14" s="571">
        <v>0.58879617737160594</v>
      </c>
      <c r="T14" s="571">
        <v>0.58879617737160594</v>
      </c>
      <c r="U14" s="571">
        <v>0.58879617737160594</v>
      </c>
      <c r="V14" s="571">
        <v>0.58879617737160594</v>
      </c>
      <c r="W14" s="571">
        <v>0.58879617737160594</v>
      </c>
      <c r="X14" s="571">
        <v>0.58879617737160594</v>
      </c>
    </row>
    <row r="15" spans="1:26" ht="15" customHeight="1">
      <c r="A15" s="703"/>
      <c r="B15" s="702" t="s">
        <v>893</v>
      </c>
      <c r="C15" s="571">
        <f t="shared" si="2"/>
        <v>67.546022420280551</v>
      </c>
      <c r="D15" s="571">
        <f>$E$5*D30</f>
        <v>2.71453812221747</v>
      </c>
      <c r="E15" s="571">
        <f>$E$5*E30</f>
        <v>5.2502767234637151</v>
      </c>
      <c r="F15" s="571">
        <f t="shared" ref="F15:X15" si="4">$E$5*F30</f>
        <v>17.08276353138676</v>
      </c>
      <c r="G15" s="571">
        <f t="shared" si="4"/>
        <v>20.637435837470303</v>
      </c>
      <c r="H15" s="571">
        <f>$E$5*H30+I4*ERR!C115</f>
        <v>40.820158154566542</v>
      </c>
      <c r="I15" s="571">
        <f t="shared" si="4"/>
        <v>10.20618616342634</v>
      </c>
      <c r="J15" s="571">
        <f t="shared" si="4"/>
        <v>0.62928113252364037</v>
      </c>
      <c r="K15" s="571">
        <f t="shared" si="4"/>
        <v>0.62928113252364037</v>
      </c>
      <c r="L15" s="571">
        <f t="shared" si="4"/>
        <v>0.62928113252364037</v>
      </c>
      <c r="M15" s="571">
        <f t="shared" si="4"/>
        <v>0.62928113252364037</v>
      </c>
      <c r="N15" s="571">
        <f t="shared" si="4"/>
        <v>0.62928113252364037</v>
      </c>
      <c r="O15" s="571">
        <f t="shared" si="4"/>
        <v>0.62928113252364037</v>
      </c>
      <c r="P15" s="571">
        <f t="shared" si="4"/>
        <v>0.62928113252364037</v>
      </c>
      <c r="Q15" s="571">
        <f t="shared" si="4"/>
        <v>0.62928113252364037</v>
      </c>
      <c r="R15" s="571">
        <f t="shared" si="4"/>
        <v>0.62928113252364037</v>
      </c>
      <c r="S15" s="571">
        <f t="shared" si="4"/>
        <v>0.62928113252364037</v>
      </c>
      <c r="T15" s="571">
        <f t="shared" si="4"/>
        <v>0.62928113252364037</v>
      </c>
      <c r="U15" s="571">
        <f t="shared" si="4"/>
        <v>0.62928113252364037</v>
      </c>
      <c r="V15" s="571">
        <f t="shared" si="4"/>
        <v>0.62928113252364037</v>
      </c>
      <c r="W15" s="571">
        <f t="shared" si="4"/>
        <v>0.62928113252364037</v>
      </c>
      <c r="X15" s="571">
        <f t="shared" si="4"/>
        <v>0.62928113252364037</v>
      </c>
    </row>
    <row r="16" spans="1:26" ht="15" customHeight="1">
      <c r="B16" s="702" t="s">
        <v>1359</v>
      </c>
      <c r="C16" s="571">
        <f>NPV(0.1,D16:X16)</f>
        <v>18</v>
      </c>
      <c r="D16" s="571"/>
      <c r="E16" s="571"/>
      <c r="F16" s="571"/>
      <c r="G16" s="571"/>
      <c r="H16" s="571"/>
      <c r="I16" s="571">
        <v>19.8</v>
      </c>
      <c r="J16" s="571"/>
      <c r="K16" s="571"/>
      <c r="L16" s="571"/>
      <c r="M16" s="571"/>
      <c r="N16" s="571"/>
      <c r="O16" s="571"/>
      <c r="P16" s="571"/>
      <c r="Q16" s="571"/>
      <c r="R16" s="571"/>
      <c r="S16" s="571"/>
      <c r="T16" s="571"/>
      <c r="U16" s="571"/>
      <c r="V16" s="571"/>
      <c r="W16" s="571"/>
      <c r="X16" s="571"/>
    </row>
    <row r="17" spans="2:24" s="879" customFormat="1" ht="15" customHeight="1">
      <c r="B17" s="702" t="s">
        <v>1496</v>
      </c>
      <c r="C17" s="571"/>
      <c r="D17" s="571"/>
      <c r="E17" s="571"/>
      <c r="F17" s="571"/>
      <c r="G17" s="571"/>
      <c r="H17" s="571"/>
      <c r="I17" s="571"/>
      <c r="J17" s="571"/>
      <c r="K17" s="571"/>
      <c r="L17" s="571"/>
      <c r="M17" s="571"/>
      <c r="N17" s="571"/>
      <c r="O17" s="571"/>
      <c r="P17" s="571"/>
      <c r="Q17" s="571"/>
      <c r="R17" s="571"/>
      <c r="S17" s="571"/>
      <c r="T17" s="571"/>
      <c r="U17" s="571"/>
      <c r="V17" s="571"/>
      <c r="W17" s="571"/>
      <c r="X17" s="571"/>
    </row>
    <row r="18" spans="2:24" ht="15" customHeight="1">
      <c r="B18" s="701" t="s">
        <v>892</v>
      </c>
      <c r="C18" s="571">
        <f>NPV(0.1,D18:X18)</f>
        <v>244.45580368710847</v>
      </c>
      <c r="D18" s="571">
        <f>D10</f>
        <v>11.412506655003416</v>
      </c>
      <c r="E18" s="571">
        <f>E10</f>
        <v>19.973621044529942</v>
      </c>
      <c r="F18" s="571">
        <f>F10</f>
        <v>65.66334655860021</v>
      </c>
      <c r="G18" s="571">
        <f t="shared" ref="G18:X18" si="5">G10</f>
        <v>80.937097108693976</v>
      </c>
      <c r="H18" s="571">
        <f t="shared" si="5"/>
        <v>95.575118391688761</v>
      </c>
      <c r="I18" s="571">
        <f>I10</f>
        <v>56.736645586689534</v>
      </c>
      <c r="J18" s="571">
        <f t="shared" si="5"/>
        <v>5.0280773098952469</v>
      </c>
      <c r="K18" s="571">
        <f t="shared" si="5"/>
        <v>5.0280773098952469</v>
      </c>
      <c r="L18" s="571">
        <f t="shared" si="5"/>
        <v>5.0280773098952469</v>
      </c>
      <c r="M18" s="571">
        <f t="shared" si="5"/>
        <v>5.0280773098952469</v>
      </c>
      <c r="N18" s="571">
        <f t="shared" si="5"/>
        <v>5.0280773098952469</v>
      </c>
      <c r="O18" s="571">
        <f t="shared" si="5"/>
        <v>5.0280773098952469</v>
      </c>
      <c r="P18" s="571">
        <f t="shared" si="5"/>
        <v>5.0280773098952469</v>
      </c>
      <c r="Q18" s="571">
        <f t="shared" si="5"/>
        <v>5.0280773098952469</v>
      </c>
      <c r="R18" s="571">
        <f t="shared" si="5"/>
        <v>5.0280773098952469</v>
      </c>
      <c r="S18" s="571">
        <f t="shared" si="5"/>
        <v>5.0280773098952469</v>
      </c>
      <c r="T18" s="571">
        <f t="shared" si="5"/>
        <v>5.0280773098952469</v>
      </c>
      <c r="U18" s="571">
        <f t="shared" si="5"/>
        <v>5.0280773098952469</v>
      </c>
      <c r="V18" s="571">
        <f t="shared" si="5"/>
        <v>5.0280773098952469</v>
      </c>
      <c r="W18" s="571">
        <f t="shared" si="5"/>
        <v>5.0280773098952469</v>
      </c>
      <c r="X18" s="571">
        <f t="shared" si="5"/>
        <v>5.0280773098952469</v>
      </c>
    </row>
    <row r="19" spans="2:24" ht="15" customHeight="1">
      <c r="B19" s="229" t="s">
        <v>1264</v>
      </c>
      <c r="C19" s="445">
        <f>D19*1000000</f>
        <v>405719494.99363464</v>
      </c>
      <c r="D19" s="445">
        <f>SUM(D18:X18)</f>
        <v>405.71949499363461</v>
      </c>
      <c r="H19" s="229"/>
      <c r="I19" s="229"/>
      <c r="J19" s="229"/>
    </row>
    <row r="20" spans="2:24" s="879" customFormat="1" ht="15" customHeight="1">
      <c r="B20" s="977" t="s">
        <v>1502</v>
      </c>
      <c r="C20" s="445"/>
      <c r="D20" s="445"/>
      <c r="H20" s="229"/>
      <c r="I20" s="229"/>
      <c r="J20" s="229"/>
    </row>
    <row r="21" spans="2:24" ht="15" customHeight="1">
      <c r="B21" s="977" t="s">
        <v>1503</v>
      </c>
      <c r="D21" s="445">
        <f>(1-0.35)*SUM(Costs!D12:D14)</f>
        <v>2.7524030716739958</v>
      </c>
      <c r="E21" s="445">
        <f>(1-0.35)*SUM(Costs!E12:E14)</f>
        <v>5.3352923430743662</v>
      </c>
      <c r="F21" s="445">
        <f>(1-0.35)*SUM(Costs!F12:F14)</f>
        <v>17.434908815191978</v>
      </c>
      <c r="G21" s="445">
        <f>(1-0.35)*SUM(Costs!G12:G14)</f>
        <v>21.236435661862302</v>
      </c>
      <c r="H21" s="445">
        <f>(1-0.35)*SUM(Costs!H12:H14)</f>
        <v>19.181844649503351</v>
      </c>
      <c r="I21" s="445">
        <f>(1-0.35)*SUM(Costs!I12:I14)</f>
        <v>8.7190298438007439</v>
      </c>
      <c r="J21" s="445">
        <f>(1-0.35)*SUM(Costs!J12:J14)</f>
        <v>1.5182250773035011</v>
      </c>
      <c r="K21" s="445">
        <f>(1-0.35)*SUM(Costs!K12:K14)</f>
        <v>1.5182250773035011</v>
      </c>
      <c r="L21" s="445">
        <f>(1-0.35)*SUM(Costs!L12:L14)</f>
        <v>1.5182250773035011</v>
      </c>
      <c r="M21" s="445">
        <f>(1-0.35)*SUM(Costs!M12:M14)</f>
        <v>1.5182250773035011</v>
      </c>
      <c r="N21" s="445">
        <f>(1-0.35)*SUM(Costs!N12:N14)</f>
        <v>1.5182250773035011</v>
      </c>
      <c r="O21" s="445">
        <f>(1-0.35)*SUM(Costs!O12:O14)</f>
        <v>1.5182250773035011</v>
      </c>
      <c r="P21" s="445">
        <f>(1-0.35)*SUM(Costs!P12:P14)</f>
        <v>1.5182250773035011</v>
      </c>
      <c r="Q21" s="445">
        <f>(1-0.35)*SUM(Costs!Q12:Q14)</f>
        <v>1.5182250773035011</v>
      </c>
      <c r="R21" s="445">
        <f>(1-0.35)*SUM(Costs!R12:R14)</f>
        <v>1.5182250773035011</v>
      </c>
      <c r="S21" s="445">
        <f>(1-0.35)*SUM(Costs!S12:S14)</f>
        <v>1.5182250773035011</v>
      </c>
      <c r="T21" s="445">
        <f>(1-0.35)*SUM(Costs!T12:T14)</f>
        <v>1.5182250773035011</v>
      </c>
      <c r="U21" s="445">
        <f>(1-0.35)*SUM(Costs!U12:U14)</f>
        <v>1.5182250773035011</v>
      </c>
      <c r="V21" s="445">
        <f>(1-0.35)*SUM(Costs!V12:V14)</f>
        <v>1.5182250773035011</v>
      </c>
      <c r="W21" s="445">
        <f>(1-0.35)*SUM(Costs!W12:W14)</f>
        <v>1.5182250773035011</v>
      </c>
      <c r="X21" s="445">
        <f>(1-0.35)*SUM(Costs!X12:X14)</f>
        <v>1.5182250773035011</v>
      </c>
    </row>
    <row r="22" spans="2:24" s="879" customFormat="1" ht="15" customHeight="1">
      <c r="B22" s="977" t="s">
        <v>1504</v>
      </c>
      <c r="D22" s="445">
        <f>D15+D21+D11</f>
        <v>9.93044346256357</v>
      </c>
      <c r="E22" s="445">
        <f t="shared" ref="E22:X22" si="6">E15+E21+E11</f>
        <v>17.100771321336055</v>
      </c>
      <c r="F22" s="445">
        <f t="shared" si="6"/>
        <v>56.275318735035285</v>
      </c>
      <c r="G22" s="445">
        <f t="shared" si="6"/>
        <v>69.50209329076813</v>
      </c>
      <c r="H22" s="445">
        <f t="shared" si="6"/>
        <v>85.246432811186963</v>
      </c>
      <c r="I22" s="445">
        <f t="shared" si="6"/>
        <v>32.241783363104517</v>
      </c>
      <c r="J22" s="445">
        <f t="shared" si="6"/>
        <v>4.2105714990395153</v>
      </c>
      <c r="K22" s="445">
        <f t="shared" si="6"/>
        <v>4.2105714990395153</v>
      </c>
      <c r="L22" s="445">
        <f t="shared" si="6"/>
        <v>4.2105714990395153</v>
      </c>
      <c r="M22" s="445">
        <f t="shared" si="6"/>
        <v>4.2105714990395153</v>
      </c>
      <c r="N22" s="445">
        <f t="shared" si="6"/>
        <v>4.2105714990395153</v>
      </c>
      <c r="O22" s="445">
        <f t="shared" si="6"/>
        <v>4.2105714990395153</v>
      </c>
      <c r="P22" s="445">
        <f t="shared" si="6"/>
        <v>4.2105714990395153</v>
      </c>
      <c r="Q22" s="445">
        <f t="shared" si="6"/>
        <v>4.2105714990395153</v>
      </c>
      <c r="R22" s="445">
        <f t="shared" si="6"/>
        <v>4.2105714990395153</v>
      </c>
      <c r="S22" s="445">
        <f t="shared" si="6"/>
        <v>4.2105714990395153</v>
      </c>
      <c r="T22" s="445">
        <f t="shared" si="6"/>
        <v>4.2105714990395153</v>
      </c>
      <c r="U22" s="445">
        <f t="shared" si="6"/>
        <v>4.2105714990395153</v>
      </c>
      <c r="V22" s="445">
        <f t="shared" si="6"/>
        <v>4.2105714990395153</v>
      </c>
      <c r="W22" s="445">
        <f t="shared" si="6"/>
        <v>4.2105714990395153</v>
      </c>
      <c r="X22" s="445">
        <f t="shared" si="6"/>
        <v>4.2105714990395153</v>
      </c>
    </row>
    <row r="23" spans="2:24" s="879" customFormat="1" ht="15" customHeight="1">
      <c r="B23" s="977" t="s">
        <v>1506</v>
      </c>
      <c r="D23" s="445"/>
      <c r="E23" s="445"/>
      <c r="F23" s="445"/>
      <c r="G23" s="445"/>
      <c r="H23" s="445"/>
      <c r="I23" s="445"/>
      <c r="J23" s="445"/>
      <c r="K23" s="445"/>
      <c r="L23" s="445"/>
      <c r="M23" s="445"/>
      <c r="N23" s="445"/>
      <c r="O23" s="445"/>
      <c r="P23" s="445"/>
      <c r="Q23" s="445"/>
      <c r="R23" s="445"/>
      <c r="S23" s="445"/>
      <c r="T23" s="445"/>
      <c r="U23" s="445"/>
      <c r="V23" s="445"/>
      <c r="W23" s="445"/>
      <c r="X23" s="445"/>
    </row>
    <row r="24" spans="2:24" s="879" customFormat="1" ht="15" customHeight="1">
      <c r="B24" s="977" t="s">
        <v>1507</v>
      </c>
      <c r="D24" s="445">
        <f>D11*ERR!$D$126</f>
        <v>2.4549262477696581</v>
      </c>
      <c r="E24" s="445">
        <f>E11*ERR!$D$126</f>
        <v>3.5833612401388857</v>
      </c>
      <c r="F24" s="445">
        <f>F11*ERR!$D$126</f>
        <v>11.966705513651105</v>
      </c>
      <c r="G24" s="445">
        <f>G11*ERR!$D$126</f>
        <v>15.195521985289535</v>
      </c>
      <c r="H24" s="445">
        <f>H11*ERR!$D$126</f>
        <v>13.88443650391439</v>
      </c>
      <c r="I24" s="445">
        <f>I11*ERR!$D$126</f>
        <v>7.3241120457325879</v>
      </c>
      <c r="J24" s="445">
        <f>J11*ERR!$D$126</f>
        <v>1.134685909066806</v>
      </c>
      <c r="K24" s="445">
        <f>K11*ERR!$D$126</f>
        <v>1.134685909066806</v>
      </c>
      <c r="L24" s="445">
        <f>L11*ERR!$D$126</f>
        <v>1.134685909066806</v>
      </c>
      <c r="M24" s="445">
        <f>M11*ERR!$D$126</f>
        <v>1.134685909066806</v>
      </c>
      <c r="N24" s="445">
        <f>N11*ERR!$D$126</f>
        <v>1.134685909066806</v>
      </c>
      <c r="O24" s="445">
        <f>O11*ERR!$D$126</f>
        <v>1.134685909066806</v>
      </c>
      <c r="P24" s="445">
        <f>P11*ERR!$D$126</f>
        <v>1.134685909066806</v>
      </c>
      <c r="Q24" s="445">
        <f>Q11*ERR!$D$126</f>
        <v>1.134685909066806</v>
      </c>
      <c r="R24" s="445">
        <f>R11*ERR!$D$126</f>
        <v>1.134685909066806</v>
      </c>
      <c r="S24" s="445">
        <f>S11*ERR!$D$126</f>
        <v>1.134685909066806</v>
      </c>
      <c r="T24" s="445">
        <f>T11*ERR!$D$126</f>
        <v>1.134685909066806</v>
      </c>
      <c r="U24" s="445">
        <f>U11*ERR!$D$126</f>
        <v>1.134685909066806</v>
      </c>
      <c r="V24" s="445">
        <f>V11*ERR!$D$126</f>
        <v>1.134685909066806</v>
      </c>
      <c r="W24" s="445">
        <f>W11*ERR!$D$126</f>
        <v>1.134685909066806</v>
      </c>
      <c r="X24" s="445">
        <f>X11*ERR!$D$126</f>
        <v>1.134685909066806</v>
      </c>
    </row>
    <row r="25" spans="2:24" s="879" customFormat="1" ht="15" customHeight="1">
      <c r="B25" s="977" t="s">
        <v>1508</v>
      </c>
      <c r="D25" s="445">
        <f>D24+SUM(D12:D15)</f>
        <v>9.4039306341009681</v>
      </c>
      <c r="E25" s="445">
        <f t="shared" ref="E25:X25" si="7">E24+SUM(E12:E15)</f>
        <v>17.041780029870857</v>
      </c>
      <c r="F25" s="445">
        <f t="shared" si="7"/>
        <v>55.872405683794753</v>
      </c>
      <c r="G25" s="445">
        <f t="shared" si="7"/>
        <v>68.504397302547986</v>
      </c>
      <c r="H25" s="445">
        <f t="shared" si="7"/>
        <v>84.215124888486088</v>
      </c>
      <c r="I25" s="445">
        <f t="shared" si="7"/>
        <v>30.944190276544685</v>
      </c>
      <c r="J25" s="445">
        <f t="shared" si="7"/>
        <v>4.0996979297496789</v>
      </c>
      <c r="K25" s="445">
        <f t="shared" si="7"/>
        <v>4.0996979297496789</v>
      </c>
      <c r="L25" s="445">
        <f t="shared" si="7"/>
        <v>4.0996979297496789</v>
      </c>
      <c r="M25" s="445">
        <f t="shared" si="7"/>
        <v>4.0996979297496789</v>
      </c>
      <c r="N25" s="445">
        <f t="shared" si="7"/>
        <v>4.0996979297496789</v>
      </c>
      <c r="O25" s="445">
        <f t="shared" si="7"/>
        <v>4.0996979297496789</v>
      </c>
      <c r="P25" s="445">
        <f t="shared" si="7"/>
        <v>4.0996979297496789</v>
      </c>
      <c r="Q25" s="445">
        <f t="shared" si="7"/>
        <v>4.0996979297496789</v>
      </c>
      <c r="R25" s="445">
        <f t="shared" si="7"/>
        <v>4.0996979297496789</v>
      </c>
      <c r="S25" s="445">
        <f t="shared" si="7"/>
        <v>4.0996979297496789</v>
      </c>
      <c r="T25" s="445">
        <f t="shared" si="7"/>
        <v>4.0996979297496789</v>
      </c>
      <c r="U25" s="445">
        <f t="shared" si="7"/>
        <v>4.0996979297496789</v>
      </c>
      <c r="V25" s="445">
        <f t="shared" si="7"/>
        <v>4.0996979297496789</v>
      </c>
      <c r="W25" s="445">
        <f t="shared" si="7"/>
        <v>4.0996979297496789</v>
      </c>
      <c r="X25" s="445">
        <f t="shared" si="7"/>
        <v>4.0996979297496789</v>
      </c>
    </row>
    <row r="26" spans="2:24">
      <c r="C26" s="1">
        <v>35.46</v>
      </c>
      <c r="I26" s="229"/>
      <c r="J26" s="229"/>
    </row>
    <row r="27" spans="2:24">
      <c r="C27" s="964">
        <f>C13-C26</f>
        <v>10.710439873221752</v>
      </c>
      <c r="H27" s="229"/>
      <c r="I27" s="229"/>
      <c r="J27" s="229"/>
    </row>
    <row r="28" spans="2:24">
      <c r="C28" s="72"/>
      <c r="H28" s="229"/>
      <c r="I28" s="229"/>
      <c r="J28" s="229"/>
    </row>
    <row r="29" spans="2:24">
      <c r="B29" s="229"/>
      <c r="C29" s="445">
        <f>C10*0.25</f>
        <v>61.113950921777118</v>
      </c>
      <c r="D29" s="700"/>
      <c r="H29" s="229"/>
      <c r="I29" s="229"/>
      <c r="J29" s="229"/>
    </row>
    <row r="30" spans="2:24">
      <c r="B30" s="229" t="s">
        <v>1483</v>
      </c>
      <c r="D30" s="571">
        <v>2.71453812221747</v>
      </c>
      <c r="E30" s="571">
        <v>5.2502767234637151</v>
      </c>
      <c r="F30" s="571">
        <v>17.08276353138676</v>
      </c>
      <c r="G30" s="571">
        <v>20.637435837470303</v>
      </c>
      <c r="H30" s="571">
        <v>18.820158154566542</v>
      </c>
      <c r="I30" s="571">
        <v>10.20618616342634</v>
      </c>
      <c r="J30" s="571">
        <v>0.62928113252364037</v>
      </c>
      <c r="K30" s="571">
        <v>0.62928113252364037</v>
      </c>
      <c r="L30" s="571">
        <v>0.62928113252364037</v>
      </c>
      <c r="M30" s="571">
        <v>0.62928113252364037</v>
      </c>
      <c r="N30" s="571">
        <v>0.62928113252364037</v>
      </c>
      <c r="O30" s="571">
        <v>0.62928113252364037</v>
      </c>
      <c r="P30" s="571">
        <v>0.62928113252364037</v>
      </c>
      <c r="Q30" s="571">
        <v>0.62928113252364037</v>
      </c>
      <c r="R30" s="571">
        <v>0.62928113252364037</v>
      </c>
      <c r="S30" s="571">
        <v>0.62928113252364037</v>
      </c>
      <c r="T30" s="571">
        <v>0.62928113252364037</v>
      </c>
      <c r="U30" s="571">
        <v>0.62928113252364037</v>
      </c>
      <c r="V30" s="571">
        <v>0.62928113252364037</v>
      </c>
      <c r="W30" s="571">
        <v>0.62928113252364037</v>
      </c>
      <c r="X30" s="571">
        <v>0.62928113252364037</v>
      </c>
    </row>
    <row r="31" spans="2:24">
      <c r="B31" s="229"/>
      <c r="H31" s="229"/>
      <c r="I31" s="229"/>
      <c r="J31" s="229"/>
    </row>
    <row r="32" spans="2:24">
      <c r="B32" s="229"/>
      <c r="H32" s="229"/>
      <c r="I32" s="229"/>
      <c r="J32" s="229"/>
      <c r="L32" s="1333"/>
      <c r="M32" s="1333"/>
    </row>
    <row r="33" spans="2:10" ht="18.5">
      <c r="B33" s="1074"/>
      <c r="H33" s="229"/>
      <c r="I33" s="229"/>
      <c r="J33" s="229"/>
    </row>
    <row r="34" spans="2:10">
      <c r="B34" s="471"/>
      <c r="H34" s="229"/>
      <c r="I34" s="229"/>
      <c r="J34" s="229"/>
    </row>
    <row r="35" spans="2:10">
      <c r="B35" s="471"/>
      <c r="H35" s="229"/>
      <c r="I35" s="229"/>
      <c r="J35" s="229"/>
    </row>
    <row r="36" spans="2:10">
      <c r="B36" s="229"/>
      <c r="H36" s="229"/>
      <c r="I36" s="229"/>
      <c r="J36" s="229"/>
    </row>
    <row r="37" spans="2:10">
      <c r="B37" s="1073"/>
      <c r="C37" s="1073"/>
      <c r="D37" s="1073"/>
      <c r="H37" s="229"/>
      <c r="I37" s="229"/>
      <c r="J37" s="229"/>
    </row>
    <row r="38" spans="2:10">
      <c r="B38" s="229"/>
      <c r="H38" s="229"/>
      <c r="I38" s="229"/>
      <c r="J38" s="229"/>
    </row>
    <row r="39" spans="2:10">
      <c r="B39" s="229"/>
      <c r="H39" s="229"/>
      <c r="I39" s="229"/>
      <c r="J39" s="229"/>
    </row>
    <row r="40" spans="2:10">
      <c r="B40" s="229"/>
      <c r="H40" s="229"/>
      <c r="I40" s="229"/>
      <c r="J40" s="229"/>
    </row>
    <row r="41" spans="2:10">
      <c r="B41" s="229"/>
    </row>
    <row r="42" spans="2:10">
      <c r="B42" s="229"/>
    </row>
  </sheetData>
  <mergeCells count="1">
    <mergeCell ref="L32:M32"/>
  </mergeCells>
  <pageMargins left="0.25" right="0.25" top="0.75" bottom="0.75" header="0.3" footer="0.3"/>
  <pageSetup scale="4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X114"/>
  <sheetViews>
    <sheetView topLeftCell="C1" zoomScale="70" zoomScaleNormal="70" workbookViewId="0">
      <selection activeCell="V2" sqref="V2:X2"/>
    </sheetView>
  </sheetViews>
  <sheetFormatPr defaultColWidth="9.1796875" defaultRowHeight="14.5"/>
  <cols>
    <col min="1" max="1" width="2.7265625" style="1" bestFit="1" customWidth="1"/>
    <col min="2" max="2" width="41.81640625" style="1" customWidth="1"/>
    <col min="3" max="3" width="13.7265625" style="1" bestFit="1" customWidth="1"/>
    <col min="4" max="23" width="9.1796875" style="1"/>
    <col min="24" max="24" width="9.81640625" style="1" bestFit="1" customWidth="1"/>
    <col min="25" max="16384" width="9.1796875" style="1"/>
  </cols>
  <sheetData>
    <row r="1" spans="1:24" s="1137" customFormat="1"/>
    <row r="2" spans="1:24" ht="21">
      <c r="A2" s="504"/>
      <c r="B2" s="504" t="s">
        <v>730</v>
      </c>
      <c r="E2" s="1" t="s">
        <v>1480</v>
      </c>
      <c r="I2" s="1" t="s">
        <v>1511</v>
      </c>
      <c r="P2" s="1333"/>
      <c r="Q2" s="1333"/>
      <c r="R2" s="1333"/>
      <c r="V2" s="1333" t="s">
        <v>1764</v>
      </c>
      <c r="W2" s="1333"/>
      <c r="X2" s="1333"/>
    </row>
    <row r="3" spans="1:24" ht="21">
      <c r="A3" s="504"/>
      <c r="B3" s="504" t="s">
        <v>786</v>
      </c>
      <c r="C3" s="504"/>
      <c r="E3" s="1" t="s">
        <v>1481</v>
      </c>
      <c r="I3" s="1" t="s">
        <v>1512</v>
      </c>
    </row>
    <row r="4" spans="1:24" ht="15" customHeight="1">
      <c r="A4" s="590"/>
      <c r="B4" s="591" t="s">
        <v>727</v>
      </c>
      <c r="C4" s="590"/>
      <c r="E4" s="1" t="s">
        <v>1482</v>
      </c>
      <c r="I4" s="1">
        <f>ERR!C130</f>
        <v>0.9396390414679785</v>
      </c>
    </row>
    <row r="5" spans="1:24" ht="21.5" thickBot="1">
      <c r="A5" s="590"/>
      <c r="B5" s="192" t="s">
        <v>785</v>
      </c>
      <c r="C5" s="192"/>
      <c r="D5" s="1063"/>
      <c r="E5" s="1063">
        <f>ERR!C113</f>
        <v>1</v>
      </c>
      <c r="F5" s="1063"/>
      <c r="G5" s="1063"/>
      <c r="H5" s="1063"/>
      <c r="I5" s="1063"/>
      <c r="J5" s="1063"/>
      <c r="K5" s="1063"/>
      <c r="L5" s="1063"/>
      <c r="M5" s="1063"/>
      <c r="N5" s="1063"/>
      <c r="O5" s="1063"/>
      <c r="P5" s="1063"/>
      <c r="Q5" s="1063"/>
      <c r="R5" s="1063"/>
      <c r="S5" s="1063"/>
      <c r="T5" s="1063"/>
      <c r="U5" s="1063"/>
      <c r="V5" s="1063"/>
      <c r="W5" s="1063"/>
      <c r="X5" s="1063"/>
    </row>
    <row r="6" spans="1:24">
      <c r="B6" s="122"/>
      <c r="C6" s="431" t="s">
        <v>784</v>
      </c>
      <c r="D6" s="589"/>
      <c r="E6" s="588"/>
      <c r="F6" s="588"/>
      <c r="G6" s="588" t="s">
        <v>783</v>
      </c>
      <c r="H6" s="588"/>
      <c r="I6" s="588"/>
      <c r="J6" s="587"/>
      <c r="K6" s="587"/>
      <c r="L6" s="587"/>
      <c r="M6" s="587"/>
      <c r="N6" s="587"/>
      <c r="O6" s="586"/>
      <c r="P6" s="586"/>
      <c r="Q6" s="586"/>
      <c r="R6" s="586"/>
      <c r="S6" s="586"/>
      <c r="T6" s="585"/>
      <c r="U6" s="585"/>
      <c r="V6" s="585"/>
      <c r="W6" s="585"/>
      <c r="X6" s="1146"/>
    </row>
    <row r="7" spans="1:24" s="6" customFormat="1">
      <c r="B7" s="584" t="s">
        <v>91</v>
      </c>
      <c r="C7" s="583" t="s">
        <v>727</v>
      </c>
      <c r="D7" s="421">
        <v>0</v>
      </c>
      <c r="E7" s="421">
        <f t="shared" ref="E7:X7" si="0">D7+1</f>
        <v>1</v>
      </c>
      <c r="F7" s="421">
        <f t="shared" si="0"/>
        <v>2</v>
      </c>
      <c r="G7" s="421">
        <f t="shared" si="0"/>
        <v>3</v>
      </c>
      <c r="H7" s="421">
        <f t="shared" si="0"/>
        <v>4</v>
      </c>
      <c r="I7" s="421">
        <f t="shared" si="0"/>
        <v>5</v>
      </c>
      <c r="J7" s="421">
        <f t="shared" si="0"/>
        <v>6</v>
      </c>
      <c r="K7" s="421">
        <f t="shared" si="0"/>
        <v>7</v>
      </c>
      <c r="L7" s="421">
        <f t="shared" si="0"/>
        <v>8</v>
      </c>
      <c r="M7" s="421">
        <f t="shared" si="0"/>
        <v>9</v>
      </c>
      <c r="N7" s="421">
        <f t="shared" si="0"/>
        <v>10</v>
      </c>
      <c r="O7" s="421">
        <f t="shared" si="0"/>
        <v>11</v>
      </c>
      <c r="P7" s="421">
        <f t="shared" si="0"/>
        <v>12</v>
      </c>
      <c r="Q7" s="421">
        <f t="shared" si="0"/>
        <v>13</v>
      </c>
      <c r="R7" s="421">
        <f t="shared" si="0"/>
        <v>14</v>
      </c>
      <c r="S7" s="421">
        <f t="shared" si="0"/>
        <v>15</v>
      </c>
      <c r="T7" s="421">
        <f t="shared" si="0"/>
        <v>16</v>
      </c>
      <c r="U7" s="421">
        <f t="shared" si="0"/>
        <v>17</v>
      </c>
      <c r="V7" s="421">
        <f t="shared" si="0"/>
        <v>18</v>
      </c>
      <c r="W7" s="421">
        <f t="shared" si="0"/>
        <v>19</v>
      </c>
      <c r="X7" s="1147">
        <f t="shared" si="0"/>
        <v>20</v>
      </c>
    </row>
    <row r="8" spans="1:24">
      <c r="B8" s="116" t="s">
        <v>782</v>
      </c>
      <c r="C8" s="68"/>
      <c r="D8" s="68">
        <v>2012</v>
      </c>
      <c r="E8" s="68">
        <f t="shared" ref="E8:X8" si="1">D8+1</f>
        <v>2013</v>
      </c>
      <c r="F8" s="68">
        <f t="shared" si="1"/>
        <v>2014</v>
      </c>
      <c r="G8" s="68">
        <f t="shared" si="1"/>
        <v>2015</v>
      </c>
      <c r="H8" s="68">
        <f t="shared" si="1"/>
        <v>2016</v>
      </c>
      <c r="I8" s="68">
        <f t="shared" si="1"/>
        <v>2017</v>
      </c>
      <c r="J8" s="68">
        <f t="shared" si="1"/>
        <v>2018</v>
      </c>
      <c r="K8" s="68">
        <f t="shared" si="1"/>
        <v>2019</v>
      </c>
      <c r="L8" s="68">
        <f t="shared" si="1"/>
        <v>2020</v>
      </c>
      <c r="M8" s="68">
        <f t="shared" si="1"/>
        <v>2021</v>
      </c>
      <c r="N8" s="68">
        <f t="shared" si="1"/>
        <v>2022</v>
      </c>
      <c r="O8" s="68">
        <f t="shared" si="1"/>
        <v>2023</v>
      </c>
      <c r="P8" s="68">
        <f t="shared" si="1"/>
        <v>2024</v>
      </c>
      <c r="Q8" s="68">
        <f t="shared" si="1"/>
        <v>2025</v>
      </c>
      <c r="R8" s="68">
        <f t="shared" si="1"/>
        <v>2026</v>
      </c>
      <c r="S8" s="68">
        <f t="shared" si="1"/>
        <v>2027</v>
      </c>
      <c r="T8" s="68">
        <f t="shared" si="1"/>
        <v>2028</v>
      </c>
      <c r="U8" s="68">
        <f t="shared" si="1"/>
        <v>2029</v>
      </c>
      <c r="V8" s="68">
        <f t="shared" si="1"/>
        <v>2030</v>
      </c>
      <c r="W8" s="68">
        <f t="shared" si="1"/>
        <v>2031</v>
      </c>
      <c r="X8" s="115">
        <f t="shared" si="1"/>
        <v>2032</v>
      </c>
    </row>
    <row r="9" spans="1:24" ht="6.75" customHeight="1">
      <c r="B9" s="582"/>
      <c r="C9" s="581"/>
      <c r="D9" s="68"/>
      <c r="E9" s="68"/>
      <c r="F9" s="68"/>
      <c r="G9" s="68"/>
      <c r="H9" s="68"/>
      <c r="I9" s="68"/>
      <c r="J9" s="68"/>
      <c r="K9" s="68"/>
      <c r="L9" s="68"/>
      <c r="M9" s="68"/>
      <c r="N9" s="68"/>
      <c r="O9" s="68"/>
      <c r="P9" s="68"/>
      <c r="Q9" s="68"/>
      <c r="R9" s="68"/>
      <c r="S9" s="68"/>
      <c r="T9" s="68"/>
      <c r="U9" s="68"/>
      <c r="V9" s="68"/>
      <c r="W9" s="68"/>
      <c r="X9" s="115"/>
    </row>
    <row r="10" spans="1:24">
      <c r="B10" s="420"/>
      <c r="C10" s="493"/>
      <c r="D10" s="68"/>
      <c r="E10" s="68"/>
      <c r="F10" s="68"/>
      <c r="G10" s="68"/>
      <c r="H10" s="68"/>
      <c r="I10" s="68"/>
      <c r="J10" s="68"/>
      <c r="K10" s="68"/>
      <c r="L10" s="68"/>
      <c r="M10" s="68"/>
      <c r="N10" s="68"/>
      <c r="O10" s="68"/>
      <c r="P10" s="68"/>
      <c r="Q10" s="68"/>
      <c r="R10" s="68"/>
      <c r="S10" s="68"/>
      <c r="T10" s="68"/>
      <c r="U10" s="68"/>
      <c r="V10" s="68"/>
      <c r="W10" s="68"/>
      <c r="X10" s="115"/>
    </row>
    <row r="11" spans="1:24" s="6" customFormat="1">
      <c r="B11" s="580" t="s">
        <v>781</v>
      </c>
      <c r="C11" s="571">
        <f>NPV(0.1,D11:X11)</f>
        <v>240.91091834076838</v>
      </c>
      <c r="D11" s="579">
        <f>SUM(D15,D20,D26,D28,D30,D33,D35)</f>
        <v>0</v>
      </c>
      <c r="E11" s="579">
        <f t="shared" ref="E11:X11" si="2">SUM(E15,E20,E26,E28,E30,E33,E35)</f>
        <v>0</v>
      </c>
      <c r="F11" s="579">
        <f t="shared" si="2"/>
        <v>0.64442484226935459</v>
      </c>
      <c r="G11" s="579">
        <f t="shared" si="2"/>
        <v>-16.472349125966836</v>
      </c>
      <c r="H11" s="579">
        <f t="shared" si="2"/>
        <v>8.1488080168221089</v>
      </c>
      <c r="I11" s="579">
        <f t="shared" si="2"/>
        <v>147.27541895297637</v>
      </c>
      <c r="J11" s="579">
        <f t="shared" si="2"/>
        <v>31.755793312622096</v>
      </c>
      <c r="K11" s="579">
        <f t="shared" si="2"/>
        <v>19.820059088582742</v>
      </c>
      <c r="L11" s="579">
        <f t="shared" si="2"/>
        <v>21.378391226962155</v>
      </c>
      <c r="M11" s="579">
        <f t="shared" si="2"/>
        <v>25.073935583197432</v>
      </c>
      <c r="N11" s="579">
        <f t="shared" si="2"/>
        <v>28.660772757283148</v>
      </c>
      <c r="O11" s="579">
        <f t="shared" si="2"/>
        <v>29.616676301627365</v>
      </c>
      <c r="P11" s="579">
        <f t="shared" si="2"/>
        <v>33.112655550837552</v>
      </c>
      <c r="Q11" s="579">
        <f t="shared" si="2"/>
        <v>30.943811141403895</v>
      </c>
      <c r="R11" s="579">
        <f t="shared" si="2"/>
        <v>196.40869020053586</v>
      </c>
      <c r="S11" s="579">
        <f t="shared" si="2"/>
        <v>31.433367678956852</v>
      </c>
      <c r="T11" s="579">
        <f t="shared" si="2"/>
        <v>34.754532949019769</v>
      </c>
      <c r="U11" s="579">
        <f t="shared" si="2"/>
        <v>34.004662985082831</v>
      </c>
      <c r="V11" s="579">
        <f t="shared" si="2"/>
        <v>33.542069843162885</v>
      </c>
      <c r="W11" s="579">
        <f t="shared" si="2"/>
        <v>33.508064192485861</v>
      </c>
      <c r="X11" s="579">
        <f t="shared" si="2"/>
        <v>34.560617138162364</v>
      </c>
    </row>
    <row r="12" spans="1:24" ht="15" thickBot="1">
      <c r="B12" s="114"/>
      <c r="C12" s="409"/>
      <c r="D12" s="578"/>
      <c r="E12" s="409"/>
      <c r="F12" s="409"/>
      <c r="G12" s="409"/>
      <c r="H12" s="409"/>
      <c r="I12" s="409"/>
      <c r="J12" s="409"/>
      <c r="K12" s="409"/>
      <c r="L12" s="409"/>
      <c r="M12" s="409"/>
      <c r="N12" s="409"/>
      <c r="O12" s="409"/>
      <c r="P12" s="409"/>
      <c r="Q12" s="409"/>
      <c r="R12" s="409"/>
      <c r="S12" s="409"/>
      <c r="T12" s="409"/>
      <c r="U12" s="409"/>
      <c r="V12" s="409"/>
      <c r="W12" s="409"/>
      <c r="X12" s="113"/>
    </row>
    <row r="13" spans="1:24">
      <c r="B13" s="1" t="s">
        <v>1395</v>
      </c>
      <c r="D13" s="6"/>
      <c r="E13" s="971">
        <f>1000000*E11/'Poverty Scorecard'!$D$17</f>
        <v>0</v>
      </c>
      <c r="F13" s="445">
        <f>1000000*F11/'Poverty Scorecard'!$D$17</f>
        <v>3.2222270764630823</v>
      </c>
      <c r="G13" s="971">
        <f>1000000*G11/'Poverty Scorecard'!$D$17</f>
        <v>-82.364374997911852</v>
      </c>
      <c r="H13" s="971">
        <f>1000000*H11/'Poverty Scorecard'!$D$17</f>
        <v>40.745340822427025</v>
      </c>
      <c r="I13" s="971">
        <f>1000000*I11/'Poverty Scorecard'!$D$17</f>
        <v>736.40060332958387</v>
      </c>
      <c r="J13" s="971">
        <f>1000000*J11/'Poverty Scorecard'!$D$17</f>
        <v>158.7840355225272</v>
      </c>
      <c r="K13" s="971">
        <f>1000000*K11/'Poverty Scorecard'!$D$17</f>
        <v>99.103459182964798</v>
      </c>
      <c r="L13" s="971">
        <f>1000000*L11/'Poverty Scorecard'!$D$17</f>
        <v>106.89536862072971</v>
      </c>
      <c r="M13" s="971">
        <f>1000000*M11/'Poverty Scorecard'!$D$17</f>
        <v>125.37368029629735</v>
      </c>
      <c r="N13" s="971">
        <f>1000000*N11/'Poverty Scorecard'!$D$17</f>
        <v>143.30843870893548</v>
      </c>
      <c r="O13" s="971">
        <f>1000000*O11/'Poverty Scorecard'!$D$17</f>
        <v>148.08810901498111</v>
      </c>
      <c r="P13" s="971">
        <f>1000000*P11/'Poverty Scorecard'!$D$17</f>
        <v>165.56856330021441</v>
      </c>
      <c r="Q13" s="971">
        <f>1000000*Q11/'Poverty Scorecard'!$D$17</f>
        <v>154.72399505529305</v>
      </c>
      <c r="R13" s="971">
        <f>1000000*R11/'Poverty Scorecard'!$D$17</f>
        <v>982.07480237437755</v>
      </c>
      <c r="S13" s="971">
        <f>1000000*S11/'Poverty Scorecard'!$D$17</f>
        <v>157.17185588760918</v>
      </c>
      <c r="T13" s="971">
        <f>1000000*T11/'Poverty Scorecard'!$D$17</f>
        <v>173.77821237275</v>
      </c>
      <c r="U13" s="971">
        <f>1000000*U11/'Poverty Scorecard'!$D$17</f>
        <v>170.02874285646766</v>
      </c>
      <c r="V13" s="971">
        <f>1000000*V11/'Poverty Scorecard'!$D$17</f>
        <v>167.71570330629845</v>
      </c>
      <c r="W13" s="971">
        <f>1000000*W11/'Poverty Scorecard'!$D$17</f>
        <v>167.54566962482463</v>
      </c>
      <c r="X13" s="1140">
        <f>1000000*X11/'Poverty Scorecard'!$D$17</f>
        <v>172.80860236501252</v>
      </c>
    </row>
    <row r="14" spans="1:24" ht="16" thickBot="1">
      <c r="B14" s="192" t="s">
        <v>780</v>
      </c>
      <c r="D14" s="6"/>
      <c r="X14" s="1132"/>
    </row>
    <row r="15" spans="1:24">
      <c r="A15" s="1" t="s">
        <v>779</v>
      </c>
      <c r="B15" s="122" t="s">
        <v>778</v>
      </c>
      <c r="C15" s="577">
        <f>NPV(0.1,D15:X15)</f>
        <v>0</v>
      </c>
      <c r="D15" s="576">
        <f>SUM(D16:D18)*ERR!$C$163</f>
        <v>0</v>
      </c>
      <c r="E15" s="576">
        <f>SUM(E16:E18)*ERR!$C$163</f>
        <v>0</v>
      </c>
      <c r="F15" s="576">
        <f>SUM(F16:F18)*ERR!$C$163</f>
        <v>0</v>
      </c>
      <c r="G15" s="576">
        <f>SUM(G16:G18)*ERR!$C$163</f>
        <v>0</v>
      </c>
      <c r="H15" s="576">
        <f>SUM(H16:H18)*ERR!$C$163</f>
        <v>0</v>
      </c>
      <c r="I15" s="576">
        <f>SUM(I16:I18)*ERR!$C$163</f>
        <v>0</v>
      </c>
      <c r="J15" s="576">
        <f>SUM(J16:J18)*ERR!$C$163</f>
        <v>0</v>
      </c>
      <c r="K15" s="576">
        <f>SUM(K16:K18)*ERR!$C$163</f>
        <v>0</v>
      </c>
      <c r="L15" s="576">
        <f>SUM(L16:L18)*ERR!$C$163</f>
        <v>0</v>
      </c>
      <c r="M15" s="576">
        <f>SUM(M16:M18)*ERR!$C$163</f>
        <v>0</v>
      </c>
      <c r="N15" s="576">
        <f>SUM(N16:N18)*ERR!$C$163</f>
        <v>0</v>
      </c>
      <c r="O15" s="576">
        <f>SUM(O16:O18)*ERR!$C$163</f>
        <v>0</v>
      </c>
      <c r="P15" s="576">
        <f>SUM(P16:P18)*ERR!$C$163</f>
        <v>0</v>
      </c>
      <c r="Q15" s="576">
        <f>SUM(Q16:Q18)*ERR!$C$163</f>
        <v>0</v>
      </c>
      <c r="R15" s="576">
        <f>SUM(R16:R18)*ERR!$C$163</f>
        <v>0</v>
      </c>
      <c r="S15" s="576">
        <f>SUM(S16:S18)*ERR!$C$163</f>
        <v>0</v>
      </c>
      <c r="T15" s="576">
        <f>SUM(T16:T18)*ERR!$C$163</f>
        <v>0</v>
      </c>
      <c r="U15" s="576">
        <f>SUM(U16:U18)*ERR!$C$163</f>
        <v>0</v>
      </c>
      <c r="V15" s="576">
        <f>SUM(V16:V18)*ERR!$C$163</f>
        <v>0</v>
      </c>
      <c r="W15" s="576">
        <f>SUM(W16:W18)*ERR!$C$163</f>
        <v>0</v>
      </c>
      <c r="X15" s="576">
        <f>SUM(X16:X18)*ERR!$C$163</f>
        <v>0</v>
      </c>
    </row>
    <row r="16" spans="1:24">
      <c r="B16" s="572" t="s">
        <v>777</v>
      </c>
      <c r="C16" s="416">
        <f>NPV(0.1,D16:X16)</f>
        <v>8.0863101016131651</v>
      </c>
      <c r="D16" s="573">
        <f>(IF(ERR!$C124=1,ERR!$D124*(SUM(Health!B260:B262)*Health!B274/1000000+'Health-Stunting'!E173/1000000),SUM(Health!B260:B262)*Health!B274/1000000+'Health-Stunting'!E173/1000000))*$I$4</f>
        <v>0</v>
      </c>
      <c r="E16" s="573">
        <f>(IF(ERR!$C124=1,ERR!$D124*(SUM(Health!C260:C262)*Health!C274/1000000+'Health-Stunting'!F173/1000000),SUM(Health!C260:C262)*Health!C274/1000000+'Health-Stunting'!F173/1000000))*$I$4</f>
        <v>0</v>
      </c>
      <c r="F16" s="573">
        <f>(IF(ERR!$C124=1,ERR!$D124*(SUM(Health!D260:D262)*Health!D274/1000000+'Health-Stunting'!G173/1000000),SUM(Health!D260:D262)*Health!D274/1000000+'Health-Stunting'!G173/1000000))*$I$4</f>
        <v>2.8201094063261486E-2</v>
      </c>
      <c r="G16" s="573">
        <f>(IF(ERR!$C124=1,ERR!$D124*(SUM(Health!E260:E262)*Health!E274/1000000+'Health-Stunting'!H173/1000000),SUM(Health!E260:E262)*Health!E274/1000000+'Health-Stunting'!H173/1000000))*$I$4</f>
        <v>0.14485491965594263</v>
      </c>
      <c r="H16" s="573">
        <f>(IF(ERR!$C124=1,ERR!$D124*(SUM(Health!F260:F262)*Health!F274/1000000+'Health-Stunting'!I173/1000000),SUM(Health!F260:F262)*Health!F274/1000000+'Health-Stunting'!I173/1000000))*$I$4</f>
        <v>0.35714270151011979</v>
      </c>
      <c r="I16" s="573">
        <f>(IF(ERR!$C124=1,ERR!$D124*(SUM(Health!G260:G262)*Health!G274/1000000+'Health-Stunting'!J173/1000000),SUM(Health!G260:G262)*Health!G274/1000000+'Health-Stunting'!J173/1000000))*$I$4</f>
        <v>0.58091343733046452</v>
      </c>
      <c r="J16" s="573">
        <f>(IF(ERR!$C124=1,ERR!$D124*(SUM(Health!H260:H262)*Health!H274/1000000+'Health-Stunting'!K173/1000000),SUM(Health!H260:H262)*Health!H274/1000000+'Health-Stunting'!K173/1000000))*$I$4</f>
        <v>0.62818144649430152</v>
      </c>
      <c r="K16" s="573">
        <f>(IF(ERR!$C124=1,ERR!$D124*(SUM(Health!I260:I262)*Health!I274/1000000+'Health-Stunting'!L173/1000000),SUM(Health!I260:I262)*Health!I274/1000000+'Health-Stunting'!L173/1000000))*$I$4</f>
        <v>0.6453307999835961</v>
      </c>
      <c r="L16" s="573">
        <f>(IF(ERR!$C124=1,ERR!$D124*(SUM(Health!J260:J262)*Health!J274/1000000+'Health-Stunting'!M173/1000000),SUM(Health!J260:J262)*Health!J274/1000000+'Health-Stunting'!M173/1000000))*$I$4</f>
        <v>0.66294833082314819</v>
      </c>
      <c r="M16" s="573">
        <f>(IF(ERR!$C124=1,ERR!$D124*(SUM(Health!K260:K262)*Health!K274/1000000+'Health-Stunting'!N173/1000000),SUM(Health!K260:K262)*Health!K274/1000000+'Health-Stunting'!N173/1000000))*$I$4</f>
        <v>0.68104682025462016</v>
      </c>
      <c r="N16" s="573">
        <f>(IF(ERR!$C124=1,ERR!$D124*(SUM(Health!L260:L262)*Health!L274/1000000+'Health-Stunting'!O173/1000000),SUM(Health!L260:L262)*Health!L274/1000000+'Health-Stunting'!O173/1000000))*$I$4</f>
        <v>0.69963939844757139</v>
      </c>
      <c r="O16" s="573">
        <f>(IF(ERR!$C124=1,ERR!$D124*(SUM(Health!M260:M262)*Health!M274/1000000+'Health-Stunting'!P173/1000000),SUM(Health!M260:M262)*Health!M274/1000000+'Health-Stunting'!P173/1000000))*$I$4</f>
        <v>0.71873955402519019</v>
      </c>
      <c r="P16" s="573">
        <f>(IF(ERR!$C124=1,ERR!$D124*(SUM(Health!N260:N262)*Health!N274/1000000+'Health-Stunting'!Q173/1000000),SUM(Health!N260:N262)*Health!N274/1000000+'Health-Stunting'!Q173/1000000))*$I$4</f>
        <v>0.73836114385007789</v>
      </c>
      <c r="Q16" s="573">
        <f>(IF(ERR!$C124=1,ERR!$D124*(SUM(Health!O260:O262)*Health!O274/1000000+'Health-Stunting'!R173/1000000),SUM(Health!O260:O262)*Health!O274/1000000+'Health-Stunting'!R173/1000000))*$I$4</f>
        <v>0.7585184030771851</v>
      </c>
      <c r="R16" s="573">
        <f>(IF(ERR!$C124=1,ERR!$D124*(SUM(Health!P260:P262)*Health!P274/1000000+'Health-Stunting'!S173/1000000),SUM(Health!P260:P262)*Health!P274/1000000+'Health-Stunting'!S173/1000000))*$I$4</f>
        <v>0.77922595548119244</v>
      </c>
      <c r="S16" s="573">
        <f>(IF(ERR!$C124=1,ERR!$D124*(SUM(Health!Q260:Q262)*Health!Q274/1000000+'Health-Stunting'!T173/1000000),SUM(Health!Q260:Q262)*Health!Q274/1000000+'Health-Stunting'!T173/1000000))*$I$4</f>
        <v>0.80501467822688366</v>
      </c>
      <c r="T16" s="573">
        <f>(IF(ERR!$C124=1,ERR!$D124*(SUM(Health!R260:R262)*Health!R274/1000000+'Health-Stunting'!U173/1000000),SUM(Health!R260:R262)*Health!R274/1000000+'Health-Stunting'!U173/1000000))*$I$4</f>
        <v>0.85107331719327728</v>
      </c>
      <c r="U16" s="573">
        <f>(IF(ERR!$C124=1,ERR!$D124*(SUM(Health!S260:S262)*Health!S274/1000000+'Health-Stunting'!V173/1000000),SUM(Health!S260:S262)*Health!S274/1000000+'Health-Stunting'!V173/1000000))*$I$4</f>
        <v>0.93678462101006932</v>
      </c>
      <c r="V16" s="573">
        <f>(IF(ERR!$C124=1,ERR!$D124*(SUM(Health!T260:T262)*Health!T274/1000000+'Health-Stunting'!W173/1000000),SUM(Health!T260:T262)*Health!T274/1000000+'Health-Stunting'!W173/1000000))*$I$4</f>
        <v>1.0709962503568131</v>
      </c>
      <c r="W16" s="573">
        <f>(IF(ERR!$C124=1,ERR!$D124*(SUM(Health!U260:U262)*Health!U274/1000000+'Health-Stunting'!X173/1000000),SUM(Health!U260:U262)*Health!U274/1000000+'Health-Stunting'!X173/1000000))*$I$4</f>
        <v>1.2320548419025419</v>
      </c>
      <c r="X16" s="1141">
        <f>(IF(ERR!$C124=1,ERR!$D124*(SUM(Health!V260:V262)*Health!V274/1000000+'Health-Stunting'!Y173/1000000),SUM(Health!V260:V262)*Health!V274/1000000+'Health-Stunting'!Y173/1000000))*$I$4</f>
        <v>31.855649505239391</v>
      </c>
    </row>
    <row r="17" spans="1:24">
      <c r="B17" s="572" t="s">
        <v>776</v>
      </c>
      <c r="C17" s="416">
        <f>NPV(0.1,D17:X17)</f>
        <v>2.0904302516544866</v>
      </c>
      <c r="D17" s="573">
        <f>(SUM(Health!B265:B267)*Health!B274/1000000+'Health-Stunting'!E198/1000000)*$I$4</f>
        <v>0</v>
      </c>
      <c r="E17" s="573">
        <f>(SUM(Health!C265:C267)*Health!C274/1000000+'Health-Stunting'!F198/1000000)*$I$4</f>
        <v>0</v>
      </c>
      <c r="F17" s="573">
        <f>(SUM(Health!D265:D267)*Health!D274/1000000+'Health-Stunting'!G198/1000000)*$I$4</f>
        <v>7.7459838586726466E-3</v>
      </c>
      <c r="G17" s="573">
        <f>(SUM(Health!E265:E267)*Health!E274/1000000+'Health-Stunting'!H198/1000000)*$I$4</f>
        <v>3.9787246090072052E-2</v>
      </c>
      <c r="H17" s="573">
        <f>(SUM(Health!F265:F267)*Health!F274/1000000+'Health-Stunting'!I198/1000000)*$I$4</f>
        <v>9.809625097999447E-2</v>
      </c>
      <c r="I17" s="573">
        <f>(SUM(Health!G265:G267)*Health!G274/1000000+'Health-Stunting'!J198/1000000)*$I$4</f>
        <v>0.15955927450026816</v>
      </c>
      <c r="J17" s="573">
        <f>(SUM(Health!H265:H267)*Health!H274/1000000+'Health-Stunting'!K198/1000000)*$I$4</f>
        <v>0.17254236073065843</v>
      </c>
      <c r="K17" s="573">
        <f>(SUM(Health!I265:I267)*Health!I274/1000000+'Health-Stunting'!L198/1000000)*$I$4</f>
        <v>0.17725276717860544</v>
      </c>
      <c r="L17" s="573">
        <f>(SUM(Health!J265:J267)*Health!J274/1000000+'Health-Stunting'!M198/1000000)*$I$4</f>
        <v>0.18209176772258137</v>
      </c>
      <c r="M17" s="573">
        <f>(SUM(Health!K265:K267)*Health!K274/1000000+'Health-Stunting'!N198/1000000)*$I$4</f>
        <v>0.18706287298140786</v>
      </c>
      <c r="N17" s="573">
        <f>(SUM(Health!L265:L267)*Health!L274/1000000+'Health-Stunting'!O198/1000000)*$I$4</f>
        <v>0.19216968941380033</v>
      </c>
      <c r="O17" s="573">
        <f>(SUM(Health!M265:M267)*Health!M274/1000000+'Health-Stunting'!P198/1000000)*$I$4</f>
        <v>0.1974159219347971</v>
      </c>
      <c r="P17" s="573">
        <f>(SUM(Health!N265:N267)*Health!N274/1000000+'Health-Stunting'!Q198/1000000)*$I$4</f>
        <v>0.20280537660361708</v>
      </c>
      <c r="Q17" s="573">
        <f>(SUM(Health!O265:O267)*Health!O274/1000000+'Health-Stunting'!R198/1000000)*$I$4</f>
        <v>0.20834196338489583</v>
      </c>
      <c r="R17" s="573">
        <f>(SUM(Health!P265:P267)*Health!P274/1000000+'Health-Stunting'!S198/1000000)*$I$4</f>
        <v>0.21402969898530352</v>
      </c>
      <c r="S17" s="573">
        <f>(SUM(Health!Q265:Q267)*Health!Q274/1000000+'Health-Stunting'!T198/1000000)*$I$4</f>
        <v>0.22097550079208414</v>
      </c>
      <c r="T17" s="573">
        <f>(SUM(Health!R265:R267)*Health!R274/1000000+'Health-Stunting'!U198/1000000)*$I$4</f>
        <v>0.2328889961036387</v>
      </c>
      <c r="U17" s="573">
        <f>(SUM(Health!S265:S267)*Health!S274/1000000+'Health-Stunting'!V198/1000000)*$I$4</f>
        <v>0.25450401857882138</v>
      </c>
      <c r="V17" s="573">
        <f>(SUM(Health!T265:T267)*Health!T274/1000000+'Health-Stunting'!W198/1000000)*$I$4</f>
        <v>0.28798170123730826</v>
      </c>
      <c r="W17" s="573">
        <f>(SUM(Health!U265:U267)*Health!U274/1000000+'Health-Stunting'!X198/1000000)*$I$4</f>
        <v>0.32803470929089212</v>
      </c>
      <c r="X17" s="1141">
        <f>(SUM(Health!V265:V267)*Health!V274/1000000+'Health-Stunting'!Y198/1000000)*$I$4</f>
        <v>7.8071898564285229</v>
      </c>
    </row>
    <row r="18" spans="1:24">
      <c r="B18" s="572" t="s">
        <v>775</v>
      </c>
      <c r="C18" s="416">
        <f>NPV(0.1,D18:X18)</f>
        <v>16.270279416934027</v>
      </c>
      <c r="D18" s="573">
        <f>IF(ERR!$C118=1,ERR!$D118*(SUM(Health!B270:B272)*Health!B274/1000000+'Health-Stunting'!E223/1000000)*$E5,(SUM(Health!B270:B272)*Health!B274/1000000+'Health-Stunting'!E223/1000000)*$E5)</f>
        <v>0</v>
      </c>
      <c r="E18" s="573">
        <f>IF(ERR!$C118=1,ERR!$D118*(SUM(Health!C270:C272)*Health!C274/1000000+'Health-Stunting'!F223/1000000)*$E5,(SUM(Health!C270:C272)*Health!C274/1000000+'Health-Stunting'!F223/1000000)*$E5)</f>
        <v>0</v>
      </c>
      <c r="F18" s="573">
        <f>IF(ERR!$C118=1,ERR!$D118*(SUM(Health!D270:D272)*Health!D274/1000000+'Health-Stunting'!G223/1000000)*$E5,(SUM(Health!D270:D272)*Health!D274/1000000+'Health-Stunting'!G223/1000000)*$E5)</f>
        <v>5.1194248049306654E-2</v>
      </c>
      <c r="G18" s="573">
        <f>IF(ERR!$C118=1,ERR!$D118*(SUM(Health!E270:E272)*Health!E274/1000000+'Health-Stunting'!H223/1000000)*$E5,(SUM(Health!E270:E272)*Health!E274/1000000+'Health-Stunting'!H223/1000000)*$E5)</f>
        <v>0.26922557415442205</v>
      </c>
      <c r="H18" s="573">
        <f>IF(ERR!$C118=1,ERR!$D118*(SUM(Health!F270:F272)*Health!F274/1000000+'Health-Stunting'!I223/1000000)*$E5,(SUM(Health!F270:F272)*Health!F274/1000000+'Health-Stunting'!I223/1000000)*$E5)</f>
        <v>0.67959893971496166</v>
      </c>
      <c r="I18" s="573">
        <f>IF(ERR!$C118=1,ERR!$D118*(SUM(Health!G270:G272)*Health!G274/1000000+'Health-Stunting'!J223/1000000)*$E5,(SUM(Health!G270:G272)*Health!G274/1000000+'Health-Stunting'!J223/1000000)*$E5)</f>
        <v>1.1317491751229154</v>
      </c>
      <c r="J18" s="573">
        <f>IF(ERR!$C118=1,ERR!$D118*(SUM(Health!H270:H272)*Health!H274/1000000+'Health-Stunting'!K223/1000000)*$E5,(SUM(Health!H270:H272)*Health!H274/1000000+'Health-Stunting'!K223/1000000)*$E5)</f>
        <v>1.2530018737458621</v>
      </c>
      <c r="K18" s="573">
        <f>IF(ERR!$C118=1,ERR!$D118*(SUM(Health!I270:I272)*Health!I274/1000000+'Health-Stunting'!L223/1000000)*$E5,(SUM(Health!I270:I272)*Health!I274/1000000+'Health-Stunting'!L223/1000000)*$E5)</f>
        <v>1.3178830111964706</v>
      </c>
      <c r="L18" s="573">
        <f>IF(ERR!$C118=1,ERR!$D118*(SUM(Health!J270:J272)*Health!J274/1000000+'Health-Stunting'!M223/1000000)*$E5,(SUM(Health!J270:J272)*Health!J274/1000000+'Health-Stunting'!M223/1000000)*$E5)</f>
        <v>1.3861237302128269</v>
      </c>
      <c r="M18" s="573">
        <f>IF(ERR!$C118=1,ERR!$D118*(SUM(Health!K270:K272)*Health!K274/1000000+'Health-Stunting'!N223/1000000)*$E5,(SUM(Health!K270:K272)*Health!K274/1000000+'Health-Stunting'!N223/1000000)*$E5)</f>
        <v>1.4578979918064128</v>
      </c>
      <c r="N18" s="573">
        <f>IF(ERR!$C118=1,ERR!$D118*(SUM(Health!L270:L272)*Health!L274/1000000+'Health-Stunting'!O223/1000000)*$E5,(SUM(Health!L270:L272)*Health!L274/1000000+'Health-Stunting'!O223/1000000)*$E5)</f>
        <v>1.533388764787126</v>
      </c>
      <c r="O18" s="573">
        <f>IF(ERR!$C118=1,ERR!$D118*(SUM(Health!M270:M272)*Health!M274/1000000+'Health-Stunting'!P223/1000000)*$E5,(SUM(Health!M270:M272)*Health!M274/1000000+'Health-Stunting'!P223/1000000)*$E5)</f>
        <v>1.6127884921921232</v>
      </c>
      <c r="P18" s="573">
        <f>IF(ERR!$C118=1,ERR!$D118*(SUM(Health!N270:N272)*Health!N274/1000000+'Health-Stunting'!Q223/1000000)*$E5,(SUM(Health!N270:N272)*Health!N274/1000000+'Health-Stunting'!Q223/1000000)*$E5)</f>
        <v>1.6962995818665982</v>
      </c>
      <c r="Q18" s="573">
        <f>IF(ERR!$C118=1,ERR!$D118*(SUM(Health!O270:O272)*Health!O274/1000000+'Health-Stunting'!R223/1000000)*$E5,(SUM(Health!O270:O272)*Health!O274/1000000+'Health-Stunting'!R223/1000000)*$E5)</f>
        <v>1.7841349224471172</v>
      </c>
      <c r="R18" s="573">
        <f>IF(ERR!$C118=1,ERR!$D118*(SUM(Health!P270:P272)*Health!P274/1000000+'Health-Stunting'!S223/1000000)*$E5,(SUM(Health!P270:P272)*Health!P274/1000000+'Health-Stunting'!S223/1000000)*$E5)</f>
        <v>1.8765184260628502</v>
      </c>
      <c r="S18" s="573">
        <f>IF(ERR!$C118=1,ERR!$D118*(SUM(Health!Q270:Q272)*Health!Q274/1000000+'Health-Stunting'!T223/1000000)*$E5,(SUM(Health!Q270:Q272)*Health!Q274/1000000+'Health-Stunting'!T223/1000000)*$E5)</f>
        <v>1.9803843942141963</v>
      </c>
      <c r="T18" s="573">
        <f>IF(ERR!$C118=1,ERR!$D118*(SUM(Health!R270:R272)*Health!R274/1000000+'Health-Stunting'!U223/1000000)*$E5,(SUM(Health!R270:R272)*Health!R274/1000000+'Health-Stunting'!U223/1000000)*$E5)</f>
        <v>2.1193083527188001</v>
      </c>
      <c r="U18" s="573">
        <f>IF(ERR!$C118=1,ERR!$D118*(SUM(Health!S270:S272)*Health!S274/1000000+'Health-Stunting'!V223/1000000)*$E5,(SUM(Health!S270:S272)*Health!S274/1000000+'Health-Stunting'!V223/1000000)*$E5)</f>
        <v>2.3249138695710245</v>
      </c>
      <c r="V18" s="573">
        <f>IF(ERR!$C118=1,ERR!$D118*(SUM(Health!T270:T272)*Health!T274/1000000+'Health-Stunting'!W223/1000000)*$E5,(SUM(Health!T270:T272)*Health!T274/1000000+'Health-Stunting'!W223/1000000)*$E5)</f>
        <v>2.6140226795494828</v>
      </c>
      <c r="W18" s="573">
        <f>IF(ERR!$C118=1,ERR!$D118*(SUM(Health!U270:U272)*Health!U274/1000000+'Health-Stunting'!X223/1000000)*$E5,(SUM(Health!U270:U272)*Health!U274/1000000+'Health-Stunting'!X223/1000000)*$E5)</f>
        <v>2.954642134006825</v>
      </c>
      <c r="X18" s="1141">
        <f>IF(ERR!$C118=1,ERR!$D118*(SUM(Health!V270:V272)*Health!V274/1000000+'Health-Stunting'!Y223/1000000)*$E5,(SUM(Health!V270:V272)*Health!V274/1000000+'Health-Stunting'!Y223/1000000)*$E5)</f>
        <v>59.073365957571561</v>
      </c>
    </row>
    <row r="19" spans="1:24">
      <c r="B19" s="116"/>
      <c r="C19" s="416">
        <f>C16*Health!B29</f>
        <v>2.4404871436026938</v>
      </c>
      <c r="D19" s="201"/>
      <c r="E19" s="68"/>
      <c r="F19" s="68"/>
      <c r="G19" s="68"/>
      <c r="H19" s="68"/>
      <c r="I19" s="68"/>
      <c r="J19" s="68"/>
      <c r="K19" s="68"/>
      <c r="L19" s="68"/>
      <c r="M19" s="68"/>
      <c r="N19" s="68"/>
      <c r="O19" s="68"/>
      <c r="P19" s="68"/>
      <c r="Q19" s="68"/>
      <c r="R19" s="68"/>
      <c r="S19" s="68"/>
      <c r="T19" s="68"/>
      <c r="U19" s="68"/>
      <c r="V19" s="68"/>
      <c r="W19" s="68"/>
      <c r="X19" s="1132"/>
    </row>
    <row r="20" spans="1:24">
      <c r="A20" s="1" t="s">
        <v>774</v>
      </c>
      <c r="B20" s="116" t="s">
        <v>773</v>
      </c>
      <c r="C20" s="416">
        <f>NPV(0.1,D20:X20)</f>
        <v>85.805561834359679</v>
      </c>
      <c r="D20" s="573">
        <f t="shared" ref="D20:X20" si="3">SUM(D21:D22)</f>
        <v>0</v>
      </c>
      <c r="E20" s="573">
        <f t="shared" si="3"/>
        <v>0</v>
      </c>
      <c r="F20" s="573">
        <f t="shared" si="3"/>
        <v>0.60910379206169696</v>
      </c>
      <c r="G20" s="573">
        <f t="shared" si="3"/>
        <v>3.1436907451064866</v>
      </c>
      <c r="H20" s="573">
        <f t="shared" si="3"/>
        <v>7.7887801832447554</v>
      </c>
      <c r="I20" s="573">
        <f t="shared" si="3"/>
        <v>12.732117240787426</v>
      </c>
      <c r="J20" s="573">
        <f t="shared" si="3"/>
        <v>13.83811217285535</v>
      </c>
      <c r="K20" s="573">
        <f t="shared" si="3"/>
        <v>14.289539186360059</v>
      </c>
      <c r="L20" s="573">
        <f t="shared" si="3"/>
        <v>14.757123527995411</v>
      </c>
      <c r="M20" s="573">
        <f t="shared" si="3"/>
        <v>15.241505618820518</v>
      </c>
      <c r="N20" s="573">
        <f t="shared" si="3"/>
        <v>15.743353726598718</v>
      </c>
      <c r="O20" s="573">
        <f t="shared" si="3"/>
        <v>16.263365264865428</v>
      </c>
      <c r="P20" s="573">
        <f t="shared" si="3"/>
        <v>16.802268155487177</v>
      </c>
      <c r="Q20" s="573">
        <f t="shared" si="3"/>
        <v>17.360822257903486</v>
      </c>
      <c r="R20" s="573">
        <f t="shared" si="3"/>
        <v>17.939820868406574</v>
      </c>
      <c r="S20" s="573">
        <f t="shared" si="3"/>
        <v>18.540092292984987</v>
      </c>
      <c r="T20" s="573">
        <f t="shared" si="3"/>
        <v>19.162501497438011</v>
      </c>
      <c r="U20" s="573">
        <f t="shared" si="3"/>
        <v>19.807951838657122</v>
      </c>
      <c r="V20" s="573">
        <f t="shared" si="3"/>
        <v>20.477386881170165</v>
      </c>
      <c r="W20" s="573">
        <f t="shared" si="3"/>
        <v>21.171792303253955</v>
      </c>
      <c r="X20" s="1141">
        <f t="shared" si="3"/>
        <v>21.892197897141155</v>
      </c>
    </row>
    <row r="21" spans="1:24">
      <c r="B21" s="575" t="s">
        <v>772</v>
      </c>
      <c r="C21" s="416">
        <f>NPV(0.1,D21:X21)</f>
        <v>65.255535010690025</v>
      </c>
      <c r="D21" s="573">
        <f>(IF(ERR!$C$124=1,ERR!$D$124*'Time Savings'!E9,'Time Savings'!E9))*$I$4</f>
        <v>0</v>
      </c>
      <c r="E21" s="573">
        <f>(IF(ERR!$C$124=1,ERR!$D$124*'Time Savings'!F9,'Time Savings'!F9))*$I$4</f>
        <v>0</v>
      </c>
      <c r="F21" s="573">
        <f>(IF(ERR!$C$124=1,ERR!$D$124*'Time Savings'!G9,'Time Savings'!G9))*$I$4</f>
        <v>0.48448197532178067</v>
      </c>
      <c r="G21" s="573">
        <f>(IF(ERR!$C$124=1,ERR!$D$124*'Time Savings'!H9,'Time Savings'!H9))*$I$4</f>
        <v>2.4885474728338903</v>
      </c>
      <c r="H21" s="573">
        <f>(IF(ERR!$C$124=1,ERR!$D$124*'Time Savings'!I9,'Time Savings'!I9))*$I$4</f>
        <v>6.1355778815273823</v>
      </c>
      <c r="I21" s="573">
        <f>(IF(ERR!$C$124=1,ERR!$D$124*'Time Savings'!J9,'Time Savings'!J9))*$I$4</f>
        <v>9.9798986193751578</v>
      </c>
      <c r="J21" s="573">
        <f>(IF(ERR!$C$124=1,ERR!$D$124*'Time Savings'!K9,'Time Savings'!K9))*$I$4</f>
        <v>10.791972393493355</v>
      </c>
      <c r="K21" s="573">
        <f>(IF(ERR!$C$124=1,ERR!$D$124*'Time Savings'!L9,'Time Savings'!L9))*$I$4</f>
        <v>11.086619108536995</v>
      </c>
      <c r="L21" s="573">
        <f>(IF(ERR!$C$124=1,ERR!$D$124*'Time Savings'!M9,'Time Savings'!M9))*$I$4</f>
        <v>11.389310385178876</v>
      </c>
      <c r="M21" s="573">
        <f>(IF(ERR!$C$124=1,ERR!$D$124*'Time Savings'!N9,'Time Savings'!N9))*$I$4</f>
        <v>11.700265859233703</v>
      </c>
      <c r="N21" s="573">
        <f>(IF(ERR!$C$124=1,ERR!$D$124*'Time Savings'!O9,'Time Savings'!O9))*$I$4</f>
        <v>12.019711163100395</v>
      </c>
      <c r="O21" s="573">
        <f>(IF(ERR!$C$124=1,ERR!$D$124*'Time Savings'!P9,'Time Savings'!P9))*$I$4</f>
        <v>12.347878089483206</v>
      </c>
      <c r="P21" s="573">
        <f>(IF(ERR!$C$124=1,ERR!$D$124*'Time Savings'!Q9,'Time Savings'!Q9))*$I$4</f>
        <v>12.685004759582837</v>
      </c>
      <c r="Q21" s="573">
        <f>(IF(ERR!$C$124=1,ERR!$D$124*'Time Savings'!R9,'Time Savings'!R9))*$I$4</f>
        <v>13.03133579587954</v>
      </c>
      <c r="R21" s="573">
        <f>(IF(ERR!$C$124=1,ERR!$D$124*'Time Savings'!S9,'Time Savings'!S9))*$I$4</f>
        <v>13.387122499633662</v>
      </c>
      <c r="S21" s="573">
        <f>(IF(ERR!$C$124=1,ERR!$D$124*'Time Savings'!T9,'Time Savings'!T9))*$I$4</f>
        <v>13.752623033232322</v>
      </c>
      <c r="T21" s="573">
        <f>(IF(ERR!$C$124=1,ERR!$D$124*'Time Savings'!U9,'Time Savings'!U9))*$I$4</f>
        <v>14.128102607514636</v>
      </c>
      <c r="U21" s="573">
        <f>(IF(ERR!$C$124=1,ERR!$D$124*'Time Savings'!V9,'Time Savings'!V9))*$I$4</f>
        <v>14.513833674211346</v>
      </c>
      <c r="V21" s="573">
        <f>(IF(ERR!$C$124=1,ERR!$D$124*'Time Savings'!W9,'Time Savings'!W9))*$I$4</f>
        <v>14.910096123638516</v>
      </c>
      <c r="W21" s="573">
        <f>(IF(ERR!$C$124=1,ERR!$D$124*'Time Savings'!X9,'Time Savings'!X9))*$I$4</f>
        <v>15.317177487788756</v>
      </c>
      <c r="X21" s="1141">
        <f>(IF(ERR!$C$124=1,ERR!$D$124*'Time Savings'!Y9,'Time Savings'!Y9))*$I$4</f>
        <v>15.735373148967275</v>
      </c>
    </row>
    <row r="22" spans="1:24">
      <c r="B22" s="575" t="s">
        <v>771</v>
      </c>
      <c r="C22" s="416">
        <f>NPV(0.1,D22:X22)</f>
        <v>20.550026823669668</v>
      </c>
      <c r="D22" s="573">
        <f>IF(ERR!$C118=1,ERR!$D118*$E$5*Drainage!F14,$E$5*Drainage!F14)</f>
        <v>0</v>
      </c>
      <c r="E22" s="573">
        <f>IF(ERR!$C118=1,ERR!$D118*$E$5*Drainage!G14,$E$5*Drainage!G14)</f>
        <v>0</v>
      </c>
      <c r="F22" s="573">
        <f>IF(ERR!$C118=1,ERR!$D118*$E$5*Drainage!H14,$E$5*Drainage!H14)</f>
        <v>0.12462181673991626</v>
      </c>
      <c r="G22" s="573">
        <f>IF(ERR!$C118=1,ERR!$D118*$E$5*Drainage!I14,$E$5*Drainage!I14)</f>
        <v>0.65514327227259628</v>
      </c>
      <c r="H22" s="573">
        <f>IF(ERR!$C118=1,ERR!$D118*$E$5*Drainage!J14,$E$5*Drainage!J14)</f>
        <v>1.6532023017173736</v>
      </c>
      <c r="I22" s="573">
        <f>IF(ERR!$C118=1,ERR!$D118*$E$5*Drainage!K14,$E$5*Drainage!K14)</f>
        <v>2.7522186214122688</v>
      </c>
      <c r="J22" s="573">
        <f>IF(ERR!$C118=1,ERR!$D118*$E$5*Drainage!L14,$E$5*Drainage!L14)</f>
        <v>3.0461397793619964</v>
      </c>
      <c r="K22" s="573">
        <f>IF(ERR!$C118=1,ERR!$D118*$E$5*Drainage!M14,$E$5*Drainage!M14)</f>
        <v>3.2029200778230633</v>
      </c>
      <c r="L22" s="573">
        <f>IF(ERR!$C118=1,ERR!$D118*$E$5*Drainage!N14,$E$5*Drainage!N14)</f>
        <v>3.3678131428165345</v>
      </c>
      <c r="M22" s="573">
        <f>IF(ERR!$C118=1,ERR!$D118*$E$5*Drainage!O14,$E$5*Drainage!O14)</f>
        <v>3.5412397595868148</v>
      </c>
      <c r="N22" s="573">
        <f>IF(ERR!$C118=1,ERR!$D118*$E$5*Drainage!P14,$E$5*Drainage!P14)</f>
        <v>3.7236425634983235</v>
      </c>
      <c r="O22" s="573">
        <f>IF(ERR!$C118=1,ERR!$D118*$E$5*Drainage!Q14,$E$5*Drainage!Q14)</f>
        <v>3.9154871753822231</v>
      </c>
      <c r="P22" s="573">
        <f>IF(ERR!$C118=1,ERR!$D118*$E$5*Drainage!R14,$E$5*Drainage!R14)</f>
        <v>4.1172633959043381</v>
      </c>
      <c r="Q22" s="573">
        <f>IF(ERR!$C118=1,ERR!$D118*$E$5*Drainage!S14,$E$5*Drainage!S14)</f>
        <v>4.3294864620239455</v>
      </c>
      <c r="R22" s="573">
        <f>IF(ERR!$C118=1,ERR!$D118*$E$5*Drainage!T14,$E$5*Drainage!T14)</f>
        <v>4.5526983687729121</v>
      </c>
      <c r="S22" s="573">
        <f>IF(ERR!$C118=1,ERR!$D118*$E$5*Drainage!U14,$E$5*Drainage!U14)</f>
        <v>4.7874692597526636</v>
      </c>
      <c r="T22" s="573">
        <f>IF(ERR!$C118=1,ERR!$D118*$E$5*Drainage!V14,$E$5*Drainage!V14)</f>
        <v>5.0343988899233763</v>
      </c>
      <c r="U22" s="573">
        <f>IF(ERR!$C118=1,ERR!$D118*$E$5*Drainage!W14,$E$5*Drainage!W14)</f>
        <v>5.2941181644457744</v>
      </c>
      <c r="V22" s="573">
        <f>IF(ERR!$C118=1,ERR!$D118*$E$5*Drainage!X14,$E$5*Drainage!X14)</f>
        <v>5.5672907575316488</v>
      </c>
      <c r="W22" s="573">
        <f>IF(ERR!$C118=1,ERR!$D118*$E$5*Drainage!Y14,$E$5*Drainage!Y14)</f>
        <v>5.8546148154652</v>
      </c>
      <c r="X22" s="1141">
        <f>IF(ERR!$C118=1,ERR!$D118*$E$5*Drainage!Z14,$E$5*Drainage!Z14)</f>
        <v>6.1568247481738805</v>
      </c>
    </row>
    <row r="23" spans="1:24">
      <c r="B23" s="990">
        <f>C21+C16</f>
        <v>73.34184511230319</v>
      </c>
      <c r="C23" s="416"/>
      <c r="D23" s="573"/>
      <c r="E23" s="573"/>
      <c r="F23" s="573"/>
      <c r="G23" s="573"/>
      <c r="H23" s="573"/>
      <c r="I23" s="573"/>
      <c r="J23" s="573"/>
      <c r="K23" s="573"/>
      <c r="L23" s="573"/>
      <c r="M23" s="573"/>
      <c r="N23" s="573"/>
      <c r="O23" s="573"/>
      <c r="P23" s="573"/>
      <c r="Q23" s="573"/>
      <c r="R23" s="573"/>
      <c r="S23" s="573"/>
      <c r="T23" s="573"/>
      <c r="U23" s="573"/>
      <c r="V23" s="573"/>
      <c r="W23" s="573"/>
      <c r="X23" s="1141"/>
    </row>
    <row r="24" spans="1:24">
      <c r="B24" s="116" t="s">
        <v>770</v>
      </c>
      <c r="C24" s="416">
        <f>NPV(0.1,D20:I20)</f>
        <v>14.627979725885595</v>
      </c>
      <c r="D24" s="573"/>
      <c r="E24" s="573"/>
      <c r="F24" s="573"/>
      <c r="G24" s="573"/>
      <c r="H24" s="573"/>
      <c r="I24" s="573"/>
      <c r="J24" s="573"/>
      <c r="K24" s="573"/>
      <c r="L24" s="573"/>
      <c r="M24" s="573"/>
      <c r="N24" s="573"/>
      <c r="O24" s="573"/>
      <c r="P24" s="573"/>
      <c r="Q24" s="573"/>
      <c r="R24" s="573"/>
      <c r="S24" s="573"/>
      <c r="T24" s="573"/>
      <c r="U24" s="573"/>
      <c r="V24" s="573"/>
      <c r="W24" s="573"/>
      <c r="X24" s="1141"/>
    </row>
    <row r="25" spans="1:24">
      <c r="B25" s="116"/>
      <c r="D25" s="6"/>
      <c r="E25" s="68"/>
      <c r="F25" s="68"/>
      <c r="G25" s="68"/>
      <c r="H25" s="68"/>
      <c r="I25" s="68"/>
      <c r="J25" s="68"/>
      <c r="K25" s="68"/>
      <c r="L25" s="68"/>
      <c r="M25" s="68"/>
      <c r="N25" s="68"/>
      <c r="O25" s="68"/>
      <c r="P25" s="68"/>
      <c r="Q25" s="68"/>
      <c r="R25" s="68"/>
      <c r="S25" s="68"/>
      <c r="T25" s="68"/>
      <c r="U25" s="68"/>
      <c r="V25" s="68"/>
      <c r="W25" s="68"/>
      <c r="X25" s="1132"/>
    </row>
    <row r="26" spans="1:24" s="6" customFormat="1">
      <c r="A26" s="6" t="s">
        <v>769</v>
      </c>
      <c r="B26" s="30" t="s">
        <v>768</v>
      </c>
      <c r="C26" s="571">
        <f>NPV(0.1,D26:X26)</f>
        <v>0</v>
      </c>
      <c r="D26" s="573">
        <f>ERR!$C150*IF(ERR!$C$126=1,ERR!$D$126*NRW!D9,NRW!D9)*ERR!$C$158</f>
        <v>0</v>
      </c>
      <c r="E26" s="573">
        <f>ERR!$C150*IF(ERR!$C$126=1,ERR!$D$126*NRW!E9,NRW!E9)*ERR!$C$158</f>
        <v>0</v>
      </c>
      <c r="F26" s="573">
        <f>ERR!$C150*IF(ERR!$C$126=1,ERR!$D$126*NRW!F9,NRW!F9)*ERR!$C$158</f>
        <v>0</v>
      </c>
      <c r="G26" s="573">
        <f>ERR!$C150*IF(ERR!$C$126=1,ERR!$D$126*NRW!G9,NRW!G9)*ERR!$C$158</f>
        <v>0</v>
      </c>
      <c r="H26" s="573">
        <f>ERR!$C150*IF(ERR!$C$126=1,ERR!$D$126*NRW!H9,NRW!H9)*ERR!$C$158</f>
        <v>0</v>
      </c>
      <c r="I26" s="573">
        <f>ERR!$C150*IF(ERR!$C$126=1,ERR!$D$126*NRW!I9,NRW!I9)*ERR!$C$158</f>
        <v>0</v>
      </c>
      <c r="J26" s="573">
        <f>ERR!$C150*IF(ERR!$C$126=1,ERR!$D$126*NRW!J9,NRW!J9)*ERR!$C$158</f>
        <v>0</v>
      </c>
      <c r="K26" s="573">
        <f>ERR!$C150*IF(ERR!$C$126=1,ERR!$D$126*NRW!K9,NRW!K9)*ERR!$C$158</f>
        <v>0</v>
      </c>
      <c r="L26" s="573">
        <f>ERR!$C150*IF(ERR!$C$126=1,ERR!$D$126*NRW!L9,NRW!L9)*ERR!$C$158</f>
        <v>0</v>
      </c>
      <c r="M26" s="573">
        <f>ERR!$C150*IF(ERR!$C$126=1,ERR!$D$126*NRW!M9,NRW!M9)*ERR!$C$158</f>
        <v>0</v>
      </c>
      <c r="N26" s="573">
        <f>ERR!$C150*IF(ERR!$C$126=1,ERR!$D$126*NRW!N9,NRW!N9)*ERR!$C$158</f>
        <v>0</v>
      </c>
      <c r="O26" s="573">
        <f>ERR!$C150*IF(ERR!$C$126=1,ERR!$D$126*NRW!O9,NRW!O9)*ERR!$C$158</f>
        <v>0</v>
      </c>
      <c r="P26" s="573">
        <f>ERR!$C150*IF(ERR!$C$126=1,ERR!$D$126*NRW!P9,NRW!P9)*ERR!$C$158</f>
        <v>0</v>
      </c>
      <c r="Q26" s="573">
        <f>ERR!$C150*IF(ERR!$C$126=1,ERR!$D$126*NRW!Q9,NRW!Q9)*ERR!$C$158</f>
        <v>0</v>
      </c>
      <c r="R26" s="573">
        <f>ERR!$C150*IF(ERR!$C$126=1,ERR!$D$126*NRW!R9,NRW!R9)*ERR!$C$158</f>
        <v>0</v>
      </c>
      <c r="S26" s="573">
        <f>ERR!$C150*IF(ERR!$C$126=1,ERR!$D$126*NRW!S9,NRW!S9)*ERR!$C$158</f>
        <v>0</v>
      </c>
      <c r="T26" s="573">
        <f>ERR!$C150*IF(ERR!$C$126=1,ERR!$D$126*NRW!T9,NRW!T9)*ERR!$C$158</f>
        <v>0</v>
      </c>
      <c r="U26" s="573">
        <f>ERR!$C150*IF(ERR!$C$126=1,ERR!$D$126*NRW!U9,NRW!U9)*ERR!$C$158</f>
        <v>0</v>
      </c>
      <c r="V26" s="573">
        <f>ERR!$C150*IF(ERR!$C$126=1,ERR!$D$126*NRW!V9,NRW!V9)*ERR!$C$158</f>
        <v>0</v>
      </c>
      <c r="W26" s="573">
        <f>ERR!$C150*IF(ERR!$C$126=1,ERR!$D$126*NRW!W9,NRW!W9)*ERR!$C$158</f>
        <v>0</v>
      </c>
      <c r="X26" s="573">
        <f>ERR!$C150*IF(ERR!$C$126=1,ERR!$D$126*NRW!X9,NRW!X9)*ERR!$C$158</f>
        <v>0</v>
      </c>
    </row>
    <row r="27" spans="1:24" s="6" customFormat="1">
      <c r="B27" s="30"/>
      <c r="C27" s="571"/>
      <c r="D27" s="573"/>
      <c r="E27" s="573"/>
      <c r="F27" s="573"/>
      <c r="G27" s="573"/>
      <c r="H27" s="573"/>
      <c r="I27" s="573"/>
      <c r="J27" s="573"/>
      <c r="K27" s="573"/>
      <c r="L27" s="573"/>
      <c r="M27" s="573"/>
      <c r="N27" s="573"/>
      <c r="O27" s="573"/>
      <c r="P27" s="573"/>
      <c r="Q27" s="573"/>
      <c r="R27" s="573"/>
      <c r="S27" s="573"/>
      <c r="T27" s="573"/>
      <c r="U27" s="573"/>
      <c r="V27" s="573"/>
      <c r="W27" s="573"/>
      <c r="X27" s="1141"/>
    </row>
    <row r="28" spans="1:24" s="6" customFormat="1">
      <c r="A28" s="6" t="s">
        <v>767</v>
      </c>
      <c r="B28" s="30" t="s">
        <v>765</v>
      </c>
      <c r="C28" s="571">
        <f>NPV(0.1,D28:X28)</f>
        <v>1.3436462796650386</v>
      </c>
      <c r="D28" s="573">
        <f>$E$5*Drainage!F15</f>
        <v>0</v>
      </c>
      <c r="E28" s="573">
        <f>$E$5*Drainage!G15</f>
        <v>0</v>
      </c>
      <c r="F28" s="573">
        <f>$E$5*Drainage!H15</f>
        <v>1.1025030425488554E-2</v>
      </c>
      <c r="G28" s="573">
        <f>$E$5*Drainage!I15</f>
        <v>5.5951294395337699E-2</v>
      </c>
      <c r="H28" s="573">
        <f>$E$5*Drainage!J15</f>
        <v>0.13629556404541257</v>
      </c>
      <c r="I28" s="573">
        <f>$E$5*Drainage!K15</f>
        <v>0.21903545638689959</v>
      </c>
      <c r="J28" s="573">
        <f>$E$5*Drainage!L15</f>
        <v>0.2340190256957761</v>
      </c>
      <c r="K28" s="573">
        <f>$E$5*Drainage!M15</f>
        <v>0.23752620031888788</v>
      </c>
      <c r="L28" s="573">
        <f>$E$5*Drainage!N15</f>
        <v>0.24108593836219644</v>
      </c>
      <c r="M28" s="573">
        <f>$E$5*Drainage!O15</f>
        <v>0.24469902765070092</v>
      </c>
      <c r="N28" s="573">
        <f>$E$5*Drainage!P15</f>
        <v>0.24836626781792737</v>
      </c>
      <c r="O28" s="573">
        <f>$E$5*Drainage!Q15</f>
        <v>0.25208847048293248</v>
      </c>
      <c r="P28" s="573">
        <f>$E$5*Drainage!R15</f>
        <v>0.25586645942995961</v>
      </c>
      <c r="Q28" s="573">
        <f>$E$5*Drainage!S15</f>
        <v>0.25970107079078875</v>
      </c>
      <c r="R28" s="573">
        <f>$E$5*Drainage!T15</f>
        <v>0.26359315322981985</v>
      </c>
      <c r="S28" s="573">
        <f>$E$5*Drainage!U15</f>
        <v>0.2675435681319302</v>
      </c>
      <c r="T28" s="573">
        <f>$E$5*Drainage!V15</f>
        <v>0.27155318979314808</v>
      </c>
      <c r="U28" s="573">
        <f>$E$5*Drainage!W15</f>
        <v>0.27562290561418462</v>
      </c>
      <c r="V28" s="573">
        <f>$E$5*Drainage!X15</f>
        <v>0.27975361629686657</v>
      </c>
      <c r="W28" s="573">
        <f>$E$5*Drainage!Y15</f>
        <v>0.2839462360435141</v>
      </c>
      <c r="X28" s="1141">
        <f>$E$5*Drainage!Z15</f>
        <v>0.28820169275930663</v>
      </c>
    </row>
    <row r="29" spans="1:24" s="6" customFormat="1">
      <c r="B29" s="572" t="s">
        <v>763</v>
      </c>
      <c r="C29" s="571">
        <f>NPV(0.1,D28:I28)</f>
        <v>0.25476738229817492</v>
      </c>
      <c r="D29" s="573"/>
      <c r="E29" s="573"/>
      <c r="F29" s="573"/>
      <c r="G29" s="573"/>
      <c r="H29" s="573"/>
      <c r="I29" s="573"/>
      <c r="J29" s="573"/>
      <c r="K29" s="573"/>
      <c r="L29" s="573"/>
      <c r="M29" s="573"/>
      <c r="N29" s="573"/>
      <c r="O29" s="573"/>
      <c r="P29" s="573"/>
      <c r="Q29" s="573"/>
      <c r="R29" s="573"/>
      <c r="S29" s="573"/>
      <c r="T29" s="573"/>
      <c r="U29" s="573"/>
      <c r="V29" s="573"/>
      <c r="W29" s="573"/>
      <c r="X29" s="1141"/>
    </row>
    <row r="30" spans="1:24" s="6" customFormat="1">
      <c r="A30" s="6" t="s">
        <v>766</v>
      </c>
      <c r="B30" s="574" t="s">
        <v>764</v>
      </c>
      <c r="C30" s="571">
        <f>NPV(0.1,D30:X30)</f>
        <v>4.0845224882762805</v>
      </c>
      <c r="D30" s="573">
        <f>$E$5*Drainage!F16</f>
        <v>0</v>
      </c>
      <c r="E30" s="573">
        <f>$E$5*Drainage!G16</f>
        <v>0</v>
      </c>
      <c r="F30" s="573">
        <f>$E$5*Drainage!H16</f>
        <v>2.4296019782169154E-2</v>
      </c>
      <c r="G30" s="573">
        <f>$E$5*Drainage!I16</f>
        <v>0.12800883453133996</v>
      </c>
      <c r="H30" s="573">
        <f>$E$5*Drainage!J16</f>
        <v>0.32373226953194073</v>
      </c>
      <c r="I30" s="573">
        <f>$E$5*Drainage!K16</f>
        <v>0.5401235998020476</v>
      </c>
      <c r="J30" s="573">
        <f>$E$5*Drainage!L16</f>
        <v>0.59910694607096682</v>
      </c>
      <c r="K30" s="573">
        <f>$E$5*Drainage!M16</f>
        <v>0.63130490190379507</v>
      </c>
      <c r="L30" s="573">
        <f>$E$5*Drainage!N16</f>
        <v>0.66523328060454645</v>
      </c>
      <c r="M30" s="573">
        <f>$E$5*Drainage!O16</f>
        <v>0.70098508072621524</v>
      </c>
      <c r="N30" s="573">
        <f>$E$5*Drainage!P16</f>
        <v>0.7386582988665048</v>
      </c>
      <c r="O30" s="573">
        <f>$E$5*Drainage!Q16</f>
        <v>0.7783561982790056</v>
      </c>
      <c r="P30" s="573">
        <f>$E$5*Drainage!R16</f>
        <v>0.82018759192041213</v>
      </c>
      <c r="Q30" s="573">
        <f>$E$5*Drainage!S16</f>
        <v>0.86426714070961785</v>
      </c>
      <c r="R30" s="573">
        <f>$E$5*Drainage!T16</f>
        <v>0.9107156678162236</v>
      </c>
      <c r="S30" s="573">
        <f>$E$5*Drainage!U16</f>
        <v>0.95966048983993291</v>
      </c>
      <c r="T30" s="573">
        <f>$E$5*Drainage!V16</f>
        <v>1.0112357657886053</v>
      </c>
      <c r="U30" s="573">
        <f>$E$5*Drainage!W16</f>
        <v>1.0655828648115251</v>
      </c>
      <c r="V30" s="573">
        <f>$E$5*Drainage!X16</f>
        <v>1.1228507536958512</v>
      </c>
      <c r="W30" s="573">
        <f>$E$5*Drainage!Y16</f>
        <v>1.1831964051883888</v>
      </c>
      <c r="X30" s="1141">
        <f>$E$5*Drainage!Z16</f>
        <v>1.2467852282618976</v>
      </c>
    </row>
    <row r="31" spans="1:24" ht="15" thickBot="1">
      <c r="B31" s="572" t="s">
        <v>763</v>
      </c>
      <c r="C31" s="571">
        <f>NPV(0.1,D30:I30)</f>
        <v>0.61158367586561813</v>
      </c>
      <c r="D31" s="409"/>
      <c r="E31" s="409"/>
      <c r="F31" s="409"/>
      <c r="G31" s="409"/>
      <c r="H31" s="409"/>
      <c r="I31" s="409"/>
      <c r="J31" s="409"/>
      <c r="K31" s="409"/>
      <c r="L31" s="409"/>
      <c r="M31" s="409"/>
      <c r="N31" s="409"/>
      <c r="O31" s="409"/>
      <c r="P31" s="409"/>
      <c r="Q31" s="409"/>
      <c r="R31" s="409"/>
      <c r="S31" s="409"/>
      <c r="T31" s="409"/>
      <c r="U31" s="409"/>
      <c r="V31" s="409"/>
      <c r="W31" s="409"/>
      <c r="X31" s="113"/>
    </row>
    <row r="33" spans="1:24">
      <c r="A33" s="1" t="s">
        <v>1736</v>
      </c>
      <c r="B33" s="1" t="s">
        <v>1737</v>
      </c>
      <c r="C33" s="416">
        <f>NPV(0.1,D33:X33)</f>
        <v>123.59143249896191</v>
      </c>
      <c r="D33" s="1">
        <f>'Core Water Network Benefits'!B6/1000000</f>
        <v>0</v>
      </c>
      <c r="E33" s="1137">
        <f>'Core Water Network Benefits'!C6/1000000</f>
        <v>0</v>
      </c>
      <c r="F33" s="1137">
        <f>'Core Water Network Benefits'!D6/1000000</f>
        <v>0</v>
      </c>
      <c r="G33" s="1137">
        <f>'Core Water Network Benefits'!E6/1000000</f>
        <v>0</v>
      </c>
      <c r="H33" s="1137">
        <f>'Core Water Network Benefits'!F6/1000000</f>
        <v>0</v>
      </c>
      <c r="I33" s="1137">
        <f>'Core Water Network Benefits'!G6/1000000</f>
        <v>133.88414265599999</v>
      </c>
      <c r="J33" s="1137">
        <f>'Core Water Network Benefits'!H6/1000000</f>
        <v>17.184555168000003</v>
      </c>
      <c r="K33" s="1137">
        <f>'Core Water Network Benefits'!I6/1000000</f>
        <v>4.7616888000000008</v>
      </c>
      <c r="L33" s="1137">
        <f>'Core Water Network Benefits'!J6/1000000</f>
        <v>5.8149484800000009</v>
      </c>
      <c r="M33" s="1137">
        <f>'Core Water Network Benefits'!K6/1000000</f>
        <v>8.9867458560000006</v>
      </c>
      <c r="N33" s="1137">
        <f>'Core Water Network Benefits'!L6/1000000</f>
        <v>12.030394464000002</v>
      </c>
      <c r="O33" s="1137">
        <f>'Core Water Network Benefits'!M6/1000000</f>
        <v>12.422866368000001</v>
      </c>
      <c r="P33" s="1137">
        <f>'Core Water Network Benefits'!N6/1000000</f>
        <v>15.334333344000001</v>
      </c>
      <c r="Q33" s="1137">
        <f>'Core Water Network Benefits'!O6/1000000</f>
        <v>12.559020672000003</v>
      </c>
      <c r="R33" s="1137">
        <f>'Core Water Network Benefits'!P6/1000000</f>
        <v>9.6475336320000018</v>
      </c>
      <c r="S33" s="1137">
        <f>'Core Water Network Benefits'!Q6/1000000</f>
        <v>11.766071328000002</v>
      </c>
      <c r="T33" s="1137">
        <f>'Core Water Network Benefits'!R6/1000000</f>
        <v>14.409242496000001</v>
      </c>
      <c r="U33" s="1137">
        <f>'Core Water Network Benefits'!S6/1000000</f>
        <v>12.955505376</v>
      </c>
      <c r="V33" s="1137">
        <f>'Core Water Network Benefits'!T6/1000000</f>
        <v>11.762078592000002</v>
      </c>
      <c r="W33" s="1137">
        <f>'Core Water Network Benefits'!U6/1000000</f>
        <v>10.969129248000002</v>
      </c>
      <c r="X33" s="1137">
        <f>'Core Water Network Benefits'!V6/1000000</f>
        <v>11.233432320000002</v>
      </c>
    </row>
    <row r="35" spans="1:24">
      <c r="A35" s="1" t="s">
        <v>1738</v>
      </c>
      <c r="B35" s="201" t="s">
        <v>1739</v>
      </c>
      <c r="C35" s="416">
        <f>NPV(0.1,D35:X35)</f>
        <v>26.085755239505442</v>
      </c>
      <c r="D35" s="1">
        <f>'Institutional Strengthening'!B7/1000000</f>
        <v>0</v>
      </c>
      <c r="E35" s="1137">
        <f>'Institutional Strengthening'!C7/1000000</f>
        <v>0</v>
      </c>
      <c r="F35" s="1137">
        <f>'Institutional Strengthening'!D7/1000000</f>
        <v>0</v>
      </c>
      <c r="G35" s="1137">
        <f>'Institutional Strengthening'!E7/1000000</f>
        <v>-19.8</v>
      </c>
      <c r="H35" s="1137">
        <f>'Institutional Strengthening'!F7/1000000</f>
        <v>-0.1</v>
      </c>
      <c r="I35" s="1137">
        <f>'Institutional Strengthening'!G7/1000000</f>
        <v>-0.1</v>
      </c>
      <c r="J35" s="1137">
        <f>'Institutional Strengthening'!H7/1000000</f>
        <v>-0.1</v>
      </c>
      <c r="K35" s="1137">
        <f>'Institutional Strengthening'!I7/1000000</f>
        <v>-0.1</v>
      </c>
      <c r="L35" s="1137">
        <f>'Institutional Strengthening'!J7/1000000</f>
        <v>-0.1</v>
      </c>
      <c r="M35" s="1137">
        <f>'Institutional Strengthening'!K7/1000000</f>
        <v>-0.1</v>
      </c>
      <c r="N35" s="1137">
        <f>'Institutional Strengthening'!L7/1000000</f>
        <v>-0.1</v>
      </c>
      <c r="O35" s="1137">
        <f>'Institutional Strengthening'!M7/1000000</f>
        <v>-0.1</v>
      </c>
      <c r="P35" s="1137">
        <f>'Institutional Strengthening'!N7/1000000</f>
        <v>-0.1</v>
      </c>
      <c r="Q35" s="1137">
        <f>'Institutional Strengthening'!O7/1000000</f>
        <v>-0.1</v>
      </c>
      <c r="R35" s="1137">
        <f>'Institutional Strengthening'!P7/1000000</f>
        <v>167.64702687908323</v>
      </c>
      <c r="S35" s="1137">
        <f>'Institutional Strengthening'!Q7/1000000</f>
        <v>-0.1</v>
      </c>
      <c r="T35" s="1137">
        <f>'Institutional Strengthening'!R7/1000000</f>
        <v>-0.1</v>
      </c>
      <c r="U35" s="1137">
        <f>'Institutional Strengthening'!S7/1000000</f>
        <v>-0.1</v>
      </c>
      <c r="V35" s="1137">
        <f>'Institutional Strengthening'!T7/1000000</f>
        <v>-0.1</v>
      </c>
      <c r="W35" s="1137">
        <f>'Institutional Strengthening'!U7/1000000</f>
        <v>-0.1</v>
      </c>
      <c r="X35" s="1137">
        <f>'Institutional Strengthening'!V7/1000000</f>
        <v>-0.1</v>
      </c>
    </row>
    <row r="36" spans="1:24">
      <c r="B36" s="116"/>
      <c r="C36" s="1132"/>
      <c r="D36" s="68"/>
      <c r="E36" s="68"/>
      <c r="F36" s="68"/>
      <c r="G36" s="68"/>
      <c r="H36" s="68"/>
      <c r="I36" s="68"/>
      <c r="J36" s="68"/>
      <c r="K36" s="68"/>
      <c r="L36" s="68"/>
      <c r="M36" s="68"/>
      <c r="N36" s="68"/>
      <c r="O36" s="68"/>
      <c r="P36" s="68"/>
      <c r="Q36" s="68"/>
      <c r="R36" s="68"/>
      <c r="S36" s="68"/>
      <c r="T36" s="68"/>
      <c r="U36" s="68"/>
      <c r="V36" s="68"/>
      <c r="W36" s="68"/>
      <c r="X36" s="68"/>
    </row>
    <row r="37" spans="1:24">
      <c r="B37" s="116" t="s">
        <v>890</v>
      </c>
      <c r="C37" s="1142">
        <f>C28+C30</f>
        <v>5.4281687679413189</v>
      </c>
      <c r="D37" s="68"/>
      <c r="E37" s="68"/>
      <c r="G37" s="68"/>
      <c r="H37" s="68"/>
      <c r="I37" s="68"/>
      <c r="J37" s="68"/>
      <c r="K37" s="68"/>
      <c r="L37" s="68"/>
      <c r="M37" s="68"/>
      <c r="N37" s="68"/>
      <c r="O37" s="68"/>
      <c r="P37" s="68"/>
      <c r="Q37" s="68"/>
      <c r="R37" s="68"/>
      <c r="S37" s="68"/>
      <c r="T37" s="68"/>
      <c r="U37" s="68"/>
      <c r="V37" s="68"/>
      <c r="W37" s="68"/>
      <c r="X37" s="68"/>
    </row>
    <row r="38" spans="1:24" ht="26">
      <c r="B38" s="116" t="s">
        <v>891</v>
      </c>
      <c r="C38" s="1142">
        <f>C29+C31</f>
        <v>0.86635105816379299</v>
      </c>
      <c r="D38" s="68"/>
      <c r="E38" s="1117" t="s">
        <v>1641</v>
      </c>
      <c r="G38" s="68"/>
      <c r="H38" s="68"/>
      <c r="I38" s="68"/>
      <c r="J38" s="68"/>
      <c r="K38" s="68"/>
      <c r="L38" s="68"/>
      <c r="N38" s="68"/>
      <c r="O38" s="68"/>
      <c r="P38" s="68"/>
      <c r="Q38" s="68"/>
      <c r="R38" s="68"/>
      <c r="S38" s="68"/>
      <c r="T38" s="68"/>
      <c r="U38" s="68"/>
      <c r="V38" s="68"/>
      <c r="W38" s="68"/>
      <c r="X38" s="68"/>
    </row>
    <row r="39" spans="1:24">
      <c r="B39" s="116"/>
      <c r="C39" s="1132"/>
    </row>
    <row r="40" spans="1:24">
      <c r="B40" s="116" t="s">
        <v>585</v>
      </c>
      <c r="C40" s="1143">
        <f>C15/$C$11</f>
        <v>0</v>
      </c>
      <c r="D40" s="570"/>
      <c r="E40" s="330"/>
      <c r="F40" s="330"/>
      <c r="G40" s="330"/>
      <c r="H40" s="201"/>
      <c r="I40" s="201"/>
      <c r="J40" s="201"/>
      <c r="K40" s="201"/>
    </row>
    <row r="41" spans="1:24">
      <c r="B41" s="116" t="s">
        <v>901</v>
      </c>
      <c r="C41" s="1143">
        <f>C20/$C$11</f>
        <v>0.35617132849490762</v>
      </c>
      <c r="D41" s="537"/>
      <c r="E41" s="537"/>
      <c r="F41" s="537"/>
      <c r="G41" s="537"/>
      <c r="H41" s="471"/>
      <c r="I41" s="471"/>
      <c r="J41" s="201"/>
      <c r="K41" s="201"/>
    </row>
    <row r="42" spans="1:24">
      <c r="B42" s="30" t="s">
        <v>902</v>
      </c>
      <c r="C42" s="1143">
        <f>C26/$C$11</f>
        <v>0</v>
      </c>
      <c r="D42" s="569"/>
      <c r="E42" s="569"/>
      <c r="F42" s="569"/>
      <c r="G42" s="569"/>
      <c r="H42" s="569"/>
      <c r="I42" s="471"/>
      <c r="J42" s="201"/>
      <c r="K42" s="201"/>
      <c r="R42" s="68"/>
    </row>
    <row r="43" spans="1:24">
      <c r="B43" s="30" t="s">
        <v>903</v>
      </c>
      <c r="C43" s="1144">
        <f>C28/$C$11</f>
        <v>5.5773573440305911E-3</v>
      </c>
      <c r="D43" s="569"/>
      <c r="E43" s="569"/>
      <c r="F43" s="569"/>
      <c r="G43" s="569"/>
      <c r="H43" s="569"/>
      <c r="I43" s="471"/>
      <c r="J43" s="201"/>
      <c r="K43" s="201"/>
    </row>
    <row r="44" spans="1:24" ht="15" thickBot="1">
      <c r="B44" s="680" t="s">
        <v>904</v>
      </c>
      <c r="C44" s="1145">
        <f>C30/$C$11</f>
        <v>1.6954493040032024E-2</v>
      </c>
      <c r="D44" s="569"/>
      <c r="E44" s="569"/>
      <c r="F44" s="569"/>
      <c r="G44" s="569"/>
      <c r="H44" s="569"/>
      <c r="I44" s="471"/>
      <c r="J44" s="201"/>
      <c r="K44" s="201"/>
    </row>
    <row r="45" spans="1:24">
      <c r="B45" s="569" t="s">
        <v>133</v>
      </c>
      <c r="C45" s="4">
        <f>SUM(C40:C44)</f>
        <v>0.37870317887897026</v>
      </c>
      <c r="D45" s="569"/>
      <c r="E45" s="569"/>
      <c r="F45" s="569"/>
      <c r="G45" s="569"/>
      <c r="H45" s="569"/>
      <c r="I45" s="471"/>
      <c r="J45" s="201"/>
      <c r="K45" s="201"/>
    </row>
    <row r="46" spans="1:24">
      <c r="B46" s="569"/>
      <c r="C46" s="569"/>
      <c r="D46" s="445"/>
      <c r="E46" s="569"/>
      <c r="F46" s="569"/>
      <c r="G46" s="569"/>
      <c r="H46" s="569"/>
      <c r="I46" s="471"/>
      <c r="J46" s="201"/>
      <c r="K46" s="201"/>
    </row>
    <row r="47" spans="1:24">
      <c r="B47" s="537"/>
      <c r="C47" s="568"/>
      <c r="D47" s="569"/>
      <c r="E47" s="569"/>
      <c r="F47" s="569"/>
      <c r="G47" s="569"/>
      <c r="H47" s="569"/>
      <c r="I47" s="471"/>
      <c r="J47" s="201"/>
      <c r="K47" s="201"/>
    </row>
    <row r="48" spans="1:24" ht="15.5">
      <c r="B48" s="565"/>
      <c r="C48" s="564"/>
      <c r="D48" s="568"/>
      <c r="E48" s="568"/>
      <c r="F48" s="568"/>
      <c r="G48" s="568"/>
      <c r="H48" s="567"/>
      <c r="I48" s="471"/>
      <c r="J48" s="201"/>
      <c r="K48" s="201"/>
    </row>
    <row r="49" spans="2:24" ht="15.5">
      <c r="B49" s="565"/>
      <c r="C49" s="564"/>
      <c r="D49" s="566"/>
      <c r="E49" s="566"/>
      <c r="F49" s="566"/>
      <c r="G49" s="566"/>
      <c r="H49" s="471"/>
      <c r="I49" s="471"/>
      <c r="J49" s="201"/>
      <c r="K49" s="201"/>
    </row>
    <row r="50" spans="2:24" ht="15" customHeight="1">
      <c r="B50" s="537"/>
      <c r="C50" s="547"/>
      <c r="D50" s="563"/>
      <c r="E50" s="562"/>
      <c r="F50" s="562"/>
      <c r="G50" s="562"/>
      <c r="H50" s="201"/>
      <c r="I50" s="561"/>
      <c r="J50" s="561"/>
      <c r="K50" s="201"/>
    </row>
    <row r="51" spans="2:24">
      <c r="B51" s="537"/>
      <c r="C51" s="547"/>
      <c r="D51" s="557"/>
      <c r="E51" s="559"/>
      <c r="F51" s="559"/>
      <c r="G51" s="556"/>
      <c r="H51" s="201"/>
      <c r="I51" s="560"/>
      <c r="J51" s="201"/>
      <c r="K51" s="201"/>
    </row>
    <row r="52" spans="2:24">
      <c r="B52" s="537"/>
      <c r="C52" s="547"/>
      <c r="D52" s="557"/>
      <c r="E52" s="559"/>
      <c r="F52" s="559"/>
      <c r="G52" s="556"/>
      <c r="H52" s="471"/>
      <c r="I52" s="558"/>
      <c r="J52" s="201"/>
      <c r="K52" s="201"/>
    </row>
    <row r="53" spans="2:24">
      <c r="B53" s="537"/>
      <c r="C53" s="547"/>
      <c r="D53" s="557"/>
      <c r="E53" s="556"/>
      <c r="F53" s="556"/>
      <c r="G53" s="556"/>
      <c r="H53" s="471"/>
      <c r="I53" s="471"/>
      <c r="J53" s="201"/>
      <c r="K53" s="201"/>
    </row>
    <row r="54" spans="2:24">
      <c r="B54" s="537"/>
      <c r="C54" s="547"/>
      <c r="D54" s="555"/>
      <c r="E54" s="553"/>
      <c r="F54" s="554"/>
      <c r="G54" s="553"/>
      <c r="H54" s="471"/>
      <c r="I54" s="552"/>
      <c r="J54" s="201"/>
      <c r="K54" s="201"/>
    </row>
    <row r="55" spans="2:24" s="1066" customFormat="1">
      <c r="B55" s="537"/>
      <c r="C55" s="547"/>
      <c r="D55" s="555"/>
      <c r="E55" s="553"/>
      <c r="F55" s="554"/>
      <c r="G55" s="553"/>
      <c r="H55" s="471"/>
      <c r="I55" s="552"/>
      <c r="J55" s="201"/>
      <c r="K55" s="201"/>
    </row>
    <row r="56" spans="2:24" s="1066" customFormat="1">
      <c r="B56" s="537"/>
      <c r="C56" s="547"/>
      <c r="D56" s="555"/>
      <c r="E56" s="553"/>
      <c r="F56" s="554"/>
      <c r="G56" s="553"/>
      <c r="H56" s="471"/>
      <c r="I56" s="552"/>
      <c r="J56" s="201"/>
      <c r="K56" s="201"/>
    </row>
    <row r="57" spans="2:24" s="1066" customFormat="1">
      <c r="B57" s="537"/>
      <c r="C57" s="547"/>
      <c r="D57" s="555"/>
      <c r="E57" s="553"/>
      <c r="F57" s="554"/>
      <c r="G57" s="553"/>
      <c r="H57" s="471"/>
      <c r="I57" s="552"/>
      <c r="J57" s="201"/>
      <c r="K57" s="201"/>
    </row>
    <row r="58" spans="2:24" s="1066" customFormat="1">
      <c r="B58" s="537"/>
      <c r="C58" s="547"/>
      <c r="D58" s="555"/>
      <c r="E58" s="553"/>
      <c r="F58" s="554"/>
      <c r="G58" s="553"/>
      <c r="H58" s="471"/>
      <c r="I58" s="552"/>
      <c r="J58" s="201"/>
      <c r="K58" s="201"/>
    </row>
    <row r="59" spans="2:24">
      <c r="B59" s="537"/>
      <c r="C59" s="547"/>
      <c r="D59" s="551"/>
      <c r="E59" s="550"/>
      <c r="F59" s="550"/>
      <c r="G59" s="549"/>
      <c r="H59" s="471"/>
      <c r="I59" s="548"/>
      <c r="J59" s="201"/>
      <c r="K59" s="201"/>
    </row>
    <row r="60" spans="2:24">
      <c r="B60" s="537" t="s">
        <v>1341</v>
      </c>
      <c r="C60" s="547"/>
      <c r="D60" s="551"/>
      <c r="E60" s="550"/>
      <c r="F60" s="550"/>
      <c r="G60" s="549"/>
      <c r="H60" s="471"/>
      <c r="I60" s="548"/>
      <c r="J60" s="548"/>
      <c r="K60" s="201"/>
    </row>
    <row r="61" spans="2:24">
      <c r="B61" s="537" t="s">
        <v>1338</v>
      </c>
      <c r="C61" s="967">
        <f>NPV(0.1,D61:X61)</f>
        <v>7.242303677446956</v>
      </c>
      <c r="D61" s="965">
        <f>Health!B343/1000000</f>
        <v>0</v>
      </c>
      <c r="E61" s="965">
        <f>Health!C343/1000000</f>
        <v>0</v>
      </c>
      <c r="F61" s="965">
        <f>Health!D343/1000000</f>
        <v>4.7401688535737084E-2</v>
      </c>
      <c r="G61" s="965">
        <f>Health!E343/1000000</f>
        <v>0.24690685343534924</v>
      </c>
      <c r="H61" s="965">
        <f>Health!F343/1000000</f>
        <v>0.61740719692422463</v>
      </c>
      <c r="I61" s="965">
        <f>Health!G343/1000000</f>
        <v>1.0186595139298684</v>
      </c>
      <c r="J61" s="965">
        <f>Health!H343/1000000</f>
        <v>1.1175008474707331</v>
      </c>
      <c r="K61" s="965">
        <f>Health!I343/1000000</f>
        <v>1.1647893769113709</v>
      </c>
      <c r="L61" s="965">
        <f>Health!J343/1000000</f>
        <v>1.214237800147637</v>
      </c>
      <c r="M61" s="965">
        <f>Health!K343/1000000</f>
        <v>1.2659500752851289</v>
      </c>
      <c r="N61" s="965">
        <f>Health!L343/1000000</f>
        <v>1.3200353282486743</v>
      </c>
      <c r="O61" s="965">
        <f>Health!M343/1000000</f>
        <v>1.3766081145002271</v>
      </c>
      <c r="P61" s="965">
        <f>Health!N343/1000000</f>
        <v>1.4357886941482765</v>
      </c>
      <c r="Q61" s="965">
        <f>Health!O343/1000000</f>
        <v>1.4977033211378254</v>
      </c>
      <c r="R61" s="965">
        <f>Health!P343/1000000</f>
        <v>1.5624845472455278</v>
      </c>
      <c r="S61" s="965">
        <f>Health!Q343/1000000</f>
        <v>1.6302715416419913</v>
      </c>
      <c r="T61" s="965">
        <f>Health!R343/1000000</f>
        <v>1.7012104268225701</v>
      </c>
      <c r="U61" s="965">
        <f>Health!S343/1000000</f>
        <v>1.7754546317493449</v>
      </c>
      <c r="V61" s="965">
        <f>Health!T343/1000000</f>
        <v>1.8531652630904842</v>
      </c>
      <c r="W61" s="965">
        <f>Health!U343/1000000</f>
        <v>1.93451149548893</v>
      </c>
      <c r="X61" s="965">
        <f>Health!V343/1000000</f>
        <v>2.0196709818404766</v>
      </c>
    </row>
    <row r="62" spans="2:24">
      <c r="B62" s="537" t="s">
        <v>1339</v>
      </c>
      <c r="C62" s="967">
        <f>NPV(0.1,D62:X62)</f>
        <v>9.1948497281581734</v>
      </c>
      <c r="D62" s="965">
        <f>Health!B366/1000000</f>
        <v>0</v>
      </c>
      <c r="E62" s="965">
        <f>Health!C366/1000000</f>
        <v>0</v>
      </c>
      <c r="F62" s="965">
        <f>Health!D366/1000000</f>
        <v>5.9113571465810526E-2</v>
      </c>
      <c r="G62" s="965">
        <f>Health!E366/1000000</f>
        <v>0.30856387162814475</v>
      </c>
      <c r="H62" s="965">
        <f>Health!F366/1000000</f>
        <v>0.77320752130198911</v>
      </c>
      <c r="I62" s="965">
        <f>Health!G366/1000000</f>
        <v>1.2783789196636937</v>
      </c>
      <c r="J62" s="965">
        <f>Health!H366/1000000</f>
        <v>1.40532938351565</v>
      </c>
      <c r="K62" s="965">
        <f>Health!I366/1000000</f>
        <v>1.4678130344440692</v>
      </c>
      <c r="L62" s="965">
        <f>Health!J366/1000000</f>
        <v>1.5332513407853972</v>
      </c>
      <c r="M62" s="965">
        <f>Health!K366/1000000</f>
        <v>1.6017896308737445</v>
      </c>
      <c r="N62" s="965">
        <f>Health!L366/1000000</f>
        <v>1.6735805489608668</v>
      </c>
      <c r="O62" s="965">
        <f>Health!M366/1000000</f>
        <v>1.7487844283255463</v>
      </c>
      <c r="P62" s="965">
        <f>Health!N366/1000000</f>
        <v>1.827569683546814</v>
      </c>
      <c r="Q62" s="965">
        <f>Health!O366/1000000</f>
        <v>1.9101132229290896</v>
      </c>
      <c r="R62" s="965">
        <f>Health!P366/1000000</f>
        <v>1.9966008821183165</v>
      </c>
      <c r="S62" s="965">
        <f>Health!Q366/1000000</f>
        <v>2.0872278800019117</v>
      </c>
      <c r="T62" s="965">
        <f>Health!R366/1000000</f>
        <v>2.1821992980417488</v>
      </c>
      <c r="U62" s="965">
        <f>Health!S366/1000000</f>
        <v>2.2817305842488369</v>
      </c>
      <c r="V62" s="965">
        <f>Health!T366/1000000</f>
        <v>2.386048083070766</v>
      </c>
      <c r="W62" s="965">
        <f>Health!U366/1000000</f>
        <v>2.4953895925286984</v>
      </c>
      <c r="X62" s="965">
        <f>Health!V366/1000000</f>
        <v>2.6100049500097642</v>
      </c>
    </row>
    <row r="63" spans="2:24">
      <c r="B63" s="537" t="s">
        <v>1340</v>
      </c>
      <c r="C63" s="967">
        <f>NPV(0.1,D63:X63)</f>
        <v>16.087030895189365</v>
      </c>
      <c r="D63" s="966">
        <f>('Health-Stunting'!E223+'Health-Stunting'!E198+'Health-Stunting'!E173)/1000000</f>
        <v>0</v>
      </c>
      <c r="E63" s="966">
        <f>('Health-Stunting'!F223+'Health-Stunting'!F198+'Health-Stunting'!F173)/1000000</f>
        <v>0</v>
      </c>
      <c r="F63" s="966">
        <f>('Health-Stunting'!G223+'Health-Stunting'!G198+'Health-Stunting'!G173)/1000000</f>
        <v>0</v>
      </c>
      <c r="G63" s="966">
        <f>('Health-Stunting'!H223+'Health-Stunting'!H198+'Health-Stunting'!H173)/1000000</f>
        <v>0</v>
      </c>
      <c r="H63" s="966">
        <f>('Health-Stunting'!I223+'Health-Stunting'!I198+'Health-Stunting'!I173)/1000000</f>
        <v>0</v>
      </c>
      <c r="I63" s="966">
        <f>('Health-Stunting'!J223+'Health-Stunting'!J198+'Health-Stunting'!J173)/1000000</f>
        <v>0</v>
      </c>
      <c r="J63" s="966">
        <f>('Health-Stunting'!K223+'Health-Stunting'!K198+'Health-Stunting'!K173)/1000000</f>
        <v>0</v>
      </c>
      <c r="K63" s="966">
        <f>('Health-Stunting'!L223+'Health-Stunting'!L198+'Health-Stunting'!L173)/1000000</f>
        <v>0</v>
      </c>
      <c r="L63" s="966">
        <f>('Health-Stunting'!M223+'Health-Stunting'!M198+'Health-Stunting'!M173)/1000000</f>
        <v>0</v>
      </c>
      <c r="M63" s="966">
        <f>('Health-Stunting'!N223+'Health-Stunting'!N198+'Health-Stunting'!N173)/1000000</f>
        <v>0</v>
      </c>
      <c r="N63" s="966">
        <f>('Health-Stunting'!O223+'Health-Stunting'!O198+'Health-Stunting'!O173)/1000000</f>
        <v>0</v>
      </c>
      <c r="O63" s="966">
        <f>('Health-Stunting'!P223+'Health-Stunting'!P198+'Health-Stunting'!P173)/1000000</f>
        <v>0</v>
      </c>
      <c r="P63" s="966">
        <f>('Health-Stunting'!Q223+'Health-Stunting'!Q198+'Health-Stunting'!Q173)/1000000</f>
        <v>0</v>
      </c>
      <c r="Q63" s="966">
        <f>('Health-Stunting'!R223+'Health-Stunting'!R198+'Health-Stunting'!R173)/1000000</f>
        <v>0</v>
      </c>
      <c r="R63" s="966">
        <f>('Health-Stunting'!S223+'Health-Stunting'!S198+'Health-Stunting'!S173)/1000000</f>
        <v>0</v>
      </c>
      <c r="S63" s="966">
        <f>('Health-Stunting'!T223+'Health-Stunting'!T198+'Health-Stunting'!T173)/1000000</f>
        <v>1.4911305029001128E-2</v>
      </c>
      <c r="T63" s="966">
        <f>('Health-Stunting'!U223+'Health-Stunting'!U198+'Health-Stunting'!U173)/1000000</f>
        <v>9.5929120990464647E-2</v>
      </c>
      <c r="U63" s="966">
        <f>('Health-Stunting'!V223+'Health-Stunting'!V198+'Health-Stunting'!V173)/1000000</f>
        <v>0.31051512246686164</v>
      </c>
      <c r="V63" s="966">
        <f>('Health-Stunting'!W223+'Health-Stunting'!W198+'Health-Stunting'!W173)/1000000</f>
        <v>0.69242681962463515</v>
      </c>
      <c r="W63" s="966">
        <f>('Health-Stunting'!X223+'Health-Stunting'!X198+'Health-Stunting'!X173)/1000000</f>
        <v>1.169929048043737</v>
      </c>
      <c r="X63" s="966">
        <f>('Health-Stunting'!Y223+'Health-Stunting'!Y198+'Health-Stunting'!Y173)/1000000</f>
        <v>116.34553082090287</v>
      </c>
    </row>
    <row r="64" spans="2:24">
      <c r="B64" s="543"/>
      <c r="C64" s="543"/>
      <c r="D64" s="546"/>
      <c r="E64" s="544"/>
      <c r="F64" s="545"/>
      <c r="G64" s="544"/>
      <c r="H64" s="471"/>
      <c r="I64" s="471"/>
      <c r="J64" s="201"/>
      <c r="K64" s="201"/>
    </row>
    <row r="65" spans="2:11">
      <c r="B65" s="543"/>
      <c r="C65" s="543"/>
      <c r="D65" s="543"/>
      <c r="E65" s="543"/>
      <c r="F65" s="543"/>
      <c r="G65" s="543"/>
      <c r="H65" s="471"/>
      <c r="I65" s="471"/>
      <c r="J65" s="201"/>
      <c r="K65" s="201"/>
    </row>
    <row r="66" spans="2:11" ht="15.5">
      <c r="B66" s="540"/>
      <c r="C66" s="539"/>
      <c r="D66" s="543"/>
      <c r="E66" s="543"/>
      <c r="F66" s="543"/>
      <c r="G66" s="543"/>
      <c r="H66" s="471"/>
      <c r="I66" s="542"/>
      <c r="J66" s="201"/>
      <c r="K66" s="201"/>
    </row>
    <row r="67" spans="2:11" ht="15.5">
      <c r="B67" s="540"/>
      <c r="C67" s="539"/>
      <c r="D67" s="541"/>
      <c r="E67" s="537"/>
      <c r="F67" s="537"/>
      <c r="G67" s="537"/>
      <c r="H67" s="471"/>
      <c r="I67" s="471"/>
      <c r="J67" s="201"/>
      <c r="K67" s="201"/>
    </row>
    <row r="68" spans="2:11" ht="15.5">
      <c r="B68" s="540"/>
      <c r="C68" s="539"/>
      <c r="D68" s="538"/>
      <c r="E68" s="537"/>
      <c r="F68" s="537"/>
      <c r="G68" s="537"/>
      <c r="H68" s="471"/>
      <c r="I68" s="471"/>
      <c r="J68" s="201"/>
      <c r="K68" s="201"/>
    </row>
    <row r="69" spans="2:11">
      <c r="B69" s="471"/>
      <c r="C69" s="471"/>
      <c r="D69" s="538"/>
      <c r="E69" s="537"/>
      <c r="F69" s="537"/>
      <c r="G69" s="537"/>
      <c r="H69" s="471"/>
      <c r="I69" s="471"/>
      <c r="J69" s="201"/>
      <c r="K69" s="201"/>
    </row>
    <row r="70" spans="2:11">
      <c r="B70" s="471"/>
      <c r="C70" s="471"/>
      <c r="D70" s="471"/>
      <c r="E70" s="471"/>
      <c r="F70" s="471"/>
      <c r="G70" s="471"/>
      <c r="H70" s="471"/>
      <c r="I70" s="471"/>
      <c r="J70" s="201"/>
      <c r="K70" s="201"/>
    </row>
    <row r="71" spans="2:11">
      <c r="B71" s="471"/>
      <c r="C71" s="471"/>
      <c r="D71" s="471"/>
      <c r="E71" s="471"/>
      <c r="F71" s="471"/>
      <c r="G71" s="471"/>
      <c r="H71" s="471"/>
      <c r="I71" s="471"/>
      <c r="J71" s="201"/>
      <c r="K71" s="201"/>
    </row>
    <row r="72" spans="2:11">
      <c r="B72" s="471"/>
      <c r="C72" s="471"/>
      <c r="D72" s="471"/>
      <c r="E72" s="471"/>
      <c r="F72" s="471"/>
      <c r="G72" s="471"/>
      <c r="H72" s="471"/>
      <c r="I72" s="471"/>
      <c r="J72" s="201"/>
      <c r="K72" s="201"/>
    </row>
    <row r="73" spans="2:11">
      <c r="B73" s="471"/>
      <c r="C73" s="471"/>
      <c r="D73" s="471"/>
      <c r="E73" s="471"/>
      <c r="F73" s="471"/>
      <c r="G73" s="471"/>
      <c r="H73" s="471"/>
      <c r="I73" s="471"/>
      <c r="J73" s="201"/>
      <c r="K73" s="201"/>
    </row>
    <row r="74" spans="2:11">
      <c r="B74" s="471"/>
      <c r="C74" s="471"/>
      <c r="D74" s="471"/>
      <c r="E74" s="471"/>
      <c r="F74" s="471"/>
      <c r="G74" s="471"/>
      <c r="H74" s="471"/>
      <c r="I74" s="471"/>
      <c r="J74" s="201"/>
      <c r="K74" s="201"/>
    </row>
    <row r="75" spans="2:11">
      <c r="B75" s="471"/>
      <c r="C75" s="471"/>
      <c r="D75" s="536"/>
      <c r="E75" s="471"/>
      <c r="F75" s="471"/>
      <c r="G75" s="471"/>
      <c r="H75" s="471"/>
      <c r="I75" s="471"/>
      <c r="J75" s="201"/>
      <c r="K75" s="201"/>
    </row>
    <row r="76" spans="2:11">
      <c r="B76" s="471"/>
      <c r="C76" s="471"/>
      <c r="D76" s="536"/>
      <c r="E76" s="471"/>
      <c r="F76" s="471"/>
      <c r="G76" s="471"/>
      <c r="H76" s="471"/>
      <c r="I76" s="471"/>
      <c r="J76" s="201"/>
      <c r="K76" s="201"/>
    </row>
    <row r="77" spans="2:11">
      <c r="B77" s="471"/>
      <c r="C77" s="471"/>
      <c r="D77" s="536"/>
      <c r="E77" s="471"/>
      <c r="F77" s="471"/>
      <c r="G77" s="471"/>
      <c r="H77" s="471"/>
      <c r="I77" s="471"/>
      <c r="J77" s="201"/>
      <c r="K77" s="201"/>
    </row>
    <row r="78" spans="2:11">
      <c r="B78" s="471"/>
      <c r="C78" s="471"/>
      <c r="D78" s="536"/>
      <c r="E78" s="471"/>
      <c r="F78" s="471"/>
      <c r="G78" s="471"/>
      <c r="H78" s="471"/>
      <c r="I78" s="471"/>
      <c r="J78" s="201"/>
      <c r="K78" s="201"/>
    </row>
    <row r="79" spans="2:11">
      <c r="B79" s="471"/>
      <c r="C79" s="471"/>
      <c r="D79" s="536"/>
      <c r="E79" s="471"/>
      <c r="F79" s="471"/>
      <c r="G79" s="471"/>
      <c r="H79" s="471"/>
      <c r="I79" s="471"/>
      <c r="J79" s="201"/>
      <c r="K79" s="201"/>
    </row>
    <row r="80" spans="2:11">
      <c r="B80" s="471"/>
      <c r="C80" s="471"/>
      <c r="D80" s="536"/>
      <c r="E80" s="471"/>
      <c r="F80" s="471"/>
      <c r="G80" s="471"/>
      <c r="H80" s="471"/>
      <c r="I80" s="471"/>
      <c r="J80" s="201"/>
      <c r="K80" s="201"/>
    </row>
    <row r="81" spans="2:11">
      <c r="B81" s="471"/>
      <c r="C81" s="471"/>
      <c r="D81" s="536"/>
      <c r="E81" s="471"/>
      <c r="F81" s="471"/>
      <c r="G81" s="471"/>
      <c r="H81" s="471"/>
      <c r="I81" s="471"/>
      <c r="J81" s="201"/>
      <c r="K81" s="201"/>
    </row>
    <row r="82" spans="2:11">
      <c r="B82" s="471"/>
      <c r="C82" s="471"/>
      <c r="D82" s="536"/>
      <c r="E82" s="471"/>
      <c r="F82" s="471"/>
      <c r="G82" s="471"/>
      <c r="H82" s="471"/>
      <c r="I82" s="471"/>
      <c r="J82" s="201"/>
      <c r="K82" s="201"/>
    </row>
    <row r="83" spans="2:11">
      <c r="B83" s="471"/>
      <c r="C83" s="471"/>
      <c r="D83" s="536"/>
      <c r="E83" s="471"/>
      <c r="F83" s="471"/>
      <c r="G83" s="471"/>
      <c r="H83" s="471"/>
      <c r="I83" s="471"/>
      <c r="J83" s="201"/>
      <c r="K83" s="201"/>
    </row>
    <row r="84" spans="2:11">
      <c r="B84" s="471"/>
      <c r="C84" s="471"/>
      <c r="D84" s="536"/>
      <c r="E84" s="471"/>
      <c r="F84" s="471"/>
      <c r="G84" s="471"/>
      <c r="H84" s="471"/>
      <c r="I84" s="471"/>
      <c r="J84" s="201"/>
      <c r="K84" s="201"/>
    </row>
    <row r="85" spans="2:11">
      <c r="B85" s="471"/>
      <c r="C85" s="471"/>
      <c r="D85" s="471"/>
      <c r="E85" s="471"/>
      <c r="F85" s="471"/>
      <c r="G85" s="471"/>
      <c r="H85" s="471"/>
      <c r="I85" s="471"/>
      <c r="J85" s="201"/>
      <c r="K85" s="201"/>
    </row>
    <row r="86" spans="2:11">
      <c r="B86" s="471"/>
      <c r="C86" s="471"/>
      <c r="D86" s="471"/>
      <c r="E86" s="471"/>
      <c r="F86" s="471"/>
      <c r="G86" s="471"/>
      <c r="H86" s="471"/>
      <c r="I86" s="471"/>
      <c r="J86" s="201"/>
      <c r="K86" s="201"/>
    </row>
    <row r="87" spans="2:11">
      <c r="B87" s="471"/>
      <c r="C87" s="471"/>
      <c r="D87" s="471"/>
      <c r="E87" s="471"/>
      <c r="F87" s="471"/>
      <c r="G87" s="471"/>
      <c r="H87" s="471"/>
      <c r="I87" s="471"/>
      <c r="J87" s="201"/>
      <c r="K87" s="201"/>
    </row>
    <row r="88" spans="2:11" ht="15.5">
      <c r="B88" s="471"/>
      <c r="C88" s="535"/>
      <c r="D88" s="471"/>
      <c r="E88" s="471"/>
      <c r="F88" s="471"/>
      <c r="G88" s="471"/>
      <c r="H88" s="471"/>
      <c r="I88" s="471"/>
      <c r="J88" s="201"/>
      <c r="K88" s="201"/>
    </row>
    <row r="89" spans="2:11" ht="15.5">
      <c r="B89" s="471"/>
      <c r="C89" s="471"/>
      <c r="D89" s="535"/>
      <c r="E89" s="471"/>
      <c r="F89" s="471"/>
      <c r="G89" s="471"/>
      <c r="H89" s="471"/>
      <c r="I89" s="471"/>
      <c r="J89" s="201"/>
      <c r="K89" s="201"/>
    </row>
    <row r="90" spans="2:11">
      <c r="B90" s="471"/>
      <c r="C90" s="471"/>
      <c r="D90" s="471"/>
      <c r="E90" s="471"/>
      <c r="F90" s="471"/>
      <c r="G90" s="471"/>
      <c r="H90" s="471"/>
      <c r="I90" s="471"/>
      <c r="J90" s="201"/>
      <c r="K90" s="201"/>
    </row>
    <row r="91" spans="2:11">
      <c r="B91" s="471"/>
      <c r="C91" s="471"/>
      <c r="D91" s="471"/>
      <c r="E91" s="471"/>
      <c r="F91" s="471"/>
      <c r="G91" s="471"/>
      <c r="H91" s="471"/>
      <c r="I91" s="471"/>
      <c r="J91" s="201"/>
      <c r="K91" s="201"/>
    </row>
    <row r="92" spans="2:11">
      <c r="B92" s="471"/>
      <c r="C92" s="471"/>
      <c r="D92" s="471"/>
      <c r="E92" s="471"/>
      <c r="F92" s="471"/>
      <c r="G92" s="471"/>
      <c r="H92" s="471"/>
      <c r="I92" s="471"/>
      <c r="J92" s="471"/>
      <c r="K92" s="201"/>
    </row>
    <row r="93" spans="2:11">
      <c r="B93" s="471"/>
      <c r="C93" s="471"/>
      <c r="D93" s="471"/>
      <c r="E93" s="471"/>
      <c r="F93" s="471"/>
      <c r="G93" s="471"/>
      <c r="H93" s="471"/>
      <c r="I93" s="471"/>
      <c r="J93" s="471"/>
      <c r="K93" s="201"/>
    </row>
    <row r="94" spans="2:11">
      <c r="B94" s="471"/>
      <c r="C94" s="201"/>
      <c r="D94" s="471"/>
      <c r="E94" s="471"/>
      <c r="F94" s="471"/>
      <c r="G94" s="471"/>
      <c r="H94" s="471"/>
      <c r="I94" s="471"/>
      <c r="J94" s="471"/>
      <c r="K94" s="201"/>
    </row>
    <row r="95" spans="2:11">
      <c r="B95" s="471"/>
      <c r="C95" s="201"/>
      <c r="D95" s="201"/>
      <c r="E95" s="201"/>
      <c r="F95" s="201"/>
      <c r="G95" s="201"/>
      <c r="H95" s="471"/>
      <c r="I95" s="471"/>
      <c r="J95" s="471"/>
      <c r="K95" s="201"/>
    </row>
    <row r="96" spans="2:11">
      <c r="B96" s="471"/>
      <c r="C96" s="201"/>
      <c r="D96" s="201"/>
      <c r="E96" s="201"/>
      <c r="F96" s="201"/>
      <c r="G96" s="201"/>
      <c r="H96" s="471"/>
      <c r="I96" s="471"/>
      <c r="J96" s="471"/>
      <c r="K96" s="201"/>
    </row>
    <row r="97" spans="2:11">
      <c r="B97" s="471"/>
      <c r="C97" s="201"/>
      <c r="D97" s="201"/>
      <c r="E97" s="201"/>
      <c r="F97" s="201"/>
      <c r="G97" s="201"/>
      <c r="H97" s="471"/>
      <c r="I97" s="471"/>
      <c r="J97" s="471"/>
      <c r="K97" s="201"/>
    </row>
    <row r="98" spans="2:11">
      <c r="B98" s="471"/>
      <c r="C98" s="201"/>
      <c r="D98" s="201"/>
      <c r="E98" s="201"/>
      <c r="F98" s="201"/>
      <c r="G98" s="201"/>
      <c r="H98" s="471"/>
      <c r="I98" s="471"/>
      <c r="J98" s="471"/>
      <c r="K98" s="201"/>
    </row>
    <row r="99" spans="2:11">
      <c r="B99" s="471"/>
      <c r="C99" s="201"/>
      <c r="D99" s="201"/>
      <c r="E99" s="201"/>
      <c r="F99" s="201"/>
      <c r="G99" s="201"/>
      <c r="H99" s="471"/>
      <c r="I99" s="471"/>
      <c r="J99" s="471"/>
      <c r="K99" s="201"/>
    </row>
    <row r="100" spans="2:11">
      <c r="B100" s="471"/>
      <c r="C100" s="201"/>
      <c r="D100" s="201"/>
      <c r="E100" s="201"/>
      <c r="F100" s="201"/>
      <c r="G100" s="201"/>
      <c r="H100" s="471"/>
      <c r="I100" s="471"/>
      <c r="J100" s="471"/>
      <c r="K100" s="201"/>
    </row>
    <row r="101" spans="2:11">
      <c r="B101" s="471"/>
      <c r="C101" s="201"/>
      <c r="D101" s="201"/>
      <c r="E101" s="201"/>
      <c r="F101" s="201"/>
      <c r="G101" s="201"/>
      <c r="H101" s="471"/>
      <c r="I101" s="471"/>
      <c r="J101" s="471"/>
      <c r="K101" s="201"/>
    </row>
    <row r="102" spans="2:11">
      <c r="B102" s="471"/>
      <c r="C102" s="201"/>
      <c r="D102" s="201"/>
      <c r="E102" s="201"/>
      <c r="F102" s="201"/>
      <c r="G102" s="201"/>
      <c r="H102" s="471"/>
      <c r="I102" s="471"/>
      <c r="J102" s="471"/>
      <c r="K102" s="201"/>
    </row>
    <row r="103" spans="2:11">
      <c r="B103" s="471"/>
      <c r="C103" s="201"/>
      <c r="D103" s="201"/>
      <c r="E103" s="201"/>
      <c r="F103" s="201"/>
      <c r="G103" s="201"/>
      <c r="H103" s="471"/>
      <c r="I103" s="471"/>
      <c r="J103" s="471"/>
      <c r="K103" s="201"/>
    </row>
    <row r="104" spans="2:11">
      <c r="B104" s="471"/>
      <c r="C104" s="201"/>
      <c r="D104" s="201"/>
      <c r="E104" s="201"/>
      <c r="F104" s="201"/>
      <c r="G104" s="201"/>
      <c r="H104" s="471"/>
      <c r="I104" s="471"/>
      <c r="J104" s="471"/>
      <c r="K104" s="201"/>
    </row>
    <row r="105" spans="2:11">
      <c r="B105" s="471"/>
      <c r="C105" s="201"/>
      <c r="D105" s="201"/>
      <c r="E105" s="201"/>
      <c r="F105" s="201"/>
      <c r="G105" s="201"/>
      <c r="H105" s="471"/>
      <c r="I105" s="471"/>
      <c r="J105" s="471"/>
      <c r="K105" s="201"/>
    </row>
    <row r="106" spans="2:11">
      <c r="B106" s="471"/>
      <c r="C106" s="201"/>
      <c r="D106" s="201"/>
      <c r="E106" s="201"/>
      <c r="F106" s="201"/>
      <c r="G106" s="201"/>
      <c r="H106" s="471"/>
      <c r="I106" s="471"/>
      <c r="J106" s="471"/>
      <c r="K106" s="201"/>
    </row>
    <row r="107" spans="2:11">
      <c r="B107" s="471"/>
      <c r="C107" s="201"/>
      <c r="D107" s="201"/>
      <c r="E107" s="201"/>
      <c r="F107" s="201"/>
      <c r="G107" s="201"/>
      <c r="H107" s="471"/>
      <c r="I107" s="471"/>
      <c r="J107" s="471"/>
      <c r="K107" s="201"/>
    </row>
    <row r="108" spans="2:11">
      <c r="B108" s="471"/>
      <c r="C108" s="201"/>
      <c r="D108" s="201"/>
      <c r="E108" s="201"/>
      <c r="F108" s="201"/>
      <c r="G108" s="201"/>
      <c r="H108" s="471"/>
      <c r="I108" s="471"/>
      <c r="J108" s="471"/>
      <c r="K108" s="201"/>
    </row>
    <row r="109" spans="2:11">
      <c r="B109" s="471"/>
      <c r="C109" s="201"/>
      <c r="D109" s="201"/>
      <c r="E109" s="201"/>
      <c r="F109" s="201"/>
      <c r="G109" s="201"/>
      <c r="H109" s="471"/>
      <c r="I109" s="471"/>
      <c r="J109" s="471"/>
      <c r="K109" s="201"/>
    </row>
    <row r="110" spans="2:11">
      <c r="B110" s="471"/>
      <c r="C110" s="201"/>
      <c r="D110" s="201"/>
      <c r="E110" s="201"/>
      <c r="F110" s="201"/>
      <c r="G110" s="201"/>
      <c r="H110" s="471"/>
      <c r="I110" s="471"/>
      <c r="J110" s="471"/>
      <c r="K110" s="201"/>
    </row>
    <row r="111" spans="2:11">
      <c r="B111" s="471"/>
      <c r="C111" s="201"/>
      <c r="D111" s="201"/>
      <c r="E111" s="201"/>
      <c r="F111" s="201"/>
      <c r="G111" s="201"/>
      <c r="H111" s="471"/>
      <c r="I111" s="471"/>
      <c r="J111" s="471"/>
      <c r="K111" s="201"/>
    </row>
    <row r="112" spans="2:11">
      <c r="B112" s="229"/>
      <c r="D112" s="201"/>
      <c r="E112" s="201"/>
      <c r="F112" s="201"/>
      <c r="G112" s="201"/>
      <c r="H112" s="471"/>
      <c r="I112" s="471"/>
      <c r="J112" s="471"/>
      <c r="K112" s="201"/>
    </row>
    <row r="113" spans="2:10">
      <c r="B113" s="229"/>
      <c r="H113" s="229"/>
      <c r="I113" s="229"/>
      <c r="J113" s="229"/>
    </row>
    <row r="114" spans="2:10">
      <c r="H114" s="229"/>
      <c r="I114" s="229"/>
      <c r="J114" s="229"/>
    </row>
  </sheetData>
  <mergeCells count="2">
    <mergeCell ref="P2:R2"/>
    <mergeCell ref="V2:X2"/>
  </mergeCells>
  <conditionalFormatting sqref="B64:B65">
    <cfRule type="cellIs" dxfId="1" priority="1" stopIfTrue="1" operator="equal">
      <formula>0</formula>
    </cfRule>
    <cfRule type="cellIs" dxfId="0" priority="2" stopIfTrue="1" operator="notEqual">
      <formula>0</formula>
    </cfRule>
  </conditionalFormatting>
  <pageMargins left="0.25" right="0.25" top="0.75" bottom="0.75" header="0.3" footer="0.3"/>
  <pageSetup paperSize="3"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A381"/>
  <sheetViews>
    <sheetView topLeftCell="A382" zoomScale="80" zoomScaleNormal="80" workbookViewId="0">
      <pane xSplit="1" topLeftCell="B1" activePane="topRight" state="frozenSplit"/>
      <selection activeCell="A250" sqref="A250"/>
      <selection pane="topRight" activeCell="A9" sqref="A9:P9"/>
    </sheetView>
  </sheetViews>
  <sheetFormatPr defaultRowHeight="14.5"/>
  <cols>
    <col min="1" max="1" width="39.453125" customWidth="1"/>
    <col min="2" max="2" width="14.7265625" bestFit="1" customWidth="1"/>
    <col min="3" max="3" width="15.54296875" bestFit="1" customWidth="1"/>
    <col min="4" max="4" width="14.26953125" bestFit="1" customWidth="1"/>
    <col min="5" max="5" width="11.1796875" customWidth="1"/>
    <col min="6" max="6" width="14.26953125" bestFit="1" customWidth="1"/>
    <col min="7" max="7" width="15.81640625" customWidth="1"/>
    <col min="8" max="8" width="13.453125" customWidth="1"/>
    <col min="9" max="9" width="13.7265625" customWidth="1"/>
    <col min="10" max="11" width="14.26953125" bestFit="1" customWidth="1"/>
    <col min="12" max="12" width="13.1796875" customWidth="1"/>
    <col min="13" max="13" width="11.26953125" customWidth="1"/>
    <col min="14" max="16" width="14.26953125" bestFit="1" customWidth="1"/>
    <col min="17" max="17" width="12.1796875" customWidth="1"/>
    <col min="18" max="22" width="14.26953125" bestFit="1" customWidth="1"/>
    <col min="25" max="25" width="14" bestFit="1" customWidth="1"/>
  </cols>
  <sheetData>
    <row r="1" spans="1:17" s="1066" customFormat="1">
      <c r="M1" s="1182"/>
      <c r="O1" s="1180"/>
      <c r="P1" s="1319" t="s">
        <v>1764</v>
      </c>
    </row>
    <row r="2" spans="1:17">
      <c r="O2" s="1137"/>
      <c r="P2" s="1137"/>
      <c r="Q2" s="1189" t="s">
        <v>0</v>
      </c>
    </row>
    <row r="3" spans="1:17" ht="33.75" customHeight="1">
      <c r="A3" s="1345" t="s">
        <v>1765</v>
      </c>
      <c r="B3" s="1345"/>
      <c r="C3" s="1345"/>
      <c r="D3" s="1345"/>
      <c r="E3" s="1345"/>
      <c r="F3" s="1345"/>
      <c r="G3" s="1345"/>
      <c r="H3" s="1345"/>
      <c r="I3" s="1345"/>
      <c r="J3" s="1345"/>
      <c r="K3" s="1345"/>
      <c r="L3" s="1345"/>
      <c r="M3" s="1345"/>
      <c r="N3" s="1345"/>
      <c r="O3" s="1345"/>
      <c r="P3" s="1345"/>
    </row>
    <row r="4" spans="1:17" ht="60" customHeight="1">
      <c r="A4" s="1345" t="s">
        <v>1766</v>
      </c>
      <c r="B4" s="1345"/>
      <c r="C4" s="1345"/>
      <c r="D4" s="1345"/>
      <c r="E4" s="1345"/>
      <c r="F4" s="1345"/>
      <c r="G4" s="1345"/>
      <c r="H4" s="1345"/>
      <c r="I4" s="1345"/>
      <c r="J4" s="1345"/>
      <c r="K4" s="1345"/>
      <c r="L4" s="1345"/>
      <c r="M4" s="1345"/>
      <c r="N4" s="1345"/>
      <c r="O4" s="1345"/>
      <c r="P4" s="1345"/>
    </row>
    <row r="5" spans="1:17" ht="45.75" customHeight="1">
      <c r="A5" s="1345" t="s">
        <v>4</v>
      </c>
      <c r="B5" s="1345"/>
      <c r="C5" s="1345"/>
      <c r="D5" s="1345"/>
      <c r="E5" s="1345"/>
      <c r="F5" s="1345"/>
      <c r="G5" s="1345"/>
      <c r="H5" s="1345"/>
      <c r="I5" s="1345"/>
      <c r="J5" s="1345"/>
      <c r="K5" s="1345"/>
      <c r="L5" s="1345"/>
      <c r="M5" s="1345"/>
      <c r="N5" s="1345"/>
      <c r="O5" s="1345"/>
      <c r="P5" s="1345"/>
      <c r="Q5" t="s">
        <v>2</v>
      </c>
    </row>
    <row r="6" spans="1:17" ht="31.5" customHeight="1">
      <c r="A6" s="1345" t="s">
        <v>66</v>
      </c>
      <c r="B6" s="1345"/>
      <c r="C6" s="1345"/>
      <c r="D6" s="1345"/>
      <c r="E6" s="1345"/>
      <c r="F6" s="1345"/>
      <c r="G6" s="1345"/>
      <c r="H6" s="1345"/>
      <c r="I6" s="1345"/>
      <c r="J6" s="1345"/>
      <c r="K6" s="1345"/>
      <c r="L6" s="1345"/>
      <c r="M6" s="1345"/>
      <c r="N6" s="1345"/>
      <c r="O6" s="1345"/>
      <c r="P6" s="1345"/>
    </row>
    <row r="7" spans="1:17" ht="32.25" customHeight="1">
      <c r="A7" s="1345" t="s">
        <v>342</v>
      </c>
      <c r="B7" s="1345"/>
      <c r="C7" s="1345"/>
      <c r="D7" s="1345"/>
      <c r="E7" s="1345"/>
      <c r="F7" s="1345"/>
      <c r="G7" s="1345"/>
      <c r="H7" s="1345"/>
      <c r="I7" s="1345"/>
      <c r="J7" s="1345"/>
      <c r="K7" s="1345"/>
      <c r="L7" s="1345"/>
      <c r="M7" s="1345"/>
      <c r="N7" s="1345"/>
      <c r="O7" s="1345"/>
      <c r="P7" s="1345"/>
      <c r="Q7" t="s">
        <v>1</v>
      </c>
    </row>
    <row r="8" spans="1:17" ht="30" customHeight="1">
      <c r="A8" s="1345" t="s">
        <v>346</v>
      </c>
      <c r="B8" s="1345"/>
      <c r="C8" s="1345"/>
      <c r="D8" s="1345"/>
      <c r="E8" s="1345"/>
      <c r="F8" s="1345"/>
      <c r="G8" s="1345"/>
      <c r="H8" s="1345"/>
      <c r="I8" s="1345"/>
      <c r="J8" s="1345"/>
      <c r="K8" s="1345"/>
      <c r="L8" s="1345"/>
      <c r="M8" s="1345"/>
      <c r="N8" s="1345"/>
      <c r="O8" s="1345"/>
      <c r="P8" s="1345"/>
      <c r="Q8" t="s">
        <v>343</v>
      </c>
    </row>
    <row r="9" spans="1:17" ht="31.5" customHeight="1">
      <c r="A9" s="1345" t="s">
        <v>344</v>
      </c>
      <c r="B9" s="1345"/>
      <c r="C9" s="1345"/>
      <c r="D9" s="1345"/>
      <c r="E9" s="1345"/>
      <c r="F9" s="1345"/>
      <c r="G9" s="1345"/>
      <c r="H9" s="1345"/>
      <c r="I9" s="1345"/>
      <c r="J9" s="1345"/>
      <c r="K9" s="1345"/>
      <c r="L9" s="1345"/>
      <c r="M9" s="1345"/>
      <c r="N9" s="1345"/>
      <c r="O9" s="1345"/>
      <c r="P9" s="1345"/>
      <c r="Q9" t="s">
        <v>9</v>
      </c>
    </row>
    <row r="11" spans="1:17">
      <c r="A11" s="3" t="s">
        <v>3</v>
      </c>
      <c r="C11" s="697">
        <v>688500</v>
      </c>
    </row>
    <row r="12" spans="1:17" s="879" customFormat="1">
      <c r="A12" s="3" t="s">
        <v>1347</v>
      </c>
      <c r="B12" s="188">
        <f>'ERR &amp; Sensitivity Analysis'!D12</f>
        <v>3297</v>
      </c>
      <c r="C12" s="121" t="e">
        <f>B12/K13</f>
        <v>#DIV/0!</v>
      </c>
      <c r="D12" s="879" t="s">
        <v>1351</v>
      </c>
      <c r="E12" s="879" t="s">
        <v>1352</v>
      </c>
      <c r="F12" s="879" t="s">
        <v>1353</v>
      </c>
      <c r="G12" s="879" t="s">
        <v>1354</v>
      </c>
      <c r="H12" s="1137" t="s">
        <v>1744</v>
      </c>
    </row>
    <row r="13" spans="1:17">
      <c r="A13" t="s">
        <v>896</v>
      </c>
      <c r="B13" s="2">
        <v>419000</v>
      </c>
      <c r="D13" s="879" t="s">
        <v>1312</v>
      </c>
      <c r="E13" s="879" t="s">
        <v>1355</v>
      </c>
      <c r="F13" s="879" t="s">
        <v>1356</v>
      </c>
      <c r="G13" s="879" t="s">
        <v>1357</v>
      </c>
      <c r="H13" s="1137">
        <v>9.5195014198180701</v>
      </c>
      <c r="I13" s="879"/>
      <c r="J13" s="879"/>
      <c r="K13" s="879"/>
      <c r="L13" s="879"/>
      <c r="M13" s="879"/>
      <c r="N13" s="879"/>
    </row>
    <row r="14" spans="1:17" s="879" customFormat="1">
      <c r="A14" t="s">
        <v>1358</v>
      </c>
      <c r="B14">
        <v>12.983000000000001</v>
      </c>
      <c r="C14" s="969" t="s">
        <v>5</v>
      </c>
    </row>
    <row r="15" spans="1:17">
      <c r="A15" t="s">
        <v>1743</v>
      </c>
      <c r="B15">
        <f>H13</f>
        <v>9.5195014198180701</v>
      </c>
      <c r="C15">
        <f>B13/B15</f>
        <v>44014.910185076442</v>
      </c>
    </row>
    <row r="16" spans="1:17">
      <c r="A16" t="s">
        <v>6</v>
      </c>
      <c r="B16">
        <v>0.35</v>
      </c>
      <c r="C16" t="s">
        <v>7</v>
      </c>
      <c r="K16" s="1069"/>
    </row>
    <row r="17" spans="1:14">
      <c r="A17" t="s">
        <v>8</v>
      </c>
      <c r="B17">
        <f>(1-B16)*(B13/B14)</f>
        <v>20977.432026496186</v>
      </c>
      <c r="H17" t="s">
        <v>1346</v>
      </c>
      <c r="I17" t="s">
        <v>787</v>
      </c>
      <c r="J17" t="s">
        <v>906</v>
      </c>
      <c r="K17" s="1373"/>
      <c r="L17" s="1373"/>
      <c r="M17" s="1373"/>
      <c r="N17" s="1373"/>
    </row>
    <row r="18" spans="1:14">
      <c r="A18" t="s">
        <v>3</v>
      </c>
      <c r="B18">
        <f>H18*ERR!C35+Health!I18*ERR!D35+Health!J18*ERR!E35</f>
        <v>1.1725108551129682</v>
      </c>
      <c r="C18" s="205" t="s">
        <v>732</v>
      </c>
      <c r="H18">
        <f>(1-B16)*(B12/B15)/(24*8)</f>
        <v>1.1725108551129682</v>
      </c>
      <c r="I18">
        <f>1.01*0.5</f>
        <v>0.505</v>
      </c>
      <c r="J18">
        <f>(B13/B15)/(24*8)</f>
        <v>229.24432388060646</v>
      </c>
    </row>
    <row r="19" spans="1:14" s="1" customFormat="1">
      <c r="A19" s="1" t="s">
        <v>378</v>
      </c>
      <c r="B19" s="1">
        <f>B18*8*24*12</f>
        <v>2701.465010180279</v>
      </c>
      <c r="G19" s="111" t="s">
        <v>905</v>
      </c>
      <c r="H19" s="72">
        <f>H18*8*24*12/(6*365)</f>
        <v>1.2335456667489859</v>
      </c>
      <c r="I19" s="72">
        <f>I18*8*24*12/(6*365)</f>
        <v>0.53128767123287668</v>
      </c>
      <c r="J19" s="72">
        <f>J18*8*24*12/(6*365)</f>
        <v>241.17759005521339</v>
      </c>
      <c r="K19" s="1069"/>
    </row>
    <row r="21" spans="1:14">
      <c r="A21" s="3" t="s">
        <v>10</v>
      </c>
      <c r="H21">
        <f>(B12/B15)/(24*8)</f>
        <v>1.8038628540199511</v>
      </c>
      <c r="I21">
        <v>1.01</v>
      </c>
      <c r="J21">
        <f>H21/I21</f>
        <v>1.7860028257623277</v>
      </c>
    </row>
    <row r="22" spans="1:14">
      <c r="B22" t="s">
        <v>11</v>
      </c>
      <c r="C22" t="s">
        <v>12</v>
      </c>
      <c r="D22" t="s">
        <v>13</v>
      </c>
      <c r="E22" t="s">
        <v>16</v>
      </c>
      <c r="F22" t="s">
        <v>59</v>
      </c>
    </row>
    <row r="23" spans="1:14">
      <c r="A23" t="s">
        <v>14</v>
      </c>
      <c r="B23" s="4">
        <v>0.44</v>
      </c>
      <c r="C23" s="4">
        <v>0.37</v>
      </c>
      <c r="D23" s="4">
        <v>0.37</v>
      </c>
      <c r="E23" t="s">
        <v>345</v>
      </c>
      <c r="F23" s="62" t="s">
        <v>60</v>
      </c>
    </row>
    <row r="24" spans="1:14">
      <c r="A24" s="68" t="s">
        <v>15</v>
      </c>
      <c r="B24" s="5">
        <f>AVERAGE(4%,29%)/2</f>
        <v>8.249999999999999E-2</v>
      </c>
      <c r="C24" s="5">
        <f>AVERAGE(4%,29%)/2</f>
        <v>8.249999999999999E-2</v>
      </c>
      <c r="E24" t="s">
        <v>18</v>
      </c>
      <c r="F24" s="62"/>
    </row>
    <row r="25" spans="1:14">
      <c r="A25" s="201" t="s">
        <v>17</v>
      </c>
      <c r="B25" s="200"/>
      <c r="C25" s="7"/>
      <c r="D25" s="8">
        <v>0.2</v>
      </c>
      <c r="E25" t="s">
        <v>19</v>
      </c>
      <c r="F25" s="62" t="s">
        <v>58</v>
      </c>
    </row>
    <row r="26" spans="1:14">
      <c r="A26" s="68" t="s">
        <v>20</v>
      </c>
      <c r="B26" s="1197"/>
      <c r="C26" s="9"/>
      <c r="D26" s="10">
        <v>0.2</v>
      </c>
      <c r="E26" t="s">
        <v>21</v>
      </c>
      <c r="F26" s="62" t="s">
        <v>64</v>
      </c>
    </row>
    <row r="27" spans="1:14">
      <c r="A27" s="68" t="s">
        <v>22</v>
      </c>
      <c r="B27" s="11">
        <f>77%/2</f>
        <v>0.38500000000000001</v>
      </c>
      <c r="C27" s="11">
        <f>77%/2</f>
        <v>0.38500000000000001</v>
      </c>
      <c r="D27" s="12"/>
      <c r="E27" t="s">
        <v>1717</v>
      </c>
      <c r="F27" s="62"/>
    </row>
    <row r="29" spans="1:14">
      <c r="A29" s="3" t="s">
        <v>57</v>
      </c>
      <c r="B29">
        <f>C30/B30</f>
        <v>0.30180479266010746</v>
      </c>
      <c r="C29" t="s">
        <v>61</v>
      </c>
      <c r="D29" t="s">
        <v>62</v>
      </c>
      <c r="E29" t="s">
        <v>63</v>
      </c>
    </row>
    <row r="30" spans="1:14">
      <c r="A30" t="s">
        <v>23</v>
      </c>
      <c r="B30" s="49">
        <f>C30+0.15*D30</f>
        <v>89461.799999999988</v>
      </c>
      <c r="C30" s="49">
        <f>(E42+G42+I42)*ERR!$C167</f>
        <v>27000</v>
      </c>
      <c r="D30" s="49">
        <f>E41+G41+I41</f>
        <v>416412</v>
      </c>
      <c r="F30" t="s">
        <v>1322</v>
      </c>
      <c r="G30" s="121">
        <f>E42+0.15*E41</f>
        <v>136414.5</v>
      </c>
      <c r="H30">
        <f>G30/$B$30</f>
        <v>1.5248351810493419</v>
      </c>
      <c r="J30" s="121">
        <f>27000/C30</f>
        <v>1</v>
      </c>
    </row>
    <row r="31" spans="1:14">
      <c r="A31" t="s">
        <v>12</v>
      </c>
      <c r="B31" s="49">
        <f>C31+0.15*D31</f>
        <v>25980.164659520808</v>
      </c>
      <c r="C31" s="49">
        <f>(F42+H42+J42)*ERR!C167</f>
        <v>17440.514659520806</v>
      </c>
      <c r="D31">
        <f>F41+H41+J41</f>
        <v>56931</v>
      </c>
      <c r="F31" t="s">
        <v>1323</v>
      </c>
      <c r="G31">
        <f>I42+0.15*I41</f>
        <v>78303.299999999988</v>
      </c>
      <c r="H31" s="879">
        <f>G31/$B$30</f>
        <v>0.87527078596674779</v>
      </c>
      <c r="I31" s="879"/>
    </row>
    <row r="32" spans="1:14">
      <c r="A32" t="s">
        <v>13</v>
      </c>
      <c r="B32" s="49">
        <f>C56</f>
        <v>188622.28</v>
      </c>
    </row>
    <row r="33" spans="1:13" ht="15" thickBot="1">
      <c r="B33" s="49">
        <f>B30-C30</f>
        <v>62461.799999999988</v>
      </c>
      <c r="C33">
        <f>B33/B30</f>
        <v>0.69819520733989249</v>
      </c>
    </row>
    <row r="34" spans="1:13">
      <c r="A34" s="1354" t="s">
        <v>24</v>
      </c>
      <c r="B34" s="1351" t="s">
        <v>25</v>
      </c>
      <c r="C34" s="1352" t="s">
        <v>25</v>
      </c>
      <c r="D34" s="1352" t="s">
        <v>25</v>
      </c>
      <c r="E34" s="1352" t="s">
        <v>25</v>
      </c>
      <c r="F34" s="1353" t="s">
        <v>25</v>
      </c>
      <c r="G34" s="1357" t="s">
        <v>26</v>
      </c>
      <c r="H34" s="1358" t="s">
        <v>26</v>
      </c>
      <c r="I34" s="1374" t="s">
        <v>27</v>
      </c>
      <c r="J34" s="1358" t="s">
        <v>27</v>
      </c>
    </row>
    <row r="35" spans="1:13">
      <c r="A35" s="1355"/>
      <c r="B35" s="1359" t="s">
        <v>28</v>
      </c>
      <c r="C35" s="1360"/>
      <c r="D35" s="1360"/>
      <c r="E35" s="1363" t="s">
        <v>29</v>
      </c>
      <c r="F35" s="1366" t="s">
        <v>30</v>
      </c>
      <c r="G35" s="1368" t="s">
        <v>29</v>
      </c>
      <c r="H35" s="1370" t="s">
        <v>30</v>
      </c>
      <c r="I35" s="1376" t="s">
        <v>29</v>
      </c>
      <c r="J35" s="1370" t="s">
        <v>30</v>
      </c>
    </row>
    <row r="36" spans="1:13">
      <c r="A36" s="1355"/>
      <c r="B36" s="1359"/>
      <c r="C36" s="1360"/>
      <c r="D36" s="1360"/>
      <c r="E36" s="1364"/>
      <c r="F36" s="1366"/>
      <c r="G36" s="1368"/>
      <c r="H36" s="1371"/>
      <c r="I36" s="1376"/>
      <c r="J36" s="1371"/>
    </row>
    <row r="37" spans="1:13">
      <c r="A37" s="1355"/>
      <c r="B37" s="1361"/>
      <c r="C37" s="1362"/>
      <c r="D37" s="1362"/>
      <c r="E37" s="1365"/>
      <c r="F37" s="1367"/>
      <c r="G37" s="1369"/>
      <c r="H37" s="1372"/>
      <c r="I37" s="1377"/>
      <c r="J37" s="1372"/>
    </row>
    <row r="38" spans="1:13" ht="29.5" thickBot="1">
      <c r="A38" s="1356"/>
      <c r="B38" s="13" t="s">
        <v>31</v>
      </c>
      <c r="C38" s="14" t="s">
        <v>32</v>
      </c>
      <c r="D38" s="14" t="s">
        <v>33</v>
      </c>
      <c r="E38" s="15" t="s">
        <v>42</v>
      </c>
      <c r="F38" s="16" t="s">
        <v>34</v>
      </c>
      <c r="G38" s="17" t="s">
        <v>45</v>
      </c>
      <c r="H38" s="18" t="s">
        <v>35</v>
      </c>
      <c r="I38" s="19" t="s">
        <v>36</v>
      </c>
      <c r="J38" s="20" t="str">
        <f ca="1">IF(J47=1,CELL("contents",I47),IF(J48=1,CELL("contents",I48),""))</f>
        <v/>
      </c>
    </row>
    <row r="39" spans="1:13" ht="15.5" thickTop="1" thickBot="1">
      <c r="A39" s="21"/>
      <c r="B39" s="1346" t="s">
        <v>49</v>
      </c>
      <c r="C39" s="1347"/>
      <c r="D39" s="1348"/>
      <c r="E39" s="22">
        <v>1</v>
      </c>
      <c r="F39" s="23"/>
      <c r="G39" s="24"/>
      <c r="H39" s="23"/>
      <c r="I39" s="24"/>
      <c r="J39" s="23"/>
    </row>
    <row r="40" spans="1:13" ht="15" thickTop="1">
      <c r="A40" s="25" t="s">
        <v>37</v>
      </c>
      <c r="B40" s="1349">
        <v>860000</v>
      </c>
      <c r="C40" s="1350"/>
      <c r="D40" s="1350"/>
      <c r="E40" s="26">
        <f>ERR!C121*250102</f>
        <v>250102</v>
      </c>
      <c r="F40" s="27">
        <v>155280</v>
      </c>
      <c r="G40" s="28">
        <v>0</v>
      </c>
      <c r="H40" s="27">
        <v>0</v>
      </c>
      <c r="I40" s="29">
        <v>318566</v>
      </c>
      <c r="J40" s="27">
        <v>0</v>
      </c>
      <c r="K40" t="s">
        <v>1416</v>
      </c>
      <c r="L40" t="s">
        <v>1417</v>
      </c>
      <c r="M40" t="s">
        <v>1418</v>
      </c>
    </row>
    <row r="41" spans="1:13">
      <c r="A41" s="30" t="s">
        <v>38</v>
      </c>
      <c r="B41" s="28">
        <v>0</v>
      </c>
      <c r="C41" s="31">
        <v>0</v>
      </c>
      <c r="D41" s="26">
        <v>0</v>
      </c>
      <c r="E41" s="32">
        <f>ERR!C121*133750</f>
        <v>133750</v>
      </c>
      <c r="F41" s="33">
        <v>56931</v>
      </c>
      <c r="G41" s="34">
        <v>0</v>
      </c>
      <c r="H41" s="33">
        <v>0</v>
      </c>
      <c r="I41" s="32">
        <v>282662</v>
      </c>
      <c r="J41" s="33">
        <v>0</v>
      </c>
      <c r="L41">
        <f>F41/F40</f>
        <v>0.36663446676970635</v>
      </c>
      <c r="M41" s="975">
        <v>1</v>
      </c>
    </row>
    <row r="42" spans="1:13">
      <c r="A42" s="30" t="s">
        <v>47</v>
      </c>
      <c r="B42" s="28">
        <v>0</v>
      </c>
      <c r="C42" s="32">
        <v>0</v>
      </c>
      <c r="D42" s="29">
        <v>0</v>
      </c>
      <c r="E42" s="32">
        <f>ERR!C121*116352</f>
        <v>116352</v>
      </c>
      <c r="F42" s="33">
        <v>98349</v>
      </c>
      <c r="G42" s="34">
        <v>0</v>
      </c>
      <c r="H42" s="33">
        <v>0</v>
      </c>
      <c r="I42" s="32">
        <v>35904</v>
      </c>
      <c r="J42" s="33">
        <v>0</v>
      </c>
    </row>
    <row r="43" spans="1:13">
      <c r="A43" s="25" t="s">
        <v>39</v>
      </c>
      <c r="B43" s="28">
        <v>860000</v>
      </c>
      <c r="C43" s="26">
        <v>0</v>
      </c>
      <c r="D43" s="26">
        <v>0</v>
      </c>
      <c r="E43" s="26">
        <v>0</v>
      </c>
      <c r="F43" s="35">
        <v>0</v>
      </c>
      <c r="G43" s="36">
        <v>0</v>
      </c>
      <c r="H43" s="37">
        <v>0</v>
      </c>
      <c r="I43" s="38">
        <v>0</v>
      </c>
      <c r="J43" s="37">
        <v>0</v>
      </c>
    </row>
    <row r="44" spans="1:13">
      <c r="A44" s="25" t="s">
        <v>40</v>
      </c>
      <c r="B44" s="28">
        <v>0</v>
      </c>
      <c r="C44" s="26">
        <v>860000</v>
      </c>
      <c r="D44" s="26">
        <v>0</v>
      </c>
      <c r="E44" s="26">
        <v>0</v>
      </c>
      <c r="F44" s="27">
        <v>0</v>
      </c>
      <c r="G44" s="36">
        <v>0</v>
      </c>
      <c r="H44" s="37">
        <v>0</v>
      </c>
      <c r="I44" s="38">
        <v>0</v>
      </c>
      <c r="J44" s="37">
        <v>0</v>
      </c>
    </row>
    <row r="45" spans="1:13" ht="15" thickBot="1">
      <c r="A45" s="39" t="s">
        <v>41</v>
      </c>
      <c r="B45" s="40">
        <v>860000</v>
      </c>
      <c r="C45" s="41">
        <v>0</v>
      </c>
      <c r="D45" s="42">
        <v>860000</v>
      </c>
      <c r="E45" s="43">
        <v>0</v>
      </c>
      <c r="F45" s="44">
        <v>0</v>
      </c>
      <c r="G45" s="45">
        <v>0</v>
      </c>
      <c r="H45" s="46">
        <v>0</v>
      </c>
      <c r="I45" s="47">
        <v>0</v>
      </c>
      <c r="J45" s="46">
        <v>0</v>
      </c>
    </row>
    <row r="46" spans="1:13">
      <c r="A46" s="48" t="s">
        <v>1669</v>
      </c>
    </row>
    <row r="47" spans="1:13">
      <c r="A47" s="48" t="s">
        <v>43</v>
      </c>
    </row>
    <row r="48" spans="1:13">
      <c r="A48" s="48" t="s">
        <v>44</v>
      </c>
      <c r="E48" s="879">
        <f>E42/6</f>
        <v>19392</v>
      </c>
      <c r="F48">
        <f>F42/6</f>
        <v>16391.5</v>
      </c>
      <c r="I48" s="879">
        <f>I42/6</f>
        <v>5984</v>
      </c>
    </row>
    <row r="49" spans="1:7">
      <c r="A49" s="48" t="s">
        <v>46</v>
      </c>
    </row>
    <row r="50" spans="1:7">
      <c r="A50" s="48" t="s">
        <v>48</v>
      </c>
      <c r="E50" s="49">
        <f>C30*0.8</f>
        <v>21600</v>
      </c>
    </row>
    <row r="51" spans="1:7" ht="15" thickBot="1">
      <c r="E51" s="121">
        <f>C30-E50</f>
        <v>5400</v>
      </c>
    </row>
    <row r="52" spans="1:7">
      <c r="A52" s="1351" t="s">
        <v>13</v>
      </c>
      <c r="B52" s="1352"/>
      <c r="C52" s="1353"/>
    </row>
    <row r="53" spans="1:7" ht="15" thickBot="1">
      <c r="B53" s="50" t="s">
        <v>50</v>
      </c>
      <c r="C53" s="51" t="s">
        <v>51</v>
      </c>
    </row>
    <row r="54" spans="1:7" ht="15.5" thickTop="1" thickBot="1">
      <c r="A54" s="21"/>
      <c r="B54" s="52"/>
      <c r="C54" s="53"/>
      <c r="D54" s="121">
        <f>C55*0.75</f>
        <v>159876.62819013544</v>
      </c>
      <c r="E54" s="121">
        <f>C55-D54</f>
        <v>53292.209396711813</v>
      </c>
    </row>
    <row r="55" spans="1:7" ht="15" thickTop="1">
      <c r="A55" s="25" t="s">
        <v>52</v>
      </c>
      <c r="B55" s="54">
        <v>0</v>
      </c>
      <c r="C55" s="55">
        <f>SUM(C56:C57)</f>
        <v>213168.83758684725</v>
      </c>
      <c r="D55" t="s">
        <v>56</v>
      </c>
    </row>
    <row r="56" spans="1:7">
      <c r="A56" s="30" t="s">
        <v>53</v>
      </c>
      <c r="B56" s="34">
        <v>0</v>
      </c>
      <c r="C56" s="33">
        <f>244964*(1-0.23)</f>
        <v>188622.28</v>
      </c>
      <c r="D56" t="s">
        <v>55</v>
      </c>
    </row>
    <row r="57" spans="1:7">
      <c r="A57" s="30" t="s">
        <v>54</v>
      </c>
      <c r="B57" s="56"/>
      <c r="C57" s="33">
        <v>24546.557586847244</v>
      </c>
      <c r="D57" t="s">
        <v>65</v>
      </c>
    </row>
    <row r="58" spans="1:7">
      <c r="A58" s="28"/>
      <c r="B58" s="57"/>
      <c r="C58" s="58"/>
    </row>
    <row r="59" spans="1:7">
      <c r="A59" s="28"/>
      <c r="B59" s="57"/>
      <c r="C59" s="58"/>
    </row>
    <row r="60" spans="1:7" ht="15" thickBot="1">
      <c r="A60" s="59"/>
      <c r="B60" s="60"/>
      <c r="C60" s="61"/>
      <c r="G60">
        <f>500*0.005</f>
        <v>2.5</v>
      </c>
    </row>
    <row r="61" spans="1:7">
      <c r="G61">
        <f>300*0.005</f>
        <v>1.5</v>
      </c>
    </row>
    <row r="62" spans="1:7">
      <c r="A62" s="3" t="s">
        <v>67</v>
      </c>
    </row>
    <row r="63" spans="1:7">
      <c r="A63" s="74" t="s">
        <v>92</v>
      </c>
      <c r="B63" s="1"/>
      <c r="C63" s="1"/>
      <c r="D63" s="1"/>
      <c r="E63" s="1"/>
      <c r="F63" s="75">
        <v>0.25</v>
      </c>
      <c r="G63" t="s">
        <v>94</v>
      </c>
    </row>
    <row r="64" spans="1:7">
      <c r="A64" s="104" t="s">
        <v>93</v>
      </c>
      <c r="C64" t="s">
        <v>76</v>
      </c>
    </row>
    <row r="65" spans="1:27">
      <c r="A65" s="63" t="s">
        <v>68</v>
      </c>
      <c r="B65" s="1"/>
      <c r="C65" s="1" t="s">
        <v>75</v>
      </c>
      <c r="D65" s="1"/>
    </row>
    <row r="66" spans="1:27">
      <c r="A66" s="64" t="s">
        <v>69</v>
      </c>
      <c r="B66" s="66"/>
      <c r="C66" s="1" t="s">
        <v>77</v>
      </c>
      <c r="D66" s="65"/>
    </row>
    <row r="67" spans="1:27">
      <c r="A67" s="67" t="s">
        <v>70</v>
      </c>
      <c r="B67" s="69">
        <v>138</v>
      </c>
      <c r="D67" s="68"/>
    </row>
    <row r="68" spans="1:27">
      <c r="A68" s="70" t="s">
        <v>71</v>
      </c>
      <c r="B68" s="71">
        <f>'ERR &amp; Sensitivity Analysis'!D14</f>
        <v>483.33333329999999</v>
      </c>
      <c r="C68" t="s">
        <v>1268</v>
      </c>
      <c r="D68" s="1"/>
    </row>
    <row r="69" spans="1:27">
      <c r="A69" s="70" t="s">
        <v>72</v>
      </c>
      <c r="B69" s="71">
        <v>59.333333333333336</v>
      </c>
      <c r="C69" t="s">
        <v>1269</v>
      </c>
      <c r="D69" s="1"/>
    </row>
    <row r="70" spans="1:27">
      <c r="A70" s="64" t="s">
        <v>73</v>
      </c>
      <c r="B70" s="65"/>
      <c r="C70" s="1" t="s">
        <v>95</v>
      </c>
      <c r="D70" s="65"/>
      <c r="N70" s="1" t="s">
        <v>354</v>
      </c>
      <c r="R70" s="62" t="s">
        <v>99</v>
      </c>
      <c r="AA70" s="6"/>
    </row>
    <row r="71" spans="1:27">
      <c r="A71" s="70" t="s">
        <v>71</v>
      </c>
      <c r="B71" s="72">
        <v>1</v>
      </c>
      <c r="C71" s="1" t="s">
        <v>1270</v>
      </c>
      <c r="D71" s="1"/>
      <c r="J71" s="1375" t="s">
        <v>96</v>
      </c>
      <c r="K71" s="1375"/>
      <c r="L71" s="1375"/>
      <c r="M71" s="6"/>
      <c r="N71" s="1375" t="s">
        <v>97</v>
      </c>
      <c r="O71" s="1375"/>
      <c r="P71" s="1375"/>
      <c r="Q71" s="76" t="s">
        <v>98</v>
      </c>
      <c r="R71" s="80" t="s">
        <v>105</v>
      </c>
      <c r="AA71" s="6"/>
    </row>
    <row r="72" spans="1:27">
      <c r="A72" s="70" t="s">
        <v>72</v>
      </c>
      <c r="B72" s="72">
        <v>2.5</v>
      </c>
      <c r="C72" s="1" t="s">
        <v>1271</v>
      </c>
      <c r="D72" s="1"/>
      <c r="J72" s="77" t="s">
        <v>100</v>
      </c>
      <c r="K72" s="77" t="s">
        <v>101</v>
      </c>
      <c r="L72" s="77" t="s">
        <v>102</v>
      </c>
      <c r="M72" s="78" t="s">
        <v>103</v>
      </c>
      <c r="N72" s="77" t="s">
        <v>100</v>
      </c>
      <c r="O72" s="77" t="s">
        <v>101</v>
      </c>
      <c r="P72" s="77" t="s">
        <v>102</v>
      </c>
      <c r="Q72" s="79" t="s">
        <v>104</v>
      </c>
      <c r="R72" s="879" t="s">
        <v>1324</v>
      </c>
      <c r="AA72" s="6"/>
    </row>
    <row r="73" spans="1:27" ht="15" customHeight="1">
      <c r="A73" s="64" t="s">
        <v>74</v>
      </c>
      <c r="B73" s="73">
        <f>B71*K97+B72*K98</f>
        <v>2.2207558108340071</v>
      </c>
      <c r="D73" s="65"/>
      <c r="J73" s="81" t="s">
        <v>106</v>
      </c>
      <c r="K73" s="82">
        <v>1245.433</v>
      </c>
      <c r="L73" s="83">
        <v>1263.1030000000001</v>
      </c>
      <c r="M73" s="6">
        <v>0.5</v>
      </c>
      <c r="N73" s="1">
        <v>0</v>
      </c>
      <c r="O73" s="84">
        <f>K73/K$94*0.2</f>
        <v>3.7064720924539989E-2</v>
      </c>
      <c r="P73" s="85">
        <f>L73/L$94*0.2</f>
        <v>3.739954318836048E-2</v>
      </c>
      <c r="Q73" s="86">
        <f>0.2*(K73+L73)/($K$94+$L$94)</f>
        <v>3.7232558555465735E-2</v>
      </c>
      <c r="R73" s="89" t="s">
        <v>109</v>
      </c>
      <c r="AA73" s="6"/>
    </row>
    <row r="74" spans="1:27">
      <c r="A74" s="70" t="s">
        <v>71</v>
      </c>
      <c r="B74" s="72">
        <f>B71*B68/1000</f>
        <v>0.4833333333</v>
      </c>
      <c r="D74" s="1"/>
      <c r="J74" s="81" t="s">
        <v>107</v>
      </c>
      <c r="K74" s="87">
        <v>1009.4</v>
      </c>
      <c r="L74" s="83">
        <v>1018.342</v>
      </c>
      <c r="M74" s="6">
        <v>2.5</v>
      </c>
      <c r="N74" s="81" t="s">
        <v>108</v>
      </c>
      <c r="O74" s="88">
        <f>K73/K$94*0.8</f>
        <v>0.14825888369815995</v>
      </c>
      <c r="P74" s="86">
        <f>L73/L$94*0.8</f>
        <v>0.14959817275344192</v>
      </c>
      <c r="Q74" s="86">
        <f>0.8*(K73+L73)/($K$94+$L$94)</f>
        <v>0.14893023422186294</v>
      </c>
      <c r="R74" s="90" t="s">
        <v>111</v>
      </c>
      <c r="AA74" s="1"/>
    </row>
    <row r="75" spans="1:27">
      <c r="A75" s="70" t="s">
        <v>72</v>
      </c>
      <c r="B75" s="72">
        <f>B72*B69/1000</f>
        <v>0.14833333333333334</v>
      </c>
      <c r="D75" s="1"/>
      <c r="J75" s="81" t="s">
        <v>110</v>
      </c>
      <c r="K75" s="87">
        <v>863.76599999999996</v>
      </c>
      <c r="L75" s="83">
        <v>870.38800000000003</v>
      </c>
      <c r="M75" s="1">
        <v>7</v>
      </c>
      <c r="N75" s="81" t="s">
        <v>107</v>
      </c>
      <c r="O75" s="88">
        <f t="shared" ref="O75:O90" si="0">K74/K$94</f>
        <v>0.15020129264774046</v>
      </c>
      <c r="P75" s="86">
        <f t="shared" ref="P75:P90" si="1">L74/L$94</f>
        <v>0.15076175739239547</v>
      </c>
      <c r="Q75" s="86">
        <f t="shared" ref="Q75:Q91" si="2">(K74+L74)/($K$94+$L$94)</f>
        <v>0.15048223894410362</v>
      </c>
      <c r="R75" s="91" t="s">
        <v>113</v>
      </c>
      <c r="AA75" s="1"/>
    </row>
    <row r="76" spans="1:27" s="1" customFormat="1">
      <c r="A76" s="70"/>
      <c r="B76" s="72"/>
      <c r="J76" s="81" t="s">
        <v>112</v>
      </c>
      <c r="K76" s="87">
        <v>718.82299999999998</v>
      </c>
      <c r="L76" s="83">
        <v>722.87599999999998</v>
      </c>
      <c r="M76" s="1">
        <f>M75+5</f>
        <v>12</v>
      </c>
      <c r="N76" s="81" t="s">
        <v>110</v>
      </c>
      <c r="O76" s="88">
        <f t="shared" si="0"/>
        <v>0.12853058227181313</v>
      </c>
      <c r="P76" s="86">
        <f t="shared" si="1"/>
        <v>0.12885771626158238</v>
      </c>
      <c r="Q76" s="86">
        <f t="shared" si="2"/>
        <v>0.12869456597233428</v>
      </c>
      <c r="R76" s="90" t="s">
        <v>115</v>
      </c>
    </row>
    <row r="77" spans="1:27">
      <c r="A77" s="1" t="s">
        <v>1667</v>
      </c>
      <c r="B77" s="1"/>
      <c r="C77" s="1"/>
      <c r="D77" s="1"/>
      <c r="E77" s="1"/>
      <c r="J77" s="81" t="s">
        <v>114</v>
      </c>
      <c r="K77" s="87">
        <v>615.03899999999999</v>
      </c>
      <c r="L77" s="83">
        <v>617.50599999999997</v>
      </c>
      <c r="M77" s="1">
        <f t="shared" ref="M77:M90" si="3">M76+5</f>
        <v>17</v>
      </c>
      <c r="N77" s="81" t="s">
        <v>112</v>
      </c>
      <c r="O77" s="88">
        <f t="shared" si="0"/>
        <v>0.10696269445703065</v>
      </c>
      <c r="P77" s="86">
        <f t="shared" si="1"/>
        <v>0.10701911159196545</v>
      </c>
      <c r="Q77" s="92">
        <f t="shared" si="2"/>
        <v>0.1069909748890516</v>
      </c>
      <c r="R77" s="6"/>
    </row>
    <row r="78" spans="1:27">
      <c r="A78" s="1" t="s">
        <v>141</v>
      </c>
      <c r="B78" s="1"/>
      <c r="C78" s="105">
        <f>4/16</f>
        <v>0.25</v>
      </c>
      <c r="D78" s="1" t="s">
        <v>142</v>
      </c>
      <c r="E78" s="1"/>
      <c r="J78" s="81" t="s">
        <v>116</v>
      </c>
      <c r="K78" s="87">
        <v>518.68200000000002</v>
      </c>
      <c r="L78" s="83">
        <v>525.83500000000004</v>
      </c>
      <c r="M78" s="1">
        <f t="shared" si="3"/>
        <v>22</v>
      </c>
      <c r="N78" s="81" t="s">
        <v>114</v>
      </c>
      <c r="O78" s="88">
        <f t="shared" si="0"/>
        <v>9.1519370743782094E-2</v>
      </c>
      <c r="P78" s="86">
        <f t="shared" si="1"/>
        <v>9.1419473772414925E-2</v>
      </c>
      <c r="Q78" s="92">
        <f t="shared" si="2"/>
        <v>9.14692950086156E-2</v>
      </c>
      <c r="R78" s="6"/>
      <c r="S78" s="1"/>
      <c r="T78" s="1"/>
    </row>
    <row r="79" spans="1:27" s="1" customFormat="1">
      <c r="A79" s="1" t="s">
        <v>151</v>
      </c>
      <c r="J79" s="81" t="s">
        <v>117</v>
      </c>
      <c r="K79" s="87">
        <v>425.65899999999999</v>
      </c>
      <c r="L79" s="83">
        <v>442.17200000000003</v>
      </c>
      <c r="M79" s="1">
        <f t="shared" si="3"/>
        <v>27</v>
      </c>
      <c r="N79" s="81" t="s">
        <v>116</v>
      </c>
      <c r="O79" s="88">
        <f t="shared" si="0"/>
        <v>7.7181203559654563E-2</v>
      </c>
      <c r="P79" s="86">
        <f t="shared" si="1"/>
        <v>7.7847922111069057E-2</v>
      </c>
      <c r="Q79" s="92">
        <f t="shared" si="2"/>
        <v>7.7515412106263171E-2</v>
      </c>
      <c r="R79" s="6"/>
    </row>
    <row r="80" spans="1:27" s="1" customFormat="1">
      <c r="A80" s="63" t="s">
        <v>144</v>
      </c>
      <c r="J80" s="81" t="s">
        <v>118</v>
      </c>
      <c r="K80" s="87">
        <v>315.34399999999999</v>
      </c>
      <c r="L80" s="83">
        <v>343.899</v>
      </c>
      <c r="M80" s="1">
        <f t="shared" si="3"/>
        <v>32</v>
      </c>
      <c r="N80" s="81" t="s">
        <v>117</v>
      </c>
      <c r="O80" s="88">
        <f t="shared" si="0"/>
        <v>6.3339144072859677E-2</v>
      </c>
      <c r="P80" s="86">
        <f t="shared" si="1"/>
        <v>6.5461925158453935E-2</v>
      </c>
      <c r="Q80" s="92">
        <f t="shared" si="2"/>
        <v>6.4403238629520118E-2</v>
      </c>
      <c r="R80" s="6"/>
    </row>
    <row r="81" spans="1:20" s="1" customFormat="1">
      <c r="A81" s="1" t="s">
        <v>145</v>
      </c>
      <c r="D81" s="109">
        <v>5.2597147916215468</v>
      </c>
      <c r="E81" s="1" t="s">
        <v>146</v>
      </c>
      <c r="F81" s="1" t="s">
        <v>1272</v>
      </c>
      <c r="J81" s="81" t="s">
        <v>119</v>
      </c>
      <c r="K81" s="87">
        <v>217.04400000000001</v>
      </c>
      <c r="L81" s="83">
        <v>248.87</v>
      </c>
      <c r="M81" s="1">
        <f t="shared" si="3"/>
        <v>37</v>
      </c>
      <c r="N81" s="81" t="s">
        <v>118</v>
      </c>
      <c r="O81" s="88">
        <f t="shared" si="0"/>
        <v>4.6923990914116372E-2</v>
      </c>
      <c r="P81" s="86">
        <f t="shared" si="1"/>
        <v>5.0912971875349752E-2</v>
      </c>
      <c r="Q81" s="92">
        <f t="shared" si="2"/>
        <v>4.8923562587463144E-2</v>
      </c>
      <c r="R81" s="6"/>
    </row>
    <row r="82" spans="1:20" s="1" customFormat="1">
      <c r="A82" s="62" t="s">
        <v>147</v>
      </c>
      <c r="D82" s="94">
        <v>36.210018105009055</v>
      </c>
      <c r="E82" s="1" t="s">
        <v>146</v>
      </c>
      <c r="F82" s="1" t="s">
        <v>1273</v>
      </c>
      <c r="J82" s="81" t="s">
        <v>120</v>
      </c>
      <c r="K82" s="87">
        <v>164.589</v>
      </c>
      <c r="L82" s="83">
        <v>177.02099999999999</v>
      </c>
      <c r="M82" s="1">
        <f t="shared" si="3"/>
        <v>42</v>
      </c>
      <c r="N82" s="81" t="s">
        <v>119</v>
      </c>
      <c r="O82" s="88">
        <f t="shared" si="0"/>
        <v>3.2296700377884069E-2</v>
      </c>
      <c r="P82" s="86">
        <f t="shared" si="1"/>
        <v>3.6844280764463673E-2</v>
      </c>
      <c r="Q82" s="92">
        <f t="shared" si="2"/>
        <v>3.4576283311882429E-2</v>
      </c>
      <c r="R82" s="6"/>
    </row>
    <row r="83" spans="1:20">
      <c r="A83" s="104" t="s">
        <v>137</v>
      </c>
      <c r="C83" s="65"/>
      <c r="D83" s="65"/>
      <c r="E83" s="65"/>
      <c r="F83" s="65"/>
      <c r="G83" s="1"/>
      <c r="H83" s="104" t="s">
        <v>138</v>
      </c>
      <c r="I83" s="65"/>
      <c r="J83" s="81" t="s">
        <v>121</v>
      </c>
      <c r="K83" s="87">
        <v>145.637</v>
      </c>
      <c r="L83" s="83">
        <v>133.49100000000001</v>
      </c>
      <c r="M83" s="1">
        <f t="shared" si="3"/>
        <v>47</v>
      </c>
      <c r="N83" s="81" t="s">
        <v>120</v>
      </c>
      <c r="O83" s="88">
        <f t="shared" si="0"/>
        <v>2.4491262686347291E-2</v>
      </c>
      <c r="P83" s="86">
        <f t="shared" si="1"/>
        <v>2.6207302709069485E-2</v>
      </c>
      <c r="Q83" s="92">
        <f t="shared" si="2"/>
        <v>2.5351468601871065E-2</v>
      </c>
      <c r="R83" s="6"/>
      <c r="T83" s="1"/>
    </row>
    <row r="84" spans="1:20">
      <c r="A84" s="63"/>
      <c r="B84" s="63" t="s">
        <v>139</v>
      </c>
      <c r="C84" s="1"/>
      <c r="D84" s="1"/>
      <c r="E84" s="63" t="s">
        <v>140</v>
      </c>
      <c r="F84" s="63" t="s">
        <v>70</v>
      </c>
      <c r="G84" s="1"/>
      <c r="H84" s="1"/>
      <c r="I84" s="1"/>
      <c r="J84" s="81" t="s">
        <v>122</v>
      </c>
      <c r="K84" s="87">
        <v>133.87200000000001</v>
      </c>
      <c r="L84" s="83">
        <v>108.724</v>
      </c>
      <c r="M84" s="1">
        <f t="shared" si="3"/>
        <v>52</v>
      </c>
      <c r="N84" s="81" t="s">
        <v>121</v>
      </c>
      <c r="O84" s="88">
        <f t="shared" si="0"/>
        <v>2.1671156783573387E-2</v>
      </c>
      <c r="P84" s="86">
        <f t="shared" si="1"/>
        <v>1.9762847605292001E-2</v>
      </c>
      <c r="Q84" s="92">
        <f t="shared" si="2"/>
        <v>2.0714571376432386E-2</v>
      </c>
      <c r="R84" s="93" t="s">
        <v>123</v>
      </c>
      <c r="T84" s="94">
        <f>SUMPRODUCT(M77:M84,Q77:Q84)/SUM(Q77:Q84)</f>
        <v>28.760916366666056</v>
      </c>
    </row>
    <row r="85" spans="1:20">
      <c r="A85" s="64" t="s">
        <v>69</v>
      </c>
      <c r="B85" s="65"/>
      <c r="C85" s="65"/>
      <c r="D85" s="65"/>
      <c r="E85" s="65"/>
      <c r="F85" s="106" t="s">
        <v>143</v>
      </c>
      <c r="G85" s="1"/>
      <c r="H85" s="1"/>
      <c r="I85" s="1"/>
      <c r="J85" s="81" t="s">
        <v>124</v>
      </c>
      <c r="K85" s="87">
        <v>119.526</v>
      </c>
      <c r="L85" s="83">
        <v>97.790999999999997</v>
      </c>
      <c r="M85" s="1">
        <f t="shared" si="3"/>
        <v>57</v>
      </c>
      <c r="N85" s="81" t="s">
        <v>122</v>
      </c>
      <c r="O85" s="88">
        <f t="shared" si="0"/>
        <v>1.9920494798234906E-2</v>
      </c>
      <c r="P85" s="86">
        <f t="shared" si="1"/>
        <v>1.6096185083921518E-2</v>
      </c>
      <c r="Q85" s="86">
        <f t="shared" si="2"/>
        <v>1.8003468507770595E-2</v>
      </c>
      <c r="R85" s="1"/>
      <c r="T85" s="1"/>
    </row>
    <row r="86" spans="1:20">
      <c r="A86" s="67" t="s">
        <v>70</v>
      </c>
      <c r="B86" s="68"/>
      <c r="C86" s="68"/>
      <c r="D86" s="68"/>
      <c r="E86" s="68"/>
      <c r="F86" s="69">
        <f>$K$97*F87+$K$98*F88</f>
        <v>138.26635746471527</v>
      </c>
      <c r="G86" s="1"/>
      <c r="H86" s="1"/>
      <c r="I86" s="1"/>
      <c r="J86" s="81" t="s">
        <v>125</v>
      </c>
      <c r="K86" s="87">
        <v>93.48</v>
      </c>
      <c r="L86" s="83">
        <v>77.844999999999999</v>
      </c>
      <c r="M86" s="1">
        <f t="shared" si="3"/>
        <v>62</v>
      </c>
      <c r="N86" s="81" t="s">
        <v>124</v>
      </c>
      <c r="O86" s="88">
        <f t="shared" si="0"/>
        <v>1.7785773434727387E-2</v>
      </c>
      <c r="P86" s="86">
        <f t="shared" si="1"/>
        <v>1.4477594970216045E-2</v>
      </c>
      <c r="Q86" s="86">
        <f t="shared" si="2"/>
        <v>1.612747022087414E-2</v>
      </c>
      <c r="R86" s="1"/>
      <c r="S86" s="1"/>
      <c r="T86" s="1"/>
    </row>
    <row r="87" spans="1:20">
      <c r="A87" s="70" t="s">
        <v>71</v>
      </c>
      <c r="B87" s="71">
        <f>F87-E87</f>
        <v>464.9471146344037</v>
      </c>
      <c r="C87" s="1"/>
      <c r="D87" s="1"/>
      <c r="E87" s="107">
        <f>(F87/F88)*E88</f>
        <v>18.386218665596292</v>
      </c>
      <c r="F87" s="71">
        <f>B68</f>
        <v>483.33333329999999</v>
      </c>
      <c r="G87" s="1" t="s">
        <v>239</v>
      </c>
      <c r="H87" s="1"/>
      <c r="I87" s="1"/>
      <c r="J87" s="81" t="s">
        <v>126</v>
      </c>
      <c r="K87" s="87">
        <v>65.031000000000006</v>
      </c>
      <c r="L87" s="83">
        <v>54.375999999999998</v>
      </c>
      <c r="M87" s="1">
        <f t="shared" si="3"/>
        <v>67</v>
      </c>
      <c r="N87" s="81" t="s">
        <v>125</v>
      </c>
      <c r="O87" s="88">
        <f t="shared" si="0"/>
        <v>1.3910062251546245E-2</v>
      </c>
      <c r="P87" s="86">
        <f t="shared" si="1"/>
        <v>1.1524663624019266E-2</v>
      </c>
      <c r="Q87" s="86">
        <f t="shared" si="2"/>
        <v>1.2714324399799654E-2</v>
      </c>
      <c r="R87" s="1"/>
      <c r="S87" s="1"/>
      <c r="T87" s="1"/>
    </row>
    <row r="88" spans="1:20">
      <c r="A88" s="70" t="s">
        <v>72</v>
      </c>
      <c r="B88" s="71">
        <f>F88-E88</f>
        <v>57.076266490090681</v>
      </c>
      <c r="C88" s="1"/>
      <c r="D88" s="1"/>
      <c r="E88" s="107">
        <f>G88</f>
        <v>2.2570668432426531</v>
      </c>
      <c r="F88" s="71">
        <f>B69</f>
        <v>59.333333333333336</v>
      </c>
      <c r="G88" s="108">
        <f>IFERROR(D81/(K98+K97*(F87/F88)),0)</f>
        <v>2.2570668432426531</v>
      </c>
      <c r="H88" s="1" t="s">
        <v>241</v>
      </c>
      <c r="I88" s="1"/>
      <c r="J88" s="81" t="s">
        <v>127</v>
      </c>
      <c r="K88" s="87">
        <v>39.71</v>
      </c>
      <c r="L88" s="83">
        <v>31.702000000000002</v>
      </c>
      <c r="M88" s="1">
        <f t="shared" si="3"/>
        <v>72</v>
      </c>
      <c r="N88" s="81" t="s">
        <v>126</v>
      </c>
      <c r="O88" s="88">
        <f t="shared" si="0"/>
        <v>9.6767785438628996E-3</v>
      </c>
      <c r="P88" s="86">
        <f t="shared" si="1"/>
        <v>8.0501651900529454E-3</v>
      </c>
      <c r="Q88" s="86">
        <f t="shared" si="2"/>
        <v>8.8613998751313448E-3</v>
      </c>
      <c r="R88" s="1"/>
      <c r="S88" s="1"/>
      <c r="T88" s="1"/>
    </row>
    <row r="89" spans="1:20">
      <c r="A89" s="64" t="s">
        <v>73</v>
      </c>
      <c r="B89" s="65"/>
      <c r="C89" s="65"/>
      <c r="D89" s="65"/>
      <c r="E89" s="65"/>
      <c r="F89" s="65"/>
      <c r="G89" s="108"/>
      <c r="H89" s="1" t="s">
        <v>242</v>
      </c>
      <c r="I89" s="1"/>
      <c r="J89" s="81" t="s">
        <v>128</v>
      </c>
      <c r="K89" s="87">
        <v>19.734000000000002</v>
      </c>
      <c r="L89" s="83">
        <v>14.645</v>
      </c>
      <c r="M89" s="1">
        <f t="shared" si="3"/>
        <v>77</v>
      </c>
      <c r="N89" s="81" t="s">
        <v>127</v>
      </c>
      <c r="O89" s="88">
        <f t="shared" si="0"/>
        <v>5.9089492084820425E-3</v>
      </c>
      <c r="P89" s="86">
        <f t="shared" si="1"/>
        <v>4.6933635584643684E-3</v>
      </c>
      <c r="Q89" s="86">
        <f t="shared" si="2"/>
        <v>5.2996079617014039E-3</v>
      </c>
      <c r="R89" s="1"/>
      <c r="S89" s="1"/>
      <c r="T89" s="1"/>
    </row>
    <row r="90" spans="1:20">
      <c r="A90" s="70" t="s">
        <v>71</v>
      </c>
      <c r="B90" s="72">
        <f>B71</f>
        <v>1</v>
      </c>
      <c r="C90" s="1"/>
      <c r="D90" s="1"/>
      <c r="E90" s="71">
        <f>(B90/B91)*E91</f>
        <v>16.305267750897091</v>
      </c>
      <c r="F90" s="110">
        <f>(B87*B90+E87*E90)/(B87+E87)</f>
        <v>1.5822193095646215</v>
      </c>
      <c r="G90" s="108"/>
      <c r="H90" s="1" t="s">
        <v>240</v>
      </c>
      <c r="I90" s="1"/>
      <c r="J90" s="81" t="s">
        <v>129</v>
      </c>
      <c r="K90" s="87">
        <v>7.4119999999999999</v>
      </c>
      <c r="L90" s="83">
        <v>4.8890000000000002</v>
      </c>
      <c r="M90" s="1">
        <f t="shared" si="3"/>
        <v>82</v>
      </c>
      <c r="N90" s="81" t="s">
        <v>128</v>
      </c>
      <c r="O90" s="88">
        <f t="shared" si="0"/>
        <v>2.9364694958495248E-3</v>
      </c>
      <c r="P90" s="86">
        <f t="shared" si="1"/>
        <v>2.168137950719534E-3</v>
      </c>
      <c r="Q90" s="86">
        <f t="shared" si="2"/>
        <v>2.5513250170186045E-3</v>
      </c>
      <c r="R90" s="1"/>
      <c r="S90" s="1"/>
      <c r="T90" s="1"/>
    </row>
    <row r="91" spans="1:20">
      <c r="A91" s="70" t="s">
        <v>72</v>
      </c>
      <c r="B91" s="72">
        <f>B72</f>
        <v>2.5</v>
      </c>
      <c r="C91" s="1"/>
      <c r="D91" s="1"/>
      <c r="E91" s="71">
        <f>G91</f>
        <v>40.763169377242725</v>
      </c>
      <c r="F91" s="110">
        <f>(B88*B91+E88*E91)/(B88+E88)</f>
        <v>3.9555482739115537</v>
      </c>
      <c r="G91" s="108">
        <f>IFERROR(D82/(K98+K97*(B90/B91)),0)</f>
        <v>40.763169377242725</v>
      </c>
      <c r="H91" s="1" t="s">
        <v>243</v>
      </c>
      <c r="I91" s="1"/>
      <c r="J91" s="81" t="s">
        <v>130</v>
      </c>
      <c r="K91" s="87">
        <v>1.8620000000000001</v>
      </c>
      <c r="L91" s="83">
        <v>1.052</v>
      </c>
      <c r="M91" s="1">
        <v>88</v>
      </c>
      <c r="N91" s="95" t="s">
        <v>131</v>
      </c>
      <c r="O91" s="96">
        <f>SUM(K90:K93)/K$94</f>
        <v>1.4204691297952552E-3</v>
      </c>
      <c r="P91" s="97">
        <f>SUM(L90:L93)/L$94</f>
        <v>8.9686443874762312E-4</v>
      </c>
      <c r="Q91" s="86">
        <f t="shared" si="2"/>
        <v>9.1287847332225628E-4</v>
      </c>
      <c r="R91" s="1"/>
      <c r="S91" s="1"/>
      <c r="T91" s="1"/>
    </row>
    <row r="92" spans="1:20">
      <c r="A92" s="64" t="s">
        <v>74</v>
      </c>
      <c r="B92" s="65"/>
      <c r="C92" s="65"/>
      <c r="D92" s="65"/>
      <c r="E92" s="65"/>
      <c r="F92" s="65"/>
      <c r="G92" s="1"/>
      <c r="H92" s="1" t="s">
        <v>244</v>
      </c>
      <c r="J92" s="81" t="s">
        <v>132</v>
      </c>
      <c r="K92" s="87">
        <v>0.252</v>
      </c>
      <c r="L92" s="83">
        <v>0.111</v>
      </c>
      <c r="M92" s="1"/>
      <c r="N92" s="98" t="s">
        <v>133</v>
      </c>
      <c r="O92" s="99">
        <f>SUM(O73:O91)</f>
        <v>0.99999999999999989</v>
      </c>
      <c r="P92" s="99">
        <f>SUM(P73:P91)</f>
        <v>0.99999999999999978</v>
      </c>
      <c r="Q92" s="99">
        <f>SUM(Q73:Q91)</f>
        <v>0.99975487866048407</v>
      </c>
      <c r="R92" s="1"/>
      <c r="S92" s="1"/>
      <c r="T92" s="1"/>
    </row>
    <row r="93" spans="1:20">
      <c r="A93" s="70" t="s">
        <v>71</v>
      </c>
      <c r="B93" s="1"/>
      <c r="C93" s="1"/>
      <c r="D93" s="1"/>
      <c r="E93" s="1"/>
      <c r="F93" s="72">
        <f>F90*F87/1000</f>
        <v>0.76473933290349305</v>
      </c>
      <c r="G93" s="1"/>
      <c r="H93" s="1" t="s">
        <v>245</v>
      </c>
      <c r="J93" s="95" t="s">
        <v>134</v>
      </c>
      <c r="K93" s="100">
        <v>0.02</v>
      </c>
      <c r="L93" s="101">
        <v>6.0000000000000001E-3</v>
      </c>
      <c r="M93" s="62" t="s">
        <v>135</v>
      </c>
      <c r="N93" s="81"/>
      <c r="O93" s="86"/>
      <c r="P93" s="86"/>
      <c r="Q93" s="1"/>
      <c r="R93" s="1"/>
      <c r="S93" s="1"/>
      <c r="T93" s="1"/>
    </row>
    <row r="94" spans="1:20">
      <c r="A94" s="70" t="s">
        <v>72</v>
      </c>
      <c r="B94" s="1"/>
      <c r="C94" s="1"/>
      <c r="D94" s="1"/>
      <c r="E94" s="1"/>
      <c r="F94" s="72">
        <f>F91*F88/1000</f>
        <v>0.23469586425208552</v>
      </c>
      <c r="G94" s="1"/>
      <c r="J94" s="98" t="s">
        <v>133</v>
      </c>
      <c r="K94" s="102">
        <f>SUM(K73:K93)</f>
        <v>6720.3150000000005</v>
      </c>
      <c r="L94" s="102">
        <f>SUM(L73:L93)</f>
        <v>6754.6440000000011</v>
      </c>
      <c r="M94" s="49">
        <f>SUM(K94:L94)</f>
        <v>13474.959000000003</v>
      </c>
      <c r="N94" s="81"/>
      <c r="O94" s="86"/>
      <c r="P94" s="154" t="s">
        <v>221</v>
      </c>
      <c r="Q94" s="155">
        <v>13881336</v>
      </c>
      <c r="R94" s="154" t="s">
        <v>222</v>
      </c>
      <c r="S94" s="1" t="s">
        <v>226</v>
      </c>
      <c r="T94" s="1"/>
    </row>
    <row r="95" spans="1:20">
      <c r="B95" s="1"/>
      <c r="C95" s="1"/>
      <c r="D95" s="1"/>
      <c r="E95" s="1"/>
      <c r="F95" s="1"/>
      <c r="G95" s="1"/>
      <c r="J95" s="98" t="s">
        <v>136</v>
      </c>
      <c r="K95" s="103">
        <f>K94/$M$94</f>
        <v>0.49872619278470526</v>
      </c>
      <c r="L95" s="103">
        <f>L94/$M$94</f>
        <v>0.50127380721529469</v>
      </c>
      <c r="M95" s="1"/>
      <c r="N95" s="1"/>
      <c r="O95" s="1"/>
      <c r="P95" s="154" t="s">
        <v>223</v>
      </c>
      <c r="Q95" s="156">
        <v>2.4665054805529722E-2</v>
      </c>
      <c r="R95" s="157" t="s">
        <v>224</v>
      </c>
      <c r="S95" s="1"/>
      <c r="T95" s="1"/>
    </row>
    <row r="96" spans="1:20" s="1" customFormat="1">
      <c r="A96" s="125" t="s">
        <v>170</v>
      </c>
      <c r="B96" s="64" t="s">
        <v>74</v>
      </c>
      <c r="C96" s="65"/>
      <c r="H96" s="72"/>
      <c r="I96" s="62"/>
      <c r="J96"/>
      <c r="K96"/>
      <c r="M96" s="9">
        <v>0</v>
      </c>
      <c r="N96" s="99">
        <f>Q73</f>
        <v>3.7232558555465735E-2</v>
      </c>
      <c r="O96"/>
      <c r="P96" s="154" t="s">
        <v>225</v>
      </c>
      <c r="Q96" s="158">
        <v>4.9000000000000002E-2</v>
      </c>
      <c r="R96" s="154"/>
      <c r="S96"/>
      <c r="T96"/>
    </row>
    <row r="97" spans="1:20" s="1" customFormat="1">
      <c r="A97" s="70" t="s">
        <v>71</v>
      </c>
      <c r="B97" s="72">
        <f>$C$78*F93+(1-$C$78)*B74</f>
        <v>0.55368483320087325</v>
      </c>
      <c r="H97" s="72"/>
      <c r="I97" s="62"/>
      <c r="J97" s="111" t="s">
        <v>149</v>
      </c>
      <c r="K97" s="99">
        <f>Q73+Q74</f>
        <v>0.18616279277732867</v>
      </c>
      <c r="M97" s="134" t="s">
        <v>108</v>
      </c>
      <c r="N97" s="99">
        <f>Q74</f>
        <v>0.14893023422186294</v>
      </c>
      <c r="O97" s="153"/>
      <c r="P97"/>
      <c r="Q97"/>
      <c r="R97"/>
      <c r="S97"/>
      <c r="T97"/>
    </row>
    <row r="98" spans="1:20" s="1" customFormat="1">
      <c r="A98" s="70" t="s">
        <v>72</v>
      </c>
      <c r="B98" s="72">
        <f>$C$78*F94+(1-$C$78)*B75</f>
        <v>0.1699239660630214</v>
      </c>
      <c r="H98" s="72"/>
      <c r="I98" s="62"/>
      <c r="J98" s="111" t="s">
        <v>150</v>
      </c>
      <c r="K98" s="99">
        <f>1-K97</f>
        <v>0.81383720722267139</v>
      </c>
      <c r="M98" s="9" t="s">
        <v>190</v>
      </c>
      <c r="N98" s="99">
        <f>K98</f>
        <v>0.81383720722267139</v>
      </c>
      <c r="O98"/>
      <c r="P98"/>
      <c r="Q98"/>
      <c r="R98"/>
      <c r="S98"/>
      <c r="T98"/>
    </row>
    <row r="99" spans="1:20" s="1" customFormat="1">
      <c r="B99" s="72">
        <f>K97*B97+K98*B98</f>
        <v>0.24136596084805328</v>
      </c>
      <c r="C99" s="62" t="s">
        <v>148</v>
      </c>
      <c r="D99" s="1">
        <f>B99*1700</f>
        <v>410.3221334416906</v>
      </c>
      <c r="H99" s="72"/>
      <c r="I99" s="62"/>
    </row>
    <row r="101" spans="1:20">
      <c r="A101" s="3" t="s">
        <v>15</v>
      </c>
    </row>
    <row r="102" spans="1:20">
      <c r="A102" s="63" t="s">
        <v>15</v>
      </c>
      <c r="B102" s="1"/>
      <c r="C102" s="1"/>
      <c r="D102" s="1"/>
      <c r="E102" s="1"/>
    </row>
    <row r="103" spans="1:20">
      <c r="A103" s="80" t="s">
        <v>74</v>
      </c>
      <c r="B103" s="1"/>
      <c r="C103" s="1"/>
      <c r="D103" s="1"/>
      <c r="E103" s="72">
        <v>8.7680618885505063E-3</v>
      </c>
      <c r="F103" s="1" t="s">
        <v>1274</v>
      </c>
    </row>
    <row r="104" spans="1:20">
      <c r="A104" s="80" t="s">
        <v>171</v>
      </c>
      <c r="B104" s="1"/>
      <c r="C104" s="1"/>
      <c r="D104" s="1"/>
      <c r="E104" s="72">
        <v>51.277043999999997</v>
      </c>
      <c r="F104" s="1" t="s">
        <v>1275</v>
      </c>
    </row>
    <row r="105" spans="1:20">
      <c r="A105" s="80" t="s">
        <v>172</v>
      </c>
      <c r="B105" s="1"/>
      <c r="C105" s="1"/>
      <c r="D105" s="1"/>
      <c r="E105" s="72">
        <v>78.107288229700217</v>
      </c>
      <c r="F105" t="s">
        <v>1276</v>
      </c>
    </row>
    <row r="107" spans="1:20">
      <c r="A107" s="63" t="s">
        <v>22</v>
      </c>
      <c r="B107" s="1"/>
      <c r="C107" s="1"/>
      <c r="D107" s="1"/>
      <c r="E107" s="1"/>
      <c r="F107" s="1"/>
      <c r="G107" s="1"/>
      <c r="H107" s="1"/>
      <c r="I107" s="1"/>
      <c r="J107" s="62" t="s">
        <v>91</v>
      </c>
      <c r="K107" s="62" t="s">
        <v>179</v>
      </c>
      <c r="L107" s="1" t="s">
        <v>1668</v>
      </c>
      <c r="M107" s="62" t="s">
        <v>1670</v>
      </c>
      <c r="N107" s="126">
        <f>K110-K108</f>
        <v>414560</v>
      </c>
      <c r="O107" s="62" t="s">
        <v>180</v>
      </c>
      <c r="P107" s="1"/>
      <c r="Q107" s="1"/>
    </row>
    <row r="108" spans="1:20">
      <c r="A108" s="80" t="s">
        <v>74</v>
      </c>
      <c r="B108" s="1"/>
      <c r="C108" s="1"/>
      <c r="D108" s="1"/>
      <c r="E108" s="72">
        <v>4.498753965716764E-2</v>
      </c>
      <c r="F108" s="1" t="s">
        <v>1277</v>
      </c>
      <c r="G108" s="1"/>
      <c r="H108" s="1"/>
      <c r="I108" s="1"/>
      <c r="J108" s="1">
        <v>2006</v>
      </c>
      <c r="K108" s="127">
        <v>3105981</v>
      </c>
      <c r="L108" s="1"/>
      <c r="M108" s="126">
        <v>12019481</v>
      </c>
      <c r="N108" s="1">
        <v>0</v>
      </c>
      <c r="O108" s="62" t="s">
        <v>215</v>
      </c>
      <c r="P108" s="1"/>
      <c r="Q108" s="1"/>
    </row>
    <row r="109" spans="1:20">
      <c r="A109" s="80" t="s">
        <v>171</v>
      </c>
      <c r="B109" s="1"/>
      <c r="C109" s="1"/>
      <c r="D109" s="1"/>
      <c r="E109" s="72">
        <f>1000*N114/(1-C78)</f>
        <v>89.177613662181457</v>
      </c>
      <c r="F109" s="1" t="s">
        <v>214</v>
      </c>
      <c r="G109" s="128"/>
      <c r="H109" s="1"/>
      <c r="I109" s="1"/>
      <c r="J109" s="1">
        <v>2008</v>
      </c>
      <c r="K109" s="1"/>
      <c r="L109" s="1"/>
      <c r="M109" s="126">
        <v>12620219</v>
      </c>
      <c r="N109" s="129">
        <v>2.0000000000000001E-4</v>
      </c>
      <c r="O109" s="62" t="s">
        <v>216</v>
      </c>
      <c r="P109" s="1"/>
      <c r="Q109" s="1"/>
    </row>
    <row r="110" spans="1:20">
      <c r="A110" s="80" t="s">
        <v>172</v>
      </c>
      <c r="B110" s="1"/>
      <c r="C110" s="1"/>
      <c r="D110" s="1"/>
      <c r="E110" s="72">
        <f>K110/M110*1000</f>
        <v>265.61261199637414</v>
      </c>
      <c r="F110" s="1"/>
      <c r="G110" s="1"/>
      <c r="H110" s="1"/>
      <c r="I110" s="1"/>
      <c r="J110" s="1">
        <v>2010</v>
      </c>
      <c r="K110" s="127">
        <v>3520541</v>
      </c>
      <c r="L110" s="1"/>
      <c r="M110" s="126">
        <v>13254419.560649697</v>
      </c>
      <c r="N110" s="129">
        <f>536/1000-N109</f>
        <v>0.53580000000000005</v>
      </c>
      <c r="O110" s="62" t="s">
        <v>217</v>
      </c>
      <c r="P110" s="1"/>
      <c r="Q110" s="1"/>
    </row>
    <row r="111" spans="1:20">
      <c r="A111" s="1"/>
      <c r="B111" s="1"/>
      <c r="C111" s="1"/>
      <c r="D111" s="1"/>
      <c r="E111" s="1"/>
      <c r="F111" s="1"/>
      <c r="G111" s="1"/>
      <c r="H111" s="128"/>
      <c r="I111" s="1"/>
      <c r="J111" s="1"/>
      <c r="K111" s="1"/>
      <c r="L111" s="1"/>
      <c r="M111" s="1"/>
      <c r="N111" s="129">
        <f>1-(1-N110)^4</f>
        <v>0.95356766282291039</v>
      </c>
      <c r="O111" s="62" t="s">
        <v>181</v>
      </c>
      <c r="P111" s="1"/>
      <c r="Q111" s="1"/>
    </row>
    <row r="112" spans="1:20">
      <c r="A112" s="63" t="s">
        <v>17</v>
      </c>
      <c r="B112" s="1"/>
      <c r="C112" s="1"/>
      <c r="D112" s="1"/>
      <c r="E112" s="1"/>
      <c r="F112" s="152" t="s">
        <v>218</v>
      </c>
      <c r="G112" s="68"/>
      <c r="H112" s="1376" t="s">
        <v>182</v>
      </c>
      <c r="I112" s="1376" t="s">
        <v>183</v>
      </c>
      <c r="J112" s="1"/>
      <c r="K112" s="1"/>
      <c r="L112" s="1"/>
      <c r="M112" s="1"/>
      <c r="N112" s="127">
        <f>K108*N111</f>
        <v>2961763.0429423661</v>
      </c>
      <c r="O112" s="62" t="s">
        <v>184</v>
      </c>
      <c r="P112" s="1"/>
      <c r="Q112" s="1"/>
    </row>
    <row r="113" spans="1:17">
      <c r="A113" s="80" t="s">
        <v>74</v>
      </c>
      <c r="B113" s="1"/>
      <c r="C113" s="1"/>
      <c r="D113" s="1"/>
      <c r="E113" s="108">
        <f>1.80398095334242*E114/ERR!C30</f>
        <v>7.4946493961466978E-2</v>
      </c>
      <c r="F113" s="1" t="s">
        <v>1278</v>
      </c>
      <c r="G113" s="130" t="s">
        <v>185</v>
      </c>
      <c r="H113" s="1377"/>
      <c r="I113" s="1377"/>
      <c r="J113" s="1"/>
      <c r="K113" s="1"/>
      <c r="L113" s="1"/>
      <c r="M113" s="1"/>
      <c r="N113" s="127">
        <f>N112+N107</f>
        <v>3376323.0429423661</v>
      </c>
      <c r="O113" s="62" t="s">
        <v>186</v>
      </c>
      <c r="P113" s="1"/>
      <c r="Q113" s="1"/>
    </row>
    <row r="114" spans="1:17">
      <c r="A114" s="80" t="s">
        <v>171</v>
      </c>
      <c r="B114" s="1"/>
      <c r="C114" s="1"/>
      <c r="D114" s="1"/>
      <c r="E114" s="71">
        <f>ERR!C30*ERR!D30+ERR!C31*ERR!D31</f>
        <v>5</v>
      </c>
      <c r="F114" s="1" t="s">
        <v>1397</v>
      </c>
      <c r="G114" s="9">
        <v>0</v>
      </c>
      <c r="H114" s="10">
        <v>0.15</v>
      </c>
      <c r="I114" s="109">
        <f>IFERROR((H114/Q73)*$E$113,0)</f>
        <v>0.30193933832059272</v>
      </c>
      <c r="J114" s="1"/>
      <c r="K114" s="1"/>
      <c r="L114" s="1"/>
      <c r="M114" s="1"/>
      <c r="N114" s="131">
        <f>N113/(4*M109)</f>
        <v>6.6883210246636099E-2</v>
      </c>
      <c r="O114" s="62" t="s">
        <v>187</v>
      </c>
      <c r="P114" s="1"/>
      <c r="Q114" s="1"/>
    </row>
    <row r="115" spans="1:17">
      <c r="A115" s="89" t="s">
        <v>188</v>
      </c>
      <c r="B115" s="132" t="s">
        <v>220</v>
      </c>
      <c r="C115" s="132"/>
      <c r="D115" s="132"/>
      <c r="E115" s="133">
        <v>0.5</v>
      </c>
      <c r="F115" s="1"/>
      <c r="G115" s="134" t="s">
        <v>108</v>
      </c>
      <c r="H115" s="10">
        <v>0.75</v>
      </c>
      <c r="I115" s="109">
        <f>IFERROR((H115/Q74)*$E$113,0)</f>
        <v>0.37742417290074093</v>
      </c>
      <c r="J115" s="1"/>
      <c r="K115" s="154" t="s">
        <v>221</v>
      </c>
      <c r="L115" s="155">
        <v>13881336</v>
      </c>
      <c r="M115" s="154" t="s">
        <v>222</v>
      </c>
      <c r="N115" s="1" t="s">
        <v>226</v>
      </c>
      <c r="O115" s="1"/>
      <c r="P115" s="1"/>
      <c r="Q115" s="1"/>
    </row>
    <row r="116" spans="1:17">
      <c r="A116" s="80" t="s">
        <v>189</v>
      </c>
      <c r="B116" s="1"/>
      <c r="C116" s="1"/>
      <c r="D116" s="1"/>
      <c r="E116" s="71">
        <v>221.90234427003278</v>
      </c>
      <c r="F116" s="1" t="s">
        <v>1279</v>
      </c>
      <c r="G116" s="9" t="s">
        <v>190</v>
      </c>
      <c r="H116" s="135">
        <v>0.1</v>
      </c>
      <c r="I116" s="136">
        <f>IFERROR((H116/K98)*$E$113,0)</f>
        <v>9.2090277141827839E-3</v>
      </c>
      <c r="J116" s="1"/>
      <c r="K116" s="1"/>
      <c r="L116" s="1"/>
      <c r="M116" s="1"/>
      <c r="N116" s="1"/>
      <c r="O116" s="1"/>
      <c r="P116" s="1"/>
      <c r="Q116" s="1"/>
    </row>
    <row r="117" spans="1:17">
      <c r="A117" s="80" t="s">
        <v>172</v>
      </c>
      <c r="B117" s="1"/>
      <c r="C117" s="1"/>
      <c r="D117" s="1"/>
      <c r="E117" s="62" t="s">
        <v>191</v>
      </c>
      <c r="F117" s="1"/>
      <c r="G117" s="1"/>
      <c r="H117" s="10">
        <f>SUM(H114:H116)</f>
        <v>1</v>
      </c>
      <c r="I117" s="109">
        <f>SUMPRODUCT(N96:N98,I114:I116)</f>
        <v>7.4946493961466992E-2</v>
      </c>
      <c r="J117" s="62" t="s">
        <v>192</v>
      </c>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row r="119" spans="1:17">
      <c r="A119" s="63" t="s">
        <v>178</v>
      </c>
      <c r="B119" s="1"/>
      <c r="C119" s="1"/>
      <c r="D119" s="1"/>
      <c r="E119" s="1"/>
      <c r="F119" s="1"/>
      <c r="G119" s="1"/>
      <c r="H119" s="1"/>
      <c r="I119" s="1"/>
      <c r="J119" s="1"/>
      <c r="K119" s="1"/>
      <c r="L119" s="1"/>
      <c r="M119" s="1"/>
      <c r="N119" s="1"/>
      <c r="O119" s="1"/>
      <c r="P119" s="1"/>
      <c r="Q119" s="1"/>
    </row>
    <row r="120" spans="1:17">
      <c r="A120" s="80" t="s">
        <v>74</v>
      </c>
      <c r="B120" s="1"/>
      <c r="C120" s="1"/>
      <c r="D120" s="1"/>
      <c r="E120" s="1">
        <v>0</v>
      </c>
      <c r="F120" s="1" t="s">
        <v>227</v>
      </c>
      <c r="G120" s="1"/>
      <c r="H120" s="1"/>
      <c r="I120" s="1"/>
      <c r="J120" s="1"/>
      <c r="K120" s="1"/>
      <c r="L120" s="1"/>
      <c r="M120" s="1"/>
      <c r="N120" s="1"/>
      <c r="O120" s="1"/>
      <c r="P120" s="1"/>
      <c r="Q120" s="1"/>
    </row>
    <row r="121" spans="1:17">
      <c r="A121" s="80" t="s">
        <v>171</v>
      </c>
      <c r="B121" s="1"/>
      <c r="C121" s="1"/>
      <c r="D121" s="1"/>
      <c r="E121" s="71">
        <f>10%*(1548811/Q94)*1000/(1-F63)</f>
        <v>14.876675655234726</v>
      </c>
      <c r="F121" s="1" t="s">
        <v>228</v>
      </c>
      <c r="G121" s="1"/>
      <c r="H121" s="1"/>
      <c r="I121" s="1"/>
      <c r="J121" s="1"/>
      <c r="K121" s="1"/>
      <c r="L121" s="1"/>
      <c r="M121" s="1"/>
      <c r="N121" s="1"/>
      <c r="O121" s="1"/>
      <c r="P121" s="1"/>
      <c r="Q121" s="1"/>
    </row>
    <row r="122" spans="1:17">
      <c r="A122" s="80" t="s">
        <v>172</v>
      </c>
      <c r="B122" s="1"/>
      <c r="C122" s="1"/>
      <c r="D122" s="1"/>
      <c r="E122" s="62" t="s">
        <v>191</v>
      </c>
      <c r="F122" s="1"/>
      <c r="G122" s="62" t="s">
        <v>230</v>
      </c>
      <c r="H122" s="1"/>
      <c r="I122" s="68"/>
      <c r="J122" s="137" t="s">
        <v>193</v>
      </c>
      <c r="K122" s="138">
        <v>0.13638095238095246</v>
      </c>
      <c r="L122" s="68" t="s">
        <v>1280</v>
      </c>
      <c r="M122" s="1341" t="s">
        <v>194</v>
      </c>
      <c r="N122" s="1343" t="s">
        <v>195</v>
      </c>
      <c r="O122" s="1" t="s">
        <v>233</v>
      </c>
      <c r="P122" s="1"/>
      <c r="Q122" s="1"/>
    </row>
    <row r="123" spans="1:17">
      <c r="A123" s="80" t="s">
        <v>196</v>
      </c>
      <c r="B123" s="1"/>
      <c r="C123" s="1"/>
      <c r="D123" s="1"/>
      <c r="E123" s="4">
        <f>1/3</f>
        <v>0.33333333333333331</v>
      </c>
      <c r="F123" s="1" t="s">
        <v>229</v>
      </c>
      <c r="G123" s="1"/>
      <c r="H123" s="1"/>
      <c r="I123" s="68"/>
      <c r="J123" s="68"/>
      <c r="K123" s="68"/>
      <c r="L123" s="68"/>
      <c r="M123" s="1341"/>
      <c r="N123" s="1343"/>
      <c r="O123" s="1"/>
      <c r="P123" s="1"/>
      <c r="Q123" s="1"/>
    </row>
    <row r="124" spans="1:17">
      <c r="A124" s="89"/>
      <c r="B124" s="1"/>
      <c r="C124" s="1"/>
      <c r="D124" s="1"/>
      <c r="E124" s="1"/>
      <c r="F124" s="1"/>
      <c r="G124" s="62" t="s">
        <v>197</v>
      </c>
      <c r="H124" s="1" t="s">
        <v>231</v>
      </c>
      <c r="I124" s="139" t="s">
        <v>198</v>
      </c>
      <c r="J124" s="139" t="s">
        <v>199</v>
      </c>
      <c r="K124" s="139" t="s">
        <v>200</v>
      </c>
      <c r="L124" s="139" t="s">
        <v>201</v>
      </c>
      <c r="M124" s="1342"/>
      <c r="N124" s="1344"/>
      <c r="O124" s="1"/>
      <c r="P124" s="1"/>
      <c r="Q124" s="1"/>
    </row>
    <row r="125" spans="1:17">
      <c r="A125" s="1"/>
      <c r="B125" s="1"/>
      <c r="C125" s="1"/>
      <c r="D125" s="1"/>
      <c r="E125" s="1"/>
      <c r="F125" s="1"/>
      <c r="G125" s="62" t="s">
        <v>202</v>
      </c>
      <c r="H125" s="1" t="s">
        <v>231</v>
      </c>
      <c r="I125" s="10">
        <v>0.06</v>
      </c>
      <c r="J125" s="10">
        <v>0.06</v>
      </c>
      <c r="K125" s="10">
        <v>0.03</v>
      </c>
      <c r="L125" s="10">
        <v>0.85</v>
      </c>
      <c r="M125" s="119"/>
      <c r="N125" s="140"/>
      <c r="O125" s="1"/>
      <c r="P125" s="1"/>
      <c r="Q125" s="1"/>
    </row>
    <row r="126" spans="1:17">
      <c r="A126" s="141" t="s">
        <v>203</v>
      </c>
      <c r="B126" s="1"/>
      <c r="C126" s="1"/>
      <c r="D126" s="1"/>
      <c r="E126" s="1"/>
      <c r="F126" s="1"/>
      <c r="G126" s="62" t="s">
        <v>204</v>
      </c>
      <c r="H126" s="1" t="s">
        <v>232</v>
      </c>
      <c r="I126" s="142">
        <f>(3+8)/2/52</f>
        <v>0.10576923076923077</v>
      </c>
      <c r="J126" s="142">
        <f>(2+3)/2/52</f>
        <v>4.807692307692308E-2</v>
      </c>
      <c r="K126" s="142">
        <f>(3+24)/2/52</f>
        <v>0.25961538461538464</v>
      </c>
      <c r="L126" s="142">
        <f>(2+3)/2/52</f>
        <v>4.807692307692308E-2</v>
      </c>
      <c r="M126" s="119"/>
      <c r="N126" s="140"/>
      <c r="O126" s="1"/>
      <c r="P126" s="1"/>
      <c r="Q126" s="1"/>
    </row>
    <row r="127" spans="1:17">
      <c r="A127" s="143" t="s">
        <v>176</v>
      </c>
      <c r="B127" s="1"/>
      <c r="C127" s="1"/>
      <c r="D127" s="143" t="s">
        <v>205</v>
      </c>
      <c r="E127" s="1"/>
      <c r="F127" s="1"/>
      <c r="G127" s="144" t="s">
        <v>206</v>
      </c>
      <c r="H127" s="1"/>
      <c r="I127" s="1"/>
      <c r="J127" s="1"/>
      <c r="K127" s="1"/>
      <c r="L127" s="1"/>
      <c r="M127" s="119"/>
      <c r="N127" s="140"/>
      <c r="O127" s="1"/>
      <c r="P127" s="1"/>
      <c r="Q127" s="1"/>
    </row>
    <row r="128" spans="1:17">
      <c r="A128" s="63" t="s">
        <v>68</v>
      </c>
      <c r="B128" s="1"/>
      <c r="C128" s="1"/>
      <c r="D128" s="171">
        <f>6/365.25</f>
        <v>1.6427104722792608E-2</v>
      </c>
      <c r="E128" s="1" t="s">
        <v>237</v>
      </c>
      <c r="F128" s="1"/>
      <c r="G128" s="144" t="s">
        <v>207</v>
      </c>
      <c r="H128" s="1"/>
      <c r="I128" s="1"/>
      <c r="J128" s="1"/>
      <c r="K128" s="1"/>
      <c r="L128" s="1"/>
      <c r="M128" s="1"/>
      <c r="N128" s="1"/>
      <c r="O128" s="1"/>
      <c r="P128" s="1"/>
      <c r="Q128" s="1"/>
    </row>
    <row r="129" spans="1:17">
      <c r="A129" s="63" t="s">
        <v>15</v>
      </c>
      <c r="B129" s="1"/>
      <c r="C129" s="1"/>
      <c r="D129" s="72">
        <f>E105/E104</f>
        <v>1.5232408527624999</v>
      </c>
      <c r="E129" s="1"/>
      <c r="F129" s="1"/>
      <c r="G129" s="62" t="s">
        <v>208</v>
      </c>
      <c r="H129" s="1" t="s">
        <v>232</v>
      </c>
      <c r="I129" s="142">
        <f>(5+8)/2</f>
        <v>6.5</v>
      </c>
      <c r="J129" s="142">
        <f>(12+20)/2/12</f>
        <v>1.3333333333333333</v>
      </c>
      <c r="K129" s="142">
        <f>(20+50)/2</f>
        <v>35</v>
      </c>
      <c r="L129" s="142">
        <f>(6+17)/2/12</f>
        <v>0.95833333333333337</v>
      </c>
      <c r="M129" s="145">
        <f>SUMPRODUCT($I$125:$L$125,I129:L129)</f>
        <v>2.3345833333333332</v>
      </c>
      <c r="N129" s="146">
        <f>M129*(1-$K$122)</f>
        <v>2.0161906349206347</v>
      </c>
      <c r="O129" s="1"/>
      <c r="P129" s="1"/>
      <c r="Q129" s="1"/>
    </row>
    <row r="130" spans="1:17">
      <c r="A130" s="63" t="s">
        <v>22</v>
      </c>
      <c r="B130" s="1"/>
      <c r="C130" s="1"/>
      <c r="D130" s="72">
        <f>E110/E109</f>
        <v>2.9784673651680751</v>
      </c>
      <c r="E130" s="1"/>
      <c r="F130" s="1"/>
      <c r="G130" s="62" t="s">
        <v>209</v>
      </c>
      <c r="H130" s="1"/>
      <c r="I130" s="1"/>
      <c r="J130" s="1"/>
      <c r="K130" s="1"/>
      <c r="L130" s="1"/>
      <c r="M130" s="119"/>
      <c r="N130" s="140"/>
      <c r="O130" s="1"/>
      <c r="P130" s="1"/>
      <c r="Q130" s="1"/>
    </row>
    <row r="131" spans="1:17">
      <c r="A131" s="63" t="s">
        <v>17</v>
      </c>
      <c r="B131" s="1"/>
      <c r="C131" s="1"/>
      <c r="D131" s="72">
        <f>N129</f>
        <v>2.0161906349206347</v>
      </c>
      <c r="E131" s="1"/>
      <c r="F131" s="1"/>
      <c r="G131" s="80" t="s">
        <v>210</v>
      </c>
      <c r="H131" s="1" t="s">
        <v>234</v>
      </c>
      <c r="I131" s="10">
        <v>0.2</v>
      </c>
      <c r="J131" s="10">
        <v>0.1</v>
      </c>
      <c r="K131" s="10">
        <v>0.2</v>
      </c>
      <c r="L131" s="10">
        <v>0.4</v>
      </c>
      <c r="M131" s="147">
        <f>SUMPRODUCT($I$125:$L$125,I131:L131)</f>
        <v>0.36400000000000005</v>
      </c>
      <c r="N131" s="148">
        <f>M131*(1-$K$122)</f>
        <v>0.31435733333333332</v>
      </c>
      <c r="O131" s="1"/>
      <c r="P131" s="1"/>
      <c r="Q131" s="1"/>
    </row>
    <row r="132" spans="1:17">
      <c r="A132" s="63" t="s">
        <v>178</v>
      </c>
      <c r="B132" s="1"/>
      <c r="C132" s="1"/>
      <c r="D132" s="62" t="s">
        <v>211</v>
      </c>
      <c r="E132" s="1" t="s">
        <v>236</v>
      </c>
      <c r="F132" s="1"/>
      <c r="G132" s="62" t="s">
        <v>212</v>
      </c>
      <c r="H132" s="1" t="s">
        <v>235</v>
      </c>
      <c r="I132" s="1"/>
      <c r="J132" s="1"/>
      <c r="K132" s="128"/>
      <c r="L132" s="128" t="s">
        <v>213</v>
      </c>
      <c r="M132" s="119"/>
      <c r="N132" s="140"/>
      <c r="O132" s="1"/>
      <c r="P132" s="1"/>
      <c r="Q132" s="1"/>
    </row>
    <row r="133" spans="1:17">
      <c r="A133" s="1"/>
      <c r="B133" s="1"/>
      <c r="C133" s="1"/>
      <c r="D133" s="1"/>
      <c r="E133" s="1"/>
      <c r="F133" s="149"/>
      <c r="G133" s="80" t="s">
        <v>210</v>
      </c>
      <c r="H133" s="1"/>
      <c r="I133" s="10"/>
      <c r="J133" s="1"/>
      <c r="K133" s="150"/>
      <c r="L133" s="151">
        <f>23.3%+8.6%+4.4%</f>
        <v>0.36299999999999999</v>
      </c>
      <c r="M133" s="147">
        <f>SUMPRODUCT($I$125:$L$125,I133:L133)</f>
        <v>0.30854999999999999</v>
      </c>
      <c r="N133" s="148">
        <f>M133*(1-$K$122)</f>
        <v>0.26646965714285709</v>
      </c>
      <c r="O133" s="1"/>
      <c r="P133" s="1"/>
      <c r="Q133" s="1"/>
    </row>
    <row r="134" spans="1:17">
      <c r="A134" t="s">
        <v>329</v>
      </c>
      <c r="L134" t="s">
        <v>238</v>
      </c>
    </row>
    <row r="135" spans="1:17">
      <c r="B135" t="s">
        <v>175</v>
      </c>
      <c r="C135" t="s">
        <v>174</v>
      </c>
    </row>
    <row r="136" spans="1:17">
      <c r="A136" s="1">
        <v>0</v>
      </c>
      <c r="B136" s="1">
        <v>47</v>
      </c>
      <c r="C136">
        <v>49.3</v>
      </c>
      <c r="D136" t="s">
        <v>328</v>
      </c>
    </row>
    <row r="137" spans="1:17">
      <c r="A137" t="s">
        <v>108</v>
      </c>
      <c r="B137">
        <v>51.3</v>
      </c>
      <c r="C137">
        <v>52.7</v>
      </c>
    </row>
    <row r="138" spans="1:17">
      <c r="A138" t="s">
        <v>107</v>
      </c>
      <c r="B138">
        <v>50.8</v>
      </c>
      <c r="C138">
        <v>51.7</v>
      </c>
      <c r="E138" s="141" t="s">
        <v>330</v>
      </c>
      <c r="F138" s="1"/>
      <c r="G138" s="1"/>
      <c r="H138" s="1"/>
    </row>
    <row r="139" spans="1:17">
      <c r="A139" s="1" t="s">
        <v>110</v>
      </c>
      <c r="B139" s="1">
        <v>46.7</v>
      </c>
      <c r="C139">
        <v>47.4</v>
      </c>
      <c r="D139" s="1"/>
      <c r="E139" s="164">
        <v>0.1</v>
      </c>
      <c r="F139" s="165" t="s">
        <v>331</v>
      </c>
      <c r="G139" s="166"/>
      <c r="H139" s="1" t="s">
        <v>332</v>
      </c>
      <c r="L139" t="s">
        <v>337</v>
      </c>
    </row>
    <row r="140" spans="1:17">
      <c r="A140" s="1" t="s">
        <v>112</v>
      </c>
      <c r="B140" s="1">
        <v>42.2</v>
      </c>
      <c r="C140" s="1">
        <v>43</v>
      </c>
      <c r="E140" s="167">
        <v>0.04</v>
      </c>
      <c r="F140" s="168" t="s">
        <v>333</v>
      </c>
      <c r="G140" s="169"/>
      <c r="H140" s="1" t="s">
        <v>334</v>
      </c>
    </row>
    <row r="141" spans="1:17">
      <c r="A141" s="1" t="s">
        <v>114</v>
      </c>
      <c r="B141" s="1">
        <v>37.700000000000003</v>
      </c>
      <c r="C141">
        <v>38.700000000000003</v>
      </c>
      <c r="E141" s="1118">
        <v>0.1658</v>
      </c>
      <c r="F141" s="1119" t="s">
        <v>335</v>
      </c>
      <c r="G141" s="1120"/>
      <c r="H141" s="1" t="s">
        <v>336</v>
      </c>
      <c r="L141" t="s">
        <v>338</v>
      </c>
    </row>
    <row r="142" spans="1:17">
      <c r="A142" s="1" t="s">
        <v>116</v>
      </c>
      <c r="B142" s="1">
        <v>33.4</v>
      </c>
      <c r="C142">
        <v>34.700000000000003</v>
      </c>
      <c r="D142" s="1"/>
    </row>
    <row r="143" spans="1:17">
      <c r="A143" t="s">
        <v>117</v>
      </c>
      <c r="B143">
        <v>29.5</v>
      </c>
      <c r="C143" s="1">
        <v>31.6</v>
      </c>
      <c r="D143" s="1"/>
      <c r="E143" s="1"/>
    </row>
    <row r="144" spans="1:17">
      <c r="A144" t="s">
        <v>118</v>
      </c>
      <c r="B144">
        <v>26.3</v>
      </c>
      <c r="C144" s="1">
        <v>29.2</v>
      </c>
      <c r="D144" s="1"/>
    </row>
    <row r="145" spans="1:27">
      <c r="A145" t="s">
        <v>119</v>
      </c>
      <c r="B145">
        <v>23.7</v>
      </c>
      <c r="C145" s="1">
        <v>27.3</v>
      </c>
      <c r="D145" s="1"/>
    </row>
    <row r="146" spans="1:27">
      <c r="A146" t="s">
        <v>120</v>
      </c>
      <c r="B146">
        <v>21.4</v>
      </c>
      <c r="C146" s="1">
        <v>25.1</v>
      </c>
    </row>
    <row r="147" spans="1:27">
      <c r="A147" t="s">
        <v>121</v>
      </c>
      <c r="B147">
        <v>18.8</v>
      </c>
      <c r="C147">
        <v>22.2</v>
      </c>
    </row>
    <row r="148" spans="1:27">
      <c r="A148" t="s">
        <v>122</v>
      </c>
      <c r="B148">
        <v>16.2</v>
      </c>
      <c r="C148">
        <v>19.100000000000001</v>
      </c>
    </row>
    <row r="149" spans="1:27">
      <c r="A149" t="s">
        <v>124</v>
      </c>
      <c r="B149">
        <v>13.7</v>
      </c>
      <c r="C149">
        <v>15.9</v>
      </c>
      <c r="E149" s="68"/>
      <c r="G149" s="68"/>
    </row>
    <row r="150" spans="1:27">
      <c r="A150" t="s">
        <v>125</v>
      </c>
      <c r="B150">
        <v>11.2</v>
      </c>
      <c r="C150">
        <v>12.8</v>
      </c>
      <c r="F150" s="68"/>
      <c r="G150" s="68"/>
    </row>
    <row r="151" spans="1:27">
      <c r="A151" t="s">
        <v>126</v>
      </c>
      <c r="B151">
        <v>8.8000000000000007</v>
      </c>
      <c r="C151">
        <v>10</v>
      </c>
      <c r="F151" s="68"/>
      <c r="G151" s="68"/>
    </row>
    <row r="152" spans="1:27">
      <c r="A152" t="s">
        <v>127</v>
      </c>
      <c r="B152">
        <v>6.8</v>
      </c>
      <c r="C152">
        <v>7.6</v>
      </c>
    </row>
    <row r="153" spans="1:27">
      <c r="A153" t="s">
        <v>128</v>
      </c>
      <c r="B153">
        <v>5.0999999999999996</v>
      </c>
      <c r="C153">
        <v>5.7</v>
      </c>
    </row>
    <row r="154" spans="1:27">
      <c r="A154" t="s">
        <v>131</v>
      </c>
      <c r="B154">
        <v>2.5999999999999996</v>
      </c>
      <c r="C154">
        <v>2.8250000000000002</v>
      </c>
    </row>
    <row r="156" spans="1:27">
      <c r="A156" s="63" t="s">
        <v>327</v>
      </c>
      <c r="D156" s="1"/>
      <c r="E156" t="s">
        <v>325</v>
      </c>
      <c r="L156" s="1" t="s">
        <v>15</v>
      </c>
      <c r="O156" s="1"/>
      <c r="T156" t="s">
        <v>22</v>
      </c>
    </row>
    <row r="157" spans="1:27">
      <c r="A157" s="63" t="s">
        <v>324</v>
      </c>
      <c r="B157" t="s">
        <v>339</v>
      </c>
      <c r="C157" t="s">
        <v>361</v>
      </c>
      <c r="D157" s="1" t="s">
        <v>362</v>
      </c>
      <c r="E157" t="s">
        <v>340</v>
      </c>
      <c r="F157" t="s">
        <v>357</v>
      </c>
      <c r="G157" t="s">
        <v>326</v>
      </c>
      <c r="H157" t="s">
        <v>359</v>
      </c>
      <c r="I157" s="1" t="s">
        <v>360</v>
      </c>
      <c r="J157" s="1" t="s">
        <v>358</v>
      </c>
      <c r="K157" s="1" t="s">
        <v>326</v>
      </c>
      <c r="L157" t="s">
        <v>340</v>
      </c>
      <c r="M157" s="1" t="s">
        <v>357</v>
      </c>
      <c r="N157" s="1" t="s">
        <v>326</v>
      </c>
      <c r="O157" s="1" t="s">
        <v>362</v>
      </c>
      <c r="P157" s="1" t="s">
        <v>359</v>
      </c>
      <c r="Q157" s="1" t="s">
        <v>360</v>
      </c>
      <c r="R157" s="1" t="s">
        <v>358</v>
      </c>
      <c r="S157" s="1" t="s">
        <v>326</v>
      </c>
      <c r="T157" s="1" t="s">
        <v>340</v>
      </c>
      <c r="U157" s="1" t="s">
        <v>357</v>
      </c>
      <c r="V157" s="1" t="s">
        <v>326</v>
      </c>
      <c r="W157" s="1" t="s">
        <v>362</v>
      </c>
      <c r="X157" s="1" t="s">
        <v>359</v>
      </c>
      <c r="Y157" s="1" t="s">
        <v>360</v>
      </c>
      <c r="Z157" s="1" t="s">
        <v>358</v>
      </c>
      <c r="AA157" s="1" t="s">
        <v>326</v>
      </c>
    </row>
    <row r="158" spans="1:27" ht="15.5">
      <c r="A158" s="160">
        <v>0</v>
      </c>
      <c r="B158" s="170">
        <v>0.1</v>
      </c>
      <c r="C158">
        <f>($E$141*EXP($E$139*$B158)/($E$140+$E$139)^2)*(EXP(-($E$140+$E$139)*($B158+AVERAGE($B136:$C136)))*(-($E$140+$E$139)*($B158+AVERAGE($B136:$C136))-1)-EXP(-($E$140+$E$139)*$B158)*(-($E$140+$E$139)*$B158-1))</f>
        <v>8.4661744713244396</v>
      </c>
      <c r="D158" s="1">
        <f>($E$141*EXP($E$139*$B158)/($E$140+$E$139)^2)*(EXP(-($E$140+$E$139)*($B158+$D$128))*(-($E$140+$E$139)*($B158+$D$128)-1)-EXP(-($E$140+$E$139)*$B158)*(-($E$140+$E$139)*$B158-1))</f>
        <v>2.9320953866862495E-4</v>
      </c>
      <c r="E158" s="1">
        <f>($B$30*$Q73)*(B$97/1000)</f>
        <v>1.8442642191879339</v>
      </c>
      <c r="F158">
        <f>E158*C158</f>
        <v>15.613862650865986</v>
      </c>
      <c r="G158">
        <f>F158*(1-$B$23)</f>
        <v>8.7437630844849537</v>
      </c>
      <c r="H158">
        <v>0.11935374999999999</v>
      </c>
      <c r="I158" s="121">
        <f>($F$87/1000)*$B$30*$Q73*H158</f>
        <v>192.15130108804547</v>
      </c>
      <c r="J158" s="121">
        <f>I158*D158</f>
        <v>5.6340594346601866E-2</v>
      </c>
      <c r="K158">
        <f>J158*(1-B$23)</f>
        <v>3.1550732834097046E-2</v>
      </c>
      <c r="L158" s="1">
        <f t="shared" ref="L158:L176" si="4">($B$30*$Q73)*(E$103/1000)</f>
        <v>2.9205464630837168E-2</v>
      </c>
      <c r="M158">
        <f t="shared" ref="M158:M176" si="5">L158*C158</f>
        <v>0.24725855908076247</v>
      </c>
      <c r="N158">
        <f>M158*(1-$B$24)</f>
        <v>0.22685972795659956</v>
      </c>
      <c r="O158" s="1">
        <f>($E$141*EXP($E$139*$B158)/($E$140+$E$139)^2)*(EXP(-($E$140+$E$139)*($B158+$D$129))*(-($E$140+$E$139)*($B158+$D$129)-1)-EXP(-($E$140+$E$139)*$B158)*(-($E$140+$E$139)*$B158-1))</f>
        <v>0.18905774945969325</v>
      </c>
      <c r="P158">
        <v>8.2637500000000003E-2</v>
      </c>
      <c r="Q158" s="1">
        <f>P158*($B$30*$Q73)*(E$104/1000)</f>
        <v>14.114342914562819</v>
      </c>
      <c r="R158">
        <f>Q158*O158</f>
        <v>2.6684259065296141</v>
      </c>
      <c r="S158">
        <f>R158*(1-$B$24)</f>
        <v>2.4482807692409208</v>
      </c>
      <c r="T158" s="1">
        <f t="shared" ref="T158:T176" si="6">($B$30*$Q73)*(E$108/1000)</f>
        <v>0.14984862276137501</v>
      </c>
      <c r="U158">
        <f>T158*C158</f>
        <v>1.2686445845854795</v>
      </c>
      <c r="V158">
        <f>U158*(1-$B$27)</f>
        <v>0.78021641952006981</v>
      </c>
      <c r="W158" s="1">
        <f>($E$141*EXP($E$139*$B158)/($E$140+$E$139)^2)*(EXP(-($E$140+$E$139)*($B158+$D$130))*(-($E$140+$E$139)*($B158+$D$130)-1)-EXP(-($E$140+$E$139)*$B158)*(-($E$140+$E$139)*$B158-1))</f>
        <v>0.59767300213457875</v>
      </c>
      <c r="X158">
        <v>5.1999999999999998E-3</v>
      </c>
      <c r="Y158" s="1">
        <f>X158*($B$30*$Q73)*(E$109/1000)</f>
        <v>1.5446130637360358</v>
      </c>
      <c r="Z158">
        <f>Y158*W158</f>
        <v>0.92317352693940591</v>
      </c>
      <c r="AA158">
        <f>Z158*(1-$B$27)</f>
        <v>0.56775171906773458</v>
      </c>
    </row>
    <row r="159" spans="1:27" ht="15.5">
      <c r="A159" s="161" t="s">
        <v>108</v>
      </c>
      <c r="B159" s="170">
        <v>2.6</v>
      </c>
      <c r="C159" s="1">
        <f t="shared" ref="C159:C176" si="7">($E$141*EXP($E$139*$B159)/($E$140+$E$139)^2)*(EXP(-($E$140+$E$139)*($B159+AVERAGE($B137:$C137)))*(-($E$140+$E$139)*($B159+AVERAGE($B137:$C137))-1)-EXP(-($E$140+$E$139)*$B159)*(-($E$140+$E$139)*$B159-1))</f>
        <v>10.353215353808007</v>
      </c>
      <c r="D159" s="1">
        <f t="shared" ref="D159:D176" si="8">($E$141*EXP($E$139*$B159)/($E$140+$E$139)^2)*(EXP(-($E$140+$E$139)*($B159+$D$128))*(-($E$140+$E$139)*($B159+$D$128)-1)-EXP(-($E$140+$E$139)*$B159)*(-($E$140+$E$139)*$B159-1))</f>
        <v>6.3947305622559921E-3</v>
      </c>
      <c r="E159" s="1">
        <f>($B$30*$Q74)*(B$97/1000)</f>
        <v>7.3770568767517357</v>
      </c>
      <c r="F159" s="1">
        <f t="shared" ref="F159:F176" si="9">E159*C159</f>
        <v>76.376258522301015</v>
      </c>
      <c r="G159" s="1">
        <f>F159*(1-$B$23)</f>
        <v>42.770704772488571</v>
      </c>
      <c r="H159">
        <f>H158</f>
        <v>0.11935374999999999</v>
      </c>
      <c r="I159" s="121">
        <f>($F$87/1000)*$B$30*$Q74*H159</f>
        <v>768.60520435218189</v>
      </c>
      <c r="J159" s="121">
        <f t="shared" ref="J159:J176" si="10">I159*D159</f>
        <v>4.9150231905799098</v>
      </c>
      <c r="K159" s="1">
        <f>J159*(1-B$23)</f>
        <v>2.7524129867247495</v>
      </c>
      <c r="L159" s="1">
        <f t="shared" si="4"/>
        <v>0.11682185852334867</v>
      </c>
      <c r="M159" s="1">
        <f t="shared" si="5"/>
        <v>1.2094818593243204</v>
      </c>
      <c r="N159" s="1">
        <f t="shared" ref="N159:N176" si="11">M159*(1-$B$24)</f>
        <v>1.1096996059300639</v>
      </c>
      <c r="O159" s="1">
        <f t="shared" ref="O159:O176" si="12">($E$141*EXP($E$139*$B159)/($E$140+$E$139)^2)*(EXP(-($E$140+$E$139)*($B159+$D$129))*(-($E$140+$E$139)*($B159+$D$129)-1)-EXP(-($E$140+$E$139)*$B159)*(-($E$140+$E$139)*$B159-1))</f>
        <v>0.68350491300247407</v>
      </c>
      <c r="P159">
        <f>P158</f>
        <v>8.2637500000000003E-2</v>
      </c>
      <c r="Q159" s="1">
        <f t="shared" ref="Q159:Q176" si="13">P159*($B$30*$Q74)*(E$104/1000)</f>
        <v>56.457371658251276</v>
      </c>
      <c r="R159" s="1">
        <f t="shared" ref="R159:R176" si="14">Q159*O159</f>
        <v>38.588890903621383</v>
      </c>
      <c r="S159" s="1">
        <f t="shared" ref="S159:S176" si="15">R159*(1-$B$24)</f>
        <v>35.405307404072616</v>
      </c>
      <c r="T159" s="1">
        <f t="shared" si="6"/>
        <v>0.59939449104550002</v>
      </c>
      <c r="U159" s="1">
        <f t="shared" ref="U159:U176" si="16">T159*C159</f>
        <v>6.205660247680207</v>
      </c>
      <c r="V159" s="1">
        <f t="shared" ref="V159:V176" si="17">U159*(1-$B$27)</f>
        <v>3.816481052323327</v>
      </c>
      <c r="W159" s="1">
        <f t="shared" ref="W159:W176" si="18">($E$141*EXP($E$139*$B159)/($E$140+$E$139)^2)*(EXP(-($E$140+$E$139)*($B159+$D$130))*(-($E$140+$E$139)*($B159+$D$130)-1)-EXP(-($E$140+$E$139)*$B159)*(-($E$140+$E$139)*$B159-1))</f>
        <v>1.4505957361759505</v>
      </c>
      <c r="X159">
        <f>X158</f>
        <v>5.1999999999999998E-3</v>
      </c>
      <c r="Y159" s="1">
        <f t="shared" ref="Y159:Y176" si="19">X159*($B$30*$Q74)*(E$109/1000)</f>
        <v>6.1784522549441432</v>
      </c>
      <c r="Z159" s="1">
        <f t="shared" ref="Z159:Z176" si="20">Y159*W159</f>
        <v>8.9624364971886603</v>
      </c>
      <c r="AA159" s="1">
        <f t="shared" ref="AA159:AA176" si="21">Z159*(1-$B$27)</f>
        <v>5.5118984457710258</v>
      </c>
    </row>
    <row r="160" spans="1:27" ht="15.5">
      <c r="A160" s="161" t="s">
        <v>107</v>
      </c>
      <c r="B160" s="170">
        <v>7.29</v>
      </c>
      <c r="C160" s="1">
        <f t="shared" si="7"/>
        <v>12.724858250494215</v>
      </c>
      <c r="D160" s="1">
        <f t="shared" si="8"/>
        <v>1.4832773412562837E-2</v>
      </c>
      <c r="E160" s="1">
        <f t="shared" ref="E160:E176" si="22">($B$30*$Q75)*(B$98/1000)</f>
        <v>2.2875864336919847</v>
      </c>
      <c r="F160" s="1">
        <f t="shared" si="9"/>
        <v>29.109213104484088</v>
      </c>
      <c r="G160" s="1">
        <f>F160*(1-$B$23)</f>
        <v>16.301159338511091</v>
      </c>
      <c r="H160">
        <v>9.4147624999999999E-2</v>
      </c>
      <c r="I160" s="121">
        <f>($F$88/1000)*$B$30*$Q75*H160</f>
        <v>75.202277381973232</v>
      </c>
      <c r="J160" s="121">
        <f t="shared" si="10"/>
        <v>1.1154583405155081</v>
      </c>
      <c r="K160" s="1">
        <f>J160*(1-B$23)</f>
        <v>0.62465667068868458</v>
      </c>
      <c r="L160" s="1">
        <f t="shared" si="4"/>
        <v>0.11803926126924828</v>
      </c>
      <c r="M160" s="1">
        <f t="shared" si="5"/>
        <v>1.5020328676442363</v>
      </c>
      <c r="N160" s="1">
        <f t="shared" si="11"/>
        <v>1.3781151560635867</v>
      </c>
      <c r="O160" s="1">
        <f t="shared" si="12"/>
        <v>1.3634833418606551</v>
      </c>
      <c r="P160">
        <v>7.9825000000000007E-2</v>
      </c>
      <c r="Q160" s="1">
        <f t="shared" si="13"/>
        <v>55.10421052894872</v>
      </c>
      <c r="R160" s="1">
        <f t="shared" si="14"/>
        <v>75.133673122604094</v>
      </c>
      <c r="S160" s="1">
        <f t="shared" si="15"/>
        <v>68.935145089989248</v>
      </c>
      <c r="T160" s="1">
        <f t="shared" si="6"/>
        <v>0.60564079211021082</v>
      </c>
      <c r="U160" s="1">
        <f t="shared" si="16"/>
        <v>7.706693230319468</v>
      </c>
      <c r="V160" s="1">
        <f t="shared" si="17"/>
        <v>4.7396163366464723</v>
      </c>
      <c r="W160" s="1">
        <f t="shared" si="18"/>
        <v>2.6172968549407627</v>
      </c>
      <c r="X160" s="1">
        <f t="shared" ref="X160:X176" si="23">X159</f>
        <v>5.1999999999999998E-3</v>
      </c>
      <c r="Y160" s="1">
        <f t="shared" si="19"/>
        <v>6.2428380200368574</v>
      </c>
      <c r="Z160" s="1">
        <f t="shared" si="20"/>
        <v>16.339360315747086</v>
      </c>
      <c r="AA160" s="1">
        <f t="shared" si="21"/>
        <v>10.048706594184457</v>
      </c>
    </row>
    <row r="161" spans="1:27" ht="15.5">
      <c r="A161" s="162" t="s">
        <v>110</v>
      </c>
      <c r="B161" s="170">
        <v>12.94</v>
      </c>
      <c r="C161" s="1">
        <f t="shared" si="7"/>
        <v>14.108660311691958</v>
      </c>
      <c r="D161" s="1">
        <f t="shared" si="8"/>
        <v>2.0992549104309782E-2</v>
      </c>
      <c r="E161" s="1">
        <f t="shared" si="22"/>
        <v>1.9563766812211267</v>
      </c>
      <c r="F161" s="1">
        <f t="shared" si="9"/>
        <v>27.60185403706414</v>
      </c>
      <c r="G161" s="1">
        <f>F161*(1-$B$23)</f>
        <v>15.457038260755919</v>
      </c>
      <c r="H161">
        <f>H160</f>
        <v>9.4147624999999999E-2</v>
      </c>
      <c r="I161" s="121">
        <f t="shared" ref="I161:I176" si="24">($F$88/1000)*$B$30*$Q76*H161</f>
        <v>64.314064674430185</v>
      </c>
      <c r="J161" s="121">
        <f t="shared" si="10"/>
        <v>1.3501161607757308</v>
      </c>
      <c r="K161" s="1">
        <f>J161*(1-B$23)</f>
        <v>0.75606505003440938</v>
      </c>
      <c r="L161" s="1">
        <f t="shared" si="4"/>
        <v>0.10094886681200664</v>
      </c>
      <c r="M161" s="1">
        <f t="shared" si="5"/>
        <v>1.4242532707008355</v>
      </c>
      <c r="N161" s="1">
        <f t="shared" si="11"/>
        <v>1.3067523758680166</v>
      </c>
      <c r="O161" s="1">
        <f t="shared" si="12"/>
        <v>1.8534939199521363</v>
      </c>
      <c r="P161">
        <f>P160</f>
        <v>7.9825000000000007E-2</v>
      </c>
      <c r="Q161" s="1">
        <f t="shared" si="13"/>
        <v>47.12591005444407</v>
      </c>
      <c r="R161" s="1">
        <f t="shared" si="14"/>
        <v>87.347587758123339</v>
      </c>
      <c r="S161" s="1">
        <f t="shared" si="15"/>
        <v>80.141411768078157</v>
      </c>
      <c r="T161" s="1">
        <f t="shared" si="6"/>
        <v>0.5179526794834306</v>
      </c>
      <c r="U161" s="1">
        <f t="shared" si="16"/>
        <v>7.3076184123623831</v>
      </c>
      <c r="V161" s="1">
        <f t="shared" si="17"/>
        <v>4.4941853236028653</v>
      </c>
      <c r="W161" s="1">
        <f t="shared" si="18"/>
        <v>3.4475228841878658</v>
      </c>
      <c r="X161" s="1">
        <f t="shared" si="23"/>
        <v>5.1999999999999998E-3</v>
      </c>
      <c r="Y161" s="1">
        <f t="shared" si="19"/>
        <v>5.3389644855208385</v>
      </c>
      <c r="Z161" s="1">
        <f t="shared" si="20"/>
        <v>18.406202241699386</v>
      </c>
      <c r="AA161" s="1">
        <f t="shared" si="21"/>
        <v>11.319814378645122</v>
      </c>
    </row>
    <row r="162" spans="1:27" ht="15.5">
      <c r="A162" s="163" t="s">
        <v>112</v>
      </c>
      <c r="B162" s="170">
        <v>18.05</v>
      </c>
      <c r="C162" s="1">
        <f t="shared" si="7"/>
        <v>14.393282378976728</v>
      </c>
      <c r="D162" s="1">
        <f t="shared" si="8"/>
        <v>2.3864939986242891E-2</v>
      </c>
      <c r="E162" s="1">
        <f t="shared" si="22"/>
        <v>1.6264451167196325</v>
      </c>
      <c r="F162" s="1">
        <f t="shared" si="9"/>
        <v>23.409883838853435</v>
      </c>
      <c r="G162" s="1">
        <f>F162*(1-$B$23/2)</f>
        <v>18.259709394305681</v>
      </c>
      <c r="H162">
        <v>8.5758749999999995E-2</v>
      </c>
      <c r="I162" s="121">
        <f t="shared" si="24"/>
        <v>48.70370123484382</v>
      </c>
      <c r="J162" s="121">
        <f t="shared" si="10"/>
        <v>1.1623109070774515</v>
      </c>
      <c r="K162" s="1">
        <f t="shared" ref="K162:K176" si="25">J162*(1-B$23/2)</f>
        <v>0.90660250752041227</v>
      </c>
      <c r="L162" s="1">
        <f t="shared" si="4"/>
        <v>8.3924426742955457E-2</v>
      </c>
      <c r="M162" s="1">
        <f t="shared" si="5"/>
        <v>1.2079479726051041</v>
      </c>
      <c r="N162" s="1">
        <f t="shared" si="11"/>
        <v>1.108292264865183</v>
      </c>
      <c r="O162" s="1">
        <f t="shared" si="12"/>
        <v>2.0754340742302122</v>
      </c>
      <c r="P162">
        <v>7.9612500000000003E-2</v>
      </c>
      <c r="Q162" s="1">
        <f t="shared" si="13"/>
        <v>39.074103265245917</v>
      </c>
      <c r="R162" s="1">
        <f t="shared" si="14"/>
        <v>81.095725336681369</v>
      </c>
      <c r="S162" s="1">
        <f t="shared" si="15"/>
        <v>74.405327996405148</v>
      </c>
      <c r="T162" s="1">
        <f t="shared" si="6"/>
        <v>0.43060296839760626</v>
      </c>
      <c r="U162" s="1">
        <f t="shared" si="16"/>
        <v>6.1977901173723389</v>
      </c>
      <c r="V162" s="1">
        <f t="shared" si="17"/>
        <v>3.8116409221839884</v>
      </c>
      <c r="W162" s="1">
        <f t="shared" si="18"/>
        <v>3.8125806213555706</v>
      </c>
      <c r="X162" s="1">
        <v>5.899999999999999E-3</v>
      </c>
      <c r="Y162" s="1">
        <f t="shared" si="19"/>
        <v>5.0360801714447545</v>
      </c>
      <c r="Z162" s="1">
        <f t="shared" si="20"/>
        <v>19.20046166924331</v>
      </c>
      <c r="AA162" s="1">
        <f t="shared" si="21"/>
        <v>11.808283926584636</v>
      </c>
    </row>
    <row r="163" spans="1:27" ht="15.5">
      <c r="A163" s="163" t="s">
        <v>114</v>
      </c>
      <c r="B163" s="170">
        <v>22.54</v>
      </c>
      <c r="C163" s="1">
        <f>($E$141*EXP($E$139*$B163)/($E$140+$E$139)^2)*(EXP(-($E$140+$E$139)*($B163+AVERAGE($B141:$C141)))*(-($E$140+$E$139)*($B163+AVERAGE($B141:$C141))-1)-EXP(-($E$140+$E$139)*$B163)*(-($E$140+$E$139)*$B163-1))</f>
        <v>14.114030970112156</v>
      </c>
      <c r="D163" s="1">
        <f t="shared" si="8"/>
        <v>2.4899947272747327E-2</v>
      </c>
      <c r="E163" s="1">
        <f t="shared" si="22"/>
        <v>1.3904891356567493</v>
      </c>
      <c r="F163" s="1">
        <f t="shared" si="9"/>
        <v>19.62540672426384</v>
      </c>
      <c r="G163" s="1">
        <f t="shared" ref="G163:G176" si="26">F163*(1-$B$23/2)</f>
        <v>15.307817244925795</v>
      </c>
      <c r="H163">
        <f t="shared" ref="H163:H170" si="27">H162</f>
        <v>8.5758749999999995E-2</v>
      </c>
      <c r="I163" s="121">
        <f t="shared" si="24"/>
        <v>41.638028075555702</v>
      </c>
      <c r="J163" s="121">
        <f t="shared" si="10"/>
        <v>1.0367847036225097</v>
      </c>
      <c r="K163" s="1">
        <f t="shared" si="25"/>
        <v>0.80869206882555766</v>
      </c>
      <c r="L163" s="1">
        <f t="shared" si="4"/>
        <v>7.1749118616227139E-2</v>
      </c>
      <c r="M163" s="1">
        <f t="shared" si="5"/>
        <v>1.0126692822276804</v>
      </c>
      <c r="N163" s="1">
        <f t="shared" si="11"/>
        <v>0.92912406644389678</v>
      </c>
      <c r="O163" s="1">
        <f t="shared" si="12"/>
        <v>2.1487706159375377</v>
      </c>
      <c r="P163">
        <f t="shared" ref="P163:P170" si="28">P162</f>
        <v>7.9612500000000003E-2</v>
      </c>
      <c r="Q163" s="1">
        <f t="shared" si="13"/>
        <v>33.405440809116563</v>
      </c>
      <c r="R163" s="1">
        <f t="shared" si="14"/>
        <v>71.780629623070354</v>
      </c>
      <c r="S163" s="1">
        <f t="shared" si="15"/>
        <v>65.858727679167046</v>
      </c>
      <c r="T163" s="1">
        <f t="shared" si="6"/>
        <v>0.36813338684678815</v>
      </c>
      <c r="U163" s="1">
        <f t="shared" si="16"/>
        <v>5.1958460230878467</v>
      </c>
      <c r="V163" s="1">
        <f t="shared" si="17"/>
        <v>3.1954453041990258</v>
      </c>
      <c r="W163" s="1">
        <f t="shared" si="18"/>
        <v>3.9217762444997675</v>
      </c>
      <c r="X163" s="1">
        <f t="shared" si="23"/>
        <v>5.899999999999999E-3</v>
      </c>
      <c r="Y163" s="1">
        <f t="shared" si="19"/>
        <v>4.305472525758411</v>
      </c>
      <c r="Z163" s="1">
        <f t="shared" si="20"/>
        <v>16.885099872865748</v>
      </c>
      <c r="AA163" s="1">
        <f t="shared" si="21"/>
        <v>10.384336421812435</v>
      </c>
    </row>
    <row r="164" spans="1:27" ht="15.5">
      <c r="A164" s="163" t="s">
        <v>116</v>
      </c>
      <c r="B164" s="170">
        <v>27.49</v>
      </c>
      <c r="C164" s="1">
        <f t="shared" si="7"/>
        <v>13.427840707880669</v>
      </c>
      <c r="D164" s="1">
        <f t="shared" si="8"/>
        <v>2.4911534040205515E-2</v>
      </c>
      <c r="E164" s="1">
        <f t="shared" si="22"/>
        <v>1.1783663399784841</v>
      </c>
      <c r="F164" s="1">
        <f t="shared" si="9"/>
        <v>15.822915508759442</v>
      </c>
      <c r="G164" s="1">
        <f t="shared" si="26"/>
        <v>12.341874096832365</v>
      </c>
      <c r="H164" s="1">
        <f t="shared" si="27"/>
        <v>8.5758749999999995E-2</v>
      </c>
      <c r="I164" s="121">
        <f t="shared" si="24"/>
        <v>35.286036754353965</v>
      </c>
      <c r="J164" s="121">
        <f t="shared" si="10"/>
        <v>0.87902930575003169</v>
      </c>
      <c r="K164" s="1">
        <f t="shared" si="25"/>
        <v>0.68564285848502471</v>
      </c>
      <c r="L164" s="1">
        <f t="shared" si="4"/>
        <v>6.0803600785095648E-2</v>
      </c>
      <c r="M164" s="1">
        <f t="shared" si="5"/>
        <v>0.8164610658078324</v>
      </c>
      <c r="N164" s="1">
        <f t="shared" si="11"/>
        <v>0.74910302787868621</v>
      </c>
      <c r="O164" s="1">
        <f t="shared" si="12"/>
        <v>2.1376933845712758</v>
      </c>
      <c r="P164" s="1">
        <f t="shared" si="28"/>
        <v>7.9612500000000003E-2</v>
      </c>
      <c r="Q164" s="1">
        <f t="shared" si="13"/>
        <v>28.309352451728742</v>
      </c>
      <c r="R164" s="1">
        <f t="shared" si="14"/>
        <v>60.516715457557162</v>
      </c>
      <c r="S164" s="1">
        <f t="shared" si="15"/>
        <v>55.524086432308692</v>
      </c>
      <c r="T164" s="1">
        <f t="shared" si="6"/>
        <v>0.31197366492018275</v>
      </c>
      <c r="U164" s="1">
        <f t="shared" si="16"/>
        <v>4.1891326776019531</v>
      </c>
      <c r="V164" s="1">
        <f t="shared" si="17"/>
        <v>2.5763165967252011</v>
      </c>
      <c r="W164" s="1">
        <f t="shared" si="18"/>
        <v>3.8829279521177043</v>
      </c>
      <c r="X164" s="1">
        <f t="shared" si="23"/>
        <v>5.899999999999999E-3</v>
      </c>
      <c r="Y164" s="1">
        <f t="shared" si="19"/>
        <v>3.6486613033906252</v>
      </c>
      <c r="Z164" s="1">
        <f t="shared" si="20"/>
        <v>14.167488962745674</v>
      </c>
      <c r="AA164" s="1">
        <f t="shared" si="21"/>
        <v>8.7130057120885898</v>
      </c>
    </row>
    <row r="165" spans="1:27" ht="15.5">
      <c r="A165" s="163" t="s">
        <v>117</v>
      </c>
      <c r="B165" s="170">
        <v>32.57</v>
      </c>
      <c r="C165" s="1">
        <f t="shared" si="7"/>
        <v>12.467721640650874</v>
      </c>
      <c r="D165" s="1">
        <f t="shared" si="8"/>
        <v>2.4086551524992658E-2</v>
      </c>
      <c r="E165" s="1">
        <f t="shared" si="22"/>
        <v>0.97903896173051042</v>
      </c>
      <c r="F165" s="1">
        <f t="shared" si="9"/>
        <v>12.206385250207846</v>
      </c>
      <c r="G165" s="1">
        <f t="shared" si="26"/>
        <v>9.5209804951621209</v>
      </c>
      <c r="H165" s="1">
        <f t="shared" si="27"/>
        <v>8.5758749999999995E-2</v>
      </c>
      <c r="I165" s="121">
        <f t="shared" si="24"/>
        <v>29.317202652104037</v>
      </c>
      <c r="J165" s="121">
        <f t="shared" si="10"/>
        <v>0.70615031224855529</v>
      </c>
      <c r="K165" s="1">
        <f t="shared" si="25"/>
        <v>0.55079724355387316</v>
      </c>
      <c r="L165" s="1">
        <f t="shared" si="4"/>
        <v>5.0518325381904108E-2</v>
      </c>
      <c r="M165" s="1">
        <f t="shared" si="5"/>
        <v>0.62984841861340812</v>
      </c>
      <c r="N165" s="1">
        <f t="shared" si="11"/>
        <v>0.57788592407780193</v>
      </c>
      <c r="O165" s="1">
        <f t="shared" si="12"/>
        <v>2.0586061616382505</v>
      </c>
      <c r="P165" s="1">
        <f t="shared" si="28"/>
        <v>7.9612500000000003E-2</v>
      </c>
      <c r="Q165" s="1">
        <f t="shared" si="13"/>
        <v>23.520664237667937</v>
      </c>
      <c r="R165" s="1">
        <f t="shared" si="14"/>
        <v>48.419784325487662</v>
      </c>
      <c r="S165" s="1">
        <f t="shared" si="15"/>
        <v>44.425152118634927</v>
      </c>
      <c r="T165" s="1">
        <f t="shared" si="6"/>
        <v>0.25920154253243083</v>
      </c>
      <c r="U165" s="1">
        <f t="shared" si="16"/>
        <v>3.2316526811216759</v>
      </c>
      <c r="V165" s="1">
        <f t="shared" si="17"/>
        <v>1.9874663988898307</v>
      </c>
      <c r="W165" s="1">
        <f t="shared" si="18"/>
        <v>3.7264054661368244</v>
      </c>
      <c r="X165" s="1">
        <f t="shared" si="23"/>
        <v>5.899999999999999E-3</v>
      </c>
      <c r="Y165" s="1">
        <f t="shared" si="19"/>
        <v>3.0314694615624149</v>
      </c>
      <c r="Z165" s="1">
        <f t="shared" si="20"/>
        <v>11.296484371993039</v>
      </c>
      <c r="AA165" s="1">
        <f t="shared" si="21"/>
        <v>6.9473378887757189</v>
      </c>
    </row>
    <row r="166" spans="1:27" ht="15.5">
      <c r="A166" s="160" t="s">
        <v>118</v>
      </c>
      <c r="B166" s="170">
        <v>37.520000000000003</v>
      </c>
      <c r="C166" s="1">
        <f t="shared" si="7"/>
        <v>11.399845770270314</v>
      </c>
      <c r="D166" s="1">
        <f t="shared" si="8"/>
        <v>2.2762237479151116E-2</v>
      </c>
      <c r="E166" s="1">
        <f t="shared" si="22"/>
        <v>0.74372151057994806</v>
      </c>
      <c r="F166" s="1">
        <f t="shared" si="9"/>
        <v>8.4783105166438695</v>
      </c>
      <c r="G166" s="1">
        <f t="shared" si="26"/>
        <v>6.613082202982218</v>
      </c>
      <c r="H166" s="1">
        <f t="shared" si="27"/>
        <v>8.5758749999999995E-2</v>
      </c>
      <c r="I166" s="121">
        <f t="shared" si="24"/>
        <v>22.270650193391361</v>
      </c>
      <c r="J166" s="121">
        <f t="shared" si="10"/>
        <v>0.50692982851707691</v>
      </c>
      <c r="K166" s="1">
        <f t="shared" si="25"/>
        <v>0.39540526624332001</v>
      </c>
      <c r="L166" s="1">
        <f t="shared" si="4"/>
        <v>3.8375965343186186E-2</v>
      </c>
      <c r="M166" s="1">
        <f t="shared" si="5"/>
        <v>0.43748008619756118</v>
      </c>
      <c r="N166" s="1">
        <f t="shared" si="11"/>
        <v>0.40138797908626239</v>
      </c>
      <c r="O166" s="1">
        <f t="shared" si="12"/>
        <v>1.9398245562330187</v>
      </c>
      <c r="P166" s="1">
        <f t="shared" si="28"/>
        <v>7.9612500000000003E-2</v>
      </c>
      <c r="Q166" s="1">
        <f t="shared" si="13"/>
        <v>17.867341975606916</v>
      </c>
      <c r="R166" s="1">
        <f t="shared" si="14"/>
        <v>34.659508718895275</v>
      </c>
      <c r="S166" s="1">
        <f t="shared" si="15"/>
        <v>31.800099249586413</v>
      </c>
      <c r="T166" s="1">
        <f t="shared" si="6"/>
        <v>0.19690101241336999</v>
      </c>
      <c r="U166" s="1">
        <f t="shared" si="16"/>
        <v>2.2446411735224987</v>
      </c>
      <c r="V166" s="1">
        <f t="shared" si="17"/>
        <v>1.3804543217163368</v>
      </c>
      <c r="W166" s="1">
        <f t="shared" si="18"/>
        <v>3.5026746773274895</v>
      </c>
      <c r="X166" s="1">
        <f t="shared" si="23"/>
        <v>5.899999999999999E-3</v>
      </c>
      <c r="Y166" s="1">
        <f t="shared" si="19"/>
        <v>2.3028389424309466</v>
      </c>
      <c r="Z166" s="1">
        <f t="shared" si="20"/>
        <v>8.0660956496164928</v>
      </c>
      <c r="AA166" s="1">
        <f t="shared" si="21"/>
        <v>4.9606488245141431</v>
      </c>
    </row>
    <row r="167" spans="1:27" ht="15.5">
      <c r="A167" s="160" t="s">
        <v>119</v>
      </c>
      <c r="B167" s="170">
        <v>42.61</v>
      </c>
      <c r="C167" s="1">
        <f t="shared" si="7"/>
        <v>10.26035700156865</v>
      </c>
      <c r="D167" s="1">
        <f t="shared" si="8"/>
        <v>2.1087735605250988E-2</v>
      </c>
      <c r="E167" s="1">
        <f t="shared" si="22"/>
        <v>0.52561841973346091</v>
      </c>
      <c r="F167" s="1">
        <f t="shared" si="9"/>
        <v>5.3930326330656655</v>
      </c>
      <c r="G167" s="1">
        <f t="shared" si="26"/>
        <v>4.2065654537912192</v>
      </c>
      <c r="H167" s="1">
        <f t="shared" si="27"/>
        <v>8.5758749999999995E-2</v>
      </c>
      <c r="I167" s="121">
        <f t="shared" si="24"/>
        <v>15.739579660616412</v>
      </c>
      <c r="J167" s="121">
        <f t="shared" si="10"/>
        <v>0.331912094420865</v>
      </c>
      <c r="K167" s="1">
        <f t="shared" si="25"/>
        <v>0.25889143364827472</v>
      </c>
      <c r="L167" s="1">
        <f t="shared" si="4"/>
        <v>2.7121864800847717E-2</v>
      </c>
      <c r="M167" s="1">
        <f t="shared" si="5"/>
        <v>0.27828001540497621</v>
      </c>
      <c r="N167" s="1">
        <f t="shared" si="11"/>
        <v>0.25532191413406569</v>
      </c>
      <c r="O167" s="1">
        <f t="shared" si="12"/>
        <v>1.7930461548934542</v>
      </c>
      <c r="P167" s="1">
        <f t="shared" si="28"/>
        <v>7.9612500000000003E-2</v>
      </c>
      <c r="Q167" s="1">
        <f t="shared" si="13"/>
        <v>12.627581588614397</v>
      </c>
      <c r="R167" s="1">
        <f t="shared" si="14"/>
        <v>22.641836613068421</v>
      </c>
      <c r="S167" s="1">
        <f t="shared" si="15"/>
        <v>20.773885092490275</v>
      </c>
      <c r="T167" s="1">
        <f t="shared" si="6"/>
        <v>0.13915800137060672</v>
      </c>
      <c r="U167" s="1">
        <f t="shared" si="16"/>
        <v>1.4278107736872043</v>
      </c>
      <c r="V167" s="1">
        <f t="shared" si="17"/>
        <v>0.87810362581763068</v>
      </c>
      <c r="W167" s="1">
        <f t="shared" si="18"/>
        <v>3.2312756864633911</v>
      </c>
      <c r="X167" s="1">
        <f t="shared" si="23"/>
        <v>5.899999999999999E-3</v>
      </c>
      <c r="Y167" s="1">
        <f t="shared" si="19"/>
        <v>1.6275104976826031</v>
      </c>
      <c r="Z167" s="1">
        <f t="shared" si="20"/>
        <v>5.2589351006257292</v>
      </c>
      <c r="AA167" s="1">
        <f t="shared" si="21"/>
        <v>3.2342450868848234</v>
      </c>
    </row>
    <row r="168" spans="1:27" ht="15.5">
      <c r="A168" s="160" t="s">
        <v>120</v>
      </c>
      <c r="B168" s="170">
        <v>47.68</v>
      </c>
      <c r="C168" s="1">
        <f t="shared" si="7"/>
        <v>9.111499773278128</v>
      </c>
      <c r="D168" s="1">
        <f t="shared" si="8"/>
        <v>1.9265081149608482E-2</v>
      </c>
      <c r="E168" s="1">
        <f t="shared" si="22"/>
        <v>0.38538551828266071</v>
      </c>
      <c r="F168" s="1">
        <f t="shared" si="9"/>
        <v>3.5114400624571371</v>
      </c>
      <c r="G168" s="1">
        <f t="shared" si="26"/>
        <v>2.7389232487165671</v>
      </c>
      <c r="H168" s="879">
        <f t="shared" si="27"/>
        <v>8.5758749999999995E-2</v>
      </c>
      <c r="I168" s="121">
        <f t="shared" si="24"/>
        <v>11.540322479820681</v>
      </c>
      <c r="J168" s="121">
        <f t="shared" si="10"/>
        <v>0.22232524906639639</v>
      </c>
      <c r="K168" s="1">
        <f t="shared" si="25"/>
        <v>0.17341369427178918</v>
      </c>
      <c r="L168" s="1">
        <f t="shared" si="4"/>
        <v>1.9885859267198644E-2</v>
      </c>
      <c r="M168" s="1">
        <f t="shared" si="5"/>
        <v>0.18119000220452119</v>
      </c>
      <c r="N168" s="1">
        <f t="shared" si="11"/>
        <v>0.1662418270226482</v>
      </c>
      <c r="O168" s="1">
        <f t="shared" si="12"/>
        <v>1.6351512353291788</v>
      </c>
      <c r="P168" s="879">
        <f t="shared" si="28"/>
        <v>7.9612500000000003E-2</v>
      </c>
      <c r="Q168" s="1">
        <f t="shared" si="13"/>
        <v>9.2585931019170147</v>
      </c>
      <c r="R168" s="1">
        <f t="shared" si="14"/>
        <v>15.13919994800982</v>
      </c>
      <c r="S168" s="1">
        <f t="shared" si="15"/>
        <v>13.890215952299009</v>
      </c>
      <c r="T168" s="1">
        <f t="shared" si="6"/>
        <v>0.10203120071131788</v>
      </c>
      <c r="U168" s="1">
        <f t="shared" si="16"/>
        <v>0.929657262148468</v>
      </c>
      <c r="V168" s="1">
        <f t="shared" si="17"/>
        <v>0.57173921622130786</v>
      </c>
      <c r="W168" s="1">
        <f t="shared" si="18"/>
        <v>2.9421615669760151</v>
      </c>
      <c r="X168" s="1">
        <f t="shared" si="23"/>
        <v>5.899999999999999E-3</v>
      </c>
      <c r="Y168" s="1">
        <f t="shared" si="19"/>
        <v>1.1932971774047443</v>
      </c>
      <c r="Z168" s="1">
        <f t="shared" si="20"/>
        <v>3.5108730933411985</v>
      </c>
      <c r="AA168" s="1">
        <f t="shared" si="21"/>
        <v>2.1591869524048368</v>
      </c>
    </row>
    <row r="169" spans="1:27" ht="15.5">
      <c r="A169" s="160" t="s">
        <v>121</v>
      </c>
      <c r="B169" s="170">
        <v>52.64</v>
      </c>
      <c r="C169" s="1">
        <f t="shared" si="7"/>
        <v>7.9650442244023312</v>
      </c>
      <c r="D169" s="1">
        <f t="shared" si="8"/>
        <v>1.744132223653971E-2</v>
      </c>
      <c r="E169" s="1">
        <f t="shared" si="22"/>
        <v>0.31489677979919362</v>
      </c>
      <c r="F169" s="1">
        <f t="shared" si="9"/>
        <v>2.5081667772224598</v>
      </c>
      <c r="G169" s="1">
        <f t="shared" si="26"/>
        <v>1.9563700862335187</v>
      </c>
      <c r="H169">
        <f t="shared" si="27"/>
        <v>8.5758749999999995E-2</v>
      </c>
      <c r="I169" s="121">
        <f t="shared" si="24"/>
        <v>9.4295457777798859</v>
      </c>
      <c r="J169" s="121">
        <f t="shared" si="10"/>
        <v>0.16446374645446146</v>
      </c>
      <c r="K169" s="1">
        <f t="shared" si="25"/>
        <v>0.12828172223447995</v>
      </c>
      <c r="L169" s="1">
        <f t="shared" si="4"/>
        <v>1.624864648439631E-2</v>
      </c>
      <c r="M169" s="1">
        <f t="shared" si="5"/>
        <v>0.12942118783489606</v>
      </c>
      <c r="N169" s="1">
        <f t="shared" si="11"/>
        <v>0.11874393983851714</v>
      </c>
      <c r="O169" s="1">
        <f t="shared" si="12"/>
        <v>1.4782647154184263</v>
      </c>
      <c r="P169">
        <f t="shared" si="28"/>
        <v>7.9612500000000003E-2</v>
      </c>
      <c r="Q169" s="1">
        <f t="shared" si="13"/>
        <v>7.5651549291645228</v>
      </c>
      <c r="R169" s="1">
        <f t="shared" si="14"/>
        <v>11.183301598457698</v>
      </c>
      <c r="S169" s="1">
        <f t="shared" si="15"/>
        <v>10.260679216584938</v>
      </c>
      <c r="T169" s="1">
        <f t="shared" si="6"/>
        <v>8.3369236826055265E-2</v>
      </c>
      <c r="U169" s="1">
        <f t="shared" si="16"/>
        <v>0.66403965827420164</v>
      </c>
      <c r="V169" s="1">
        <f t="shared" si="17"/>
        <v>0.40838438983863401</v>
      </c>
      <c r="W169" s="1">
        <f t="shared" si="18"/>
        <v>2.6565905580646327</v>
      </c>
      <c r="X169" s="1">
        <f t="shared" si="23"/>
        <v>5.899999999999999E-3</v>
      </c>
      <c r="Y169" s="1">
        <f t="shared" si="19"/>
        <v>0.97503777563488037</v>
      </c>
      <c r="Z169" s="1">
        <f t="shared" si="20"/>
        <v>2.5902761485079648</v>
      </c>
      <c r="AA169" s="1">
        <f t="shared" si="21"/>
        <v>1.5930198313323984</v>
      </c>
    </row>
    <row r="170" spans="1:27" ht="15.5">
      <c r="A170" s="160" t="s">
        <v>122</v>
      </c>
      <c r="B170" s="170">
        <v>57.64</v>
      </c>
      <c r="C170" s="1">
        <f t="shared" si="7"/>
        <v>6.8266022419576435</v>
      </c>
      <c r="D170" s="1">
        <f t="shared" si="8"/>
        <v>1.5635894304453991E-2</v>
      </c>
      <c r="E170" s="1">
        <f t="shared" si="22"/>
        <v>0.27368339683645199</v>
      </c>
      <c r="F170" s="1">
        <f t="shared" si="9"/>
        <v>1.8683276904303066</v>
      </c>
      <c r="G170" s="1">
        <f t="shared" si="26"/>
        <v>1.4572955985356391</v>
      </c>
      <c r="H170" s="1">
        <f t="shared" si="27"/>
        <v>8.5758749999999995E-2</v>
      </c>
      <c r="I170" s="121">
        <f t="shared" si="24"/>
        <v>8.195416036751201</v>
      </c>
      <c r="J170" s="121">
        <f t="shared" si="10"/>
        <v>0.12814265893166901</v>
      </c>
      <c r="K170" s="1">
        <f t="shared" si="25"/>
        <v>9.9951273966701837E-2</v>
      </c>
      <c r="L170" s="1">
        <f t="shared" si="4"/>
        <v>1.4122039503484446E-2</v>
      </c>
      <c r="M170" s="1">
        <f t="shared" si="5"/>
        <v>9.6405546535501332E-2</v>
      </c>
      <c r="N170" s="1">
        <f t="shared" si="11"/>
        <v>8.8452088946322477E-2</v>
      </c>
      <c r="O170" s="1">
        <f t="shared" si="12"/>
        <v>1.3236788171666429</v>
      </c>
      <c r="P170">
        <f t="shared" si="28"/>
        <v>7.9612500000000003E-2</v>
      </c>
      <c r="Q170" s="1">
        <f t="shared" si="13"/>
        <v>6.5750348413473256</v>
      </c>
      <c r="R170" s="1">
        <f t="shared" si="14"/>
        <v>8.7032343416240945</v>
      </c>
      <c r="S170" s="1">
        <f t="shared" si="15"/>
        <v>7.9852175084401065</v>
      </c>
      <c r="T170" s="1">
        <f t="shared" si="6"/>
        <v>7.2457952541678722E-2</v>
      </c>
      <c r="U170" s="1">
        <f t="shared" si="16"/>
        <v>0.49464162126868449</v>
      </c>
      <c r="V170" s="1">
        <f t="shared" si="17"/>
        <v>0.30420459708024095</v>
      </c>
      <c r="W170" s="1">
        <f t="shared" si="18"/>
        <v>2.3763272285984032</v>
      </c>
      <c r="X170" s="1">
        <f t="shared" si="23"/>
        <v>5.899999999999999E-3</v>
      </c>
      <c r="Y170" s="1">
        <f t="shared" si="19"/>
        <v>0.84742578393396362</v>
      </c>
      <c r="Z170" s="1">
        <f t="shared" si="20"/>
        <v>2.013760964578625</v>
      </c>
      <c r="AA170" s="1">
        <f t="shared" si="21"/>
        <v>1.2384629932158544</v>
      </c>
    </row>
    <row r="171" spans="1:27" ht="15.5">
      <c r="A171" s="160" t="s">
        <v>124</v>
      </c>
      <c r="B171" s="170">
        <v>62.67</v>
      </c>
      <c r="C171" s="1">
        <f t="shared" si="7"/>
        <v>5.7118272170917006</v>
      </c>
      <c r="D171" s="1">
        <f t="shared" si="8"/>
        <v>1.3901876765442253E-2</v>
      </c>
      <c r="E171" s="1">
        <f t="shared" si="22"/>
        <v>0.24516502642379609</v>
      </c>
      <c r="F171" s="1">
        <f t="shared" si="9"/>
        <v>1.4003402706064445</v>
      </c>
      <c r="G171" s="1">
        <f t="shared" si="26"/>
        <v>1.0922654110730268</v>
      </c>
      <c r="H171">
        <v>8.8346250000000001E-2</v>
      </c>
      <c r="I171" s="121">
        <f t="shared" si="24"/>
        <v>7.5629416236740559</v>
      </c>
      <c r="J171" s="121">
        <f t="shared" si="10"/>
        <v>0.10513908243655047</v>
      </c>
      <c r="K171" s="1">
        <f t="shared" si="25"/>
        <v>8.2008484300509374E-2</v>
      </c>
      <c r="L171" s="1">
        <f t="shared" si="4"/>
        <v>1.2650494067415497E-2</v>
      </c>
      <c r="M171" s="1">
        <f t="shared" si="5"/>
        <v>7.2257436323920926E-2</v>
      </c>
      <c r="N171" s="1">
        <f t="shared" si="11"/>
        <v>6.6296197827197451E-2</v>
      </c>
      <c r="O171" s="1">
        <f t="shared" si="12"/>
        <v>1.1757078977029831</v>
      </c>
      <c r="P171">
        <v>8.1412499999999999E-2</v>
      </c>
      <c r="Q171" s="1">
        <f t="shared" si="13"/>
        <v>6.0230705897313603</v>
      </c>
      <c r="R171" s="1">
        <f t="shared" si="14"/>
        <v>7.0813716607697241</v>
      </c>
      <c r="S171" s="1">
        <f t="shared" si="15"/>
        <v>6.4971584987562219</v>
      </c>
      <c r="T171" s="1">
        <f t="shared" si="6"/>
        <v>6.4907685503882998E-2</v>
      </c>
      <c r="U171" s="1">
        <f t="shared" si="16"/>
        <v>0.37074148465950735</v>
      </c>
      <c r="V171" s="1">
        <f t="shared" si="17"/>
        <v>0.22800601306559701</v>
      </c>
      <c r="W171" s="1">
        <f t="shared" si="18"/>
        <v>2.108835174160101</v>
      </c>
      <c r="X171" s="1">
        <f t="shared" si="23"/>
        <v>5.899999999999999E-3</v>
      </c>
      <c r="Y171" s="1">
        <f t="shared" si="19"/>
        <v>0.75912228184791664</v>
      </c>
      <c r="Z171" s="1">
        <f t="shared" si="20"/>
        <v>1.6008637694495647</v>
      </c>
      <c r="AA171" s="1">
        <f t="shared" si="21"/>
        <v>0.98453121821148226</v>
      </c>
    </row>
    <row r="172" spans="1:27" ht="15.5">
      <c r="A172" s="160" t="s">
        <v>125</v>
      </c>
      <c r="B172" s="170">
        <v>67.680000000000007</v>
      </c>
      <c r="C172" s="1">
        <f t="shared" si="7"/>
        <v>4.6338111000864313</v>
      </c>
      <c r="D172" s="1">
        <f t="shared" si="8"/>
        <v>1.2286756861320193E-2</v>
      </c>
      <c r="E172" s="1">
        <f t="shared" si="22"/>
        <v>0.19327939439646627</v>
      </c>
      <c r="F172" s="1">
        <f t="shared" si="9"/>
        <v>0.8956202031723286</v>
      </c>
      <c r="G172" s="1">
        <f t="shared" si="26"/>
        <v>0.69858375847441634</v>
      </c>
      <c r="H172">
        <f>H171</f>
        <v>8.8346250000000001E-2</v>
      </c>
      <c r="I172" s="121">
        <f t="shared" si="24"/>
        <v>5.9623544116473051</v>
      </c>
      <c r="J172" s="121">
        <f t="shared" si="10"/>
        <v>7.325799897693025E-2</v>
      </c>
      <c r="K172" s="1">
        <f t="shared" si="25"/>
        <v>5.7141239202005596E-2</v>
      </c>
      <c r="L172" s="1">
        <f t="shared" si="4"/>
        <v>9.9731999618067595E-3</v>
      </c>
      <c r="M172" s="1">
        <f t="shared" si="5"/>
        <v>4.6213924686401738E-2</v>
      </c>
      <c r="N172" s="1">
        <f t="shared" si="11"/>
        <v>4.2401275899773591E-2</v>
      </c>
      <c r="O172" s="1">
        <f t="shared" si="12"/>
        <v>1.0382330768594432</v>
      </c>
      <c r="P172">
        <f>P171</f>
        <v>8.1412499999999999E-2</v>
      </c>
      <c r="Q172" s="1">
        <f t="shared" si="13"/>
        <v>4.7483748109247106</v>
      </c>
      <c r="R172" s="1">
        <f t="shared" si="14"/>
        <v>4.9299197900282392</v>
      </c>
      <c r="S172" s="1">
        <f t="shared" si="15"/>
        <v>4.5232014073509097</v>
      </c>
      <c r="T172" s="1">
        <f t="shared" si="6"/>
        <v>5.1170912625117922E-2</v>
      </c>
      <c r="U172" s="1">
        <f t="shared" si="16"/>
        <v>0.23711634292382433</v>
      </c>
      <c r="V172" s="1">
        <f t="shared" si="17"/>
        <v>0.14582655089815197</v>
      </c>
      <c r="W172" s="1">
        <f t="shared" si="18"/>
        <v>1.8608634017172543</v>
      </c>
      <c r="X172" s="1">
        <f t="shared" si="23"/>
        <v>5.899999999999999E-3</v>
      </c>
      <c r="Y172" s="1">
        <f t="shared" si="19"/>
        <v>0.59846503006020846</v>
      </c>
      <c r="Z172" s="1">
        <f t="shared" si="20"/>
        <v>1.1136616716466583</v>
      </c>
      <c r="AA172" s="1">
        <f t="shared" si="21"/>
        <v>0.6849019280626949</v>
      </c>
    </row>
    <row r="173" spans="1:27" ht="15.5">
      <c r="A173" s="160" t="s">
        <v>126</v>
      </c>
      <c r="B173" s="170">
        <v>72.56</v>
      </c>
      <c r="C173" s="1">
        <f t="shared" si="7"/>
        <v>3.627712105557285</v>
      </c>
      <c r="D173" s="1">
        <f t="shared" si="8"/>
        <v>1.0836682828614622E-2</v>
      </c>
      <c r="E173" s="1">
        <f t="shared" si="22"/>
        <v>0.13470837675002978</v>
      </c>
      <c r="F173" s="1">
        <f t="shared" si="9"/>
        <v>0.48868320905605456</v>
      </c>
      <c r="G173" s="1">
        <f t="shared" si="26"/>
        <v>0.38117290306372259</v>
      </c>
      <c r="H173" s="1">
        <f>H172</f>
        <v>8.8346250000000001E-2</v>
      </c>
      <c r="I173" s="121">
        <f t="shared" si="24"/>
        <v>4.1555339456096299</v>
      </c>
      <c r="J173" s="121">
        <f t="shared" si="10"/>
        <v>4.503220335211304E-2</v>
      </c>
      <c r="K173" s="1">
        <f t="shared" si="25"/>
        <v>3.5125118614648169E-2</v>
      </c>
      <c r="L173" s="1">
        <f t="shared" si="4"/>
        <v>6.9509405389724787E-3</v>
      </c>
      <c r="M173" s="1">
        <f t="shared" si="5"/>
        <v>2.521601113823934E-2</v>
      </c>
      <c r="N173" s="1">
        <f t="shared" si="11"/>
        <v>2.3135690219334593E-2</v>
      </c>
      <c r="O173" s="1">
        <f t="shared" si="12"/>
        <v>0.91504779137534453</v>
      </c>
      <c r="P173" s="1">
        <f>P172</f>
        <v>8.1412499999999999E-2</v>
      </c>
      <c r="Q173" s="1">
        <f t="shared" si="13"/>
        <v>3.3094363989381992</v>
      </c>
      <c r="R173" s="1">
        <f t="shared" si="14"/>
        <v>3.0282924675455729</v>
      </c>
      <c r="S173" s="1">
        <f t="shared" si="15"/>
        <v>2.778458338973063</v>
      </c>
      <c r="T173" s="1">
        <f t="shared" si="6"/>
        <v>3.5664177229402926E-2</v>
      </c>
      <c r="U173" s="1">
        <f t="shared" si="16"/>
        <v>0.12937936746984546</v>
      </c>
      <c r="V173" s="1">
        <f t="shared" si="17"/>
        <v>7.9568310993954963E-2</v>
      </c>
      <c r="W173" s="1">
        <f t="shared" si="18"/>
        <v>1.639043876504624</v>
      </c>
      <c r="X173" s="1">
        <f t="shared" si="23"/>
        <v>5.899999999999999E-3</v>
      </c>
      <c r="Y173" s="1">
        <f t="shared" si="19"/>
        <v>0.41710733310608095</v>
      </c>
      <c r="Z173" s="1">
        <f t="shared" si="20"/>
        <v>0.68365722017269637</v>
      </c>
      <c r="AA173" s="1">
        <f t="shared" si="21"/>
        <v>0.42044919040620826</v>
      </c>
    </row>
    <row r="174" spans="1:27" ht="15.5">
      <c r="A174" s="160" t="s">
        <v>127</v>
      </c>
      <c r="B174" s="170">
        <v>77.45</v>
      </c>
      <c r="C174" s="1">
        <f t="shared" si="7"/>
        <v>2.7313382953473297</v>
      </c>
      <c r="D174" s="1">
        <f t="shared" si="8"/>
        <v>9.5119466881682015E-3</v>
      </c>
      <c r="E174" s="1">
        <f t="shared" si="22"/>
        <v>8.0563070845705229E-2</v>
      </c>
      <c r="F174" s="1">
        <f t="shared" si="9"/>
        <v>0.22004500059165469</v>
      </c>
      <c r="G174" s="1">
        <f t="shared" si="26"/>
        <v>0.17163510046149066</v>
      </c>
      <c r="H174" s="1">
        <f>H173</f>
        <v>8.8346250000000001E-2</v>
      </c>
      <c r="I174" s="121">
        <f t="shared" si="24"/>
        <v>2.4852394761100682</v>
      </c>
      <c r="J174" s="121">
        <f t="shared" si="10"/>
        <v>2.3639465404090041E-2</v>
      </c>
      <c r="K174" s="1">
        <f t="shared" si="25"/>
        <v>1.8438783015190231E-2</v>
      </c>
      <c r="L174" s="1">
        <f t="shared" si="4"/>
        <v>4.1570474575954725E-3</v>
      </c>
      <c r="M174" s="1">
        <f t="shared" si="5"/>
        <v>1.1354302916506768E-2</v>
      </c>
      <c r="N174" s="1">
        <f t="shared" si="11"/>
        <v>1.041757292589496E-2</v>
      </c>
      <c r="O174" s="1">
        <f t="shared" si="12"/>
        <v>0.8026847771411455</v>
      </c>
      <c r="P174" s="1">
        <f>P173</f>
        <v>8.1412499999999999E-2</v>
      </c>
      <c r="Q174" s="1">
        <f t="shared" si="13"/>
        <v>1.9792262775295806</v>
      </c>
      <c r="R174" s="1">
        <f t="shared" si="14"/>
        <v>1.5886948034907304</v>
      </c>
      <c r="S174" s="1">
        <f t="shared" si="15"/>
        <v>1.4576274822027451</v>
      </c>
      <c r="T174" s="1">
        <f t="shared" si="6"/>
        <v>2.1329153435779489E-2</v>
      </c>
      <c r="U174" s="1">
        <f t="shared" si="16"/>
        <v>5.8257133586483593E-2</v>
      </c>
      <c r="V174" s="1">
        <f t="shared" si="17"/>
        <v>3.582813715568741E-2</v>
      </c>
      <c r="W174" s="1">
        <f t="shared" si="18"/>
        <v>1.4369857480507149</v>
      </c>
      <c r="X174" s="1">
        <f t="shared" si="23"/>
        <v>5.899999999999999E-3</v>
      </c>
      <c r="Y174" s="1">
        <f t="shared" si="19"/>
        <v>0.24945328893424545</v>
      </c>
      <c r="Z174" s="1">
        <f t="shared" si="20"/>
        <v>0.35846082100288784</v>
      </c>
      <c r="AA174" s="1">
        <f t="shared" si="21"/>
        <v>0.22045340491677601</v>
      </c>
    </row>
    <row r="175" spans="1:27" ht="15.5">
      <c r="A175" s="160" t="s">
        <v>128</v>
      </c>
      <c r="B175" s="170">
        <v>82.43</v>
      </c>
      <c r="C175" s="1">
        <f t="shared" si="7"/>
        <v>1.9702106627232505</v>
      </c>
      <c r="D175" s="1">
        <f t="shared" si="8"/>
        <v>8.295050671244697E-3</v>
      </c>
      <c r="E175" s="1">
        <f t="shared" si="22"/>
        <v>3.87844873775346E-2</v>
      </c>
      <c r="F175" s="1">
        <f t="shared" si="9"/>
        <v>7.6413610579473989E-2</v>
      </c>
      <c r="G175" s="1">
        <f t="shared" si="26"/>
        <v>5.9602616251989711E-2</v>
      </c>
      <c r="H175" s="1">
        <f>H174</f>
        <v>8.8346250000000001E-2</v>
      </c>
      <c r="I175" s="121">
        <f t="shared" si="24"/>
        <v>1.1964382449614634</v>
      </c>
      <c r="J175" s="121">
        <f t="shared" si="10"/>
        <v>9.9245158669704139E-3</v>
      </c>
      <c r="K175" s="1">
        <f t="shared" si="25"/>
        <v>7.7411223762369231E-3</v>
      </c>
      <c r="L175" s="1">
        <f t="shared" si="4"/>
        <v>2.0012761796991368E-3</v>
      </c>
      <c r="M175" s="1">
        <f t="shared" si="5"/>
        <v>3.9429356682972915E-3</v>
      </c>
      <c r="N175" s="1">
        <f t="shared" si="11"/>
        <v>3.6176434756627651E-3</v>
      </c>
      <c r="O175" s="1">
        <f t="shared" si="12"/>
        <v>0.69960170605650651</v>
      </c>
      <c r="P175" s="1">
        <f>P174</f>
        <v>8.1412499999999999E-2</v>
      </c>
      <c r="Q175" s="1">
        <f t="shared" si="13"/>
        <v>0.95283454034601267</v>
      </c>
      <c r="R175" s="1">
        <f t="shared" si="14"/>
        <v>0.66660467001563761</v>
      </c>
      <c r="S175" s="1">
        <f t="shared" si="15"/>
        <v>0.61160978473934746</v>
      </c>
      <c r="T175" s="1">
        <f t="shared" si="6"/>
        <v>1.0268231753328057E-2</v>
      </c>
      <c r="U175" s="1">
        <f t="shared" si="16"/>
        <v>2.0230579687720397E-2</v>
      </c>
      <c r="V175" s="1">
        <f>U175*(1-$B$27)</f>
        <v>1.2441806507948044E-2</v>
      </c>
      <c r="W175" s="1">
        <f t="shared" si="18"/>
        <v>1.2518241882578869</v>
      </c>
      <c r="X175" s="1">
        <f t="shared" si="23"/>
        <v>5.899999999999999E-3</v>
      </c>
      <c r="Y175" s="1">
        <f t="shared" si="19"/>
        <v>0.12009122584818274</v>
      </c>
      <c r="Z175" s="1">
        <f t="shared" si="20"/>
        <v>0.15033310131429592</v>
      </c>
      <c r="AA175" s="1">
        <f t="shared" si="21"/>
        <v>9.2454857308291991E-2</v>
      </c>
    </row>
    <row r="176" spans="1:27" ht="15.5">
      <c r="A176" s="160" t="s">
        <v>131</v>
      </c>
      <c r="B176" s="170">
        <v>89</v>
      </c>
      <c r="C176" s="1">
        <f t="shared" si="7"/>
        <v>0.96063211035281615</v>
      </c>
      <c r="D176" s="1">
        <f t="shared" si="8"/>
        <v>6.8863321654979411E-3</v>
      </c>
      <c r="E176" s="1">
        <f t="shared" si="22"/>
        <v>1.3877308218128888E-2</v>
      </c>
      <c r="F176" s="1">
        <f t="shared" si="9"/>
        <v>1.3330987879597632E-2</v>
      </c>
      <c r="G176" s="1">
        <f t="shared" si="26"/>
        <v>1.0398170546086154E-2</v>
      </c>
      <c r="H176" s="1">
        <f>H175</f>
        <v>8.8346250000000001E-2</v>
      </c>
      <c r="I176" s="121">
        <f t="shared" si="24"/>
        <v>0.42809234856368594</v>
      </c>
      <c r="J176" s="121">
        <f t="shared" si="10"/>
        <v>2.9479861097176669E-3</v>
      </c>
      <c r="K176" s="1">
        <f t="shared" si="25"/>
        <v>2.2994291655797803E-3</v>
      </c>
      <c r="L176" s="1">
        <f t="shared" si="4"/>
        <v>7.1606789861482537E-4</v>
      </c>
      <c r="M176" s="1">
        <f t="shared" si="5"/>
        <v>6.878778166022661E-4</v>
      </c>
      <c r="N176" s="1">
        <f t="shared" si="11"/>
        <v>6.3112789673257913E-4</v>
      </c>
      <c r="O176" s="1">
        <f t="shared" si="12"/>
        <v>0.58041644557580474</v>
      </c>
      <c r="P176" s="1">
        <f>P175</f>
        <v>8.1412499999999999E-2</v>
      </c>
      <c r="Q176" s="1">
        <f t="shared" si="13"/>
        <v>0.34092956981867711</v>
      </c>
      <c r="R176" s="1">
        <f t="shared" si="14"/>
        <v>0.19788112910584474</v>
      </c>
      <c r="S176" s="1">
        <f t="shared" si="15"/>
        <v>0.18155593595461256</v>
      </c>
      <c r="T176" s="1">
        <f t="shared" si="6"/>
        <v>3.6740312050288961E-3</v>
      </c>
      <c r="U176" s="1">
        <f t="shared" si="16"/>
        <v>3.5293923499890088E-3</v>
      </c>
      <c r="V176" s="1">
        <f t="shared" si="17"/>
        <v>2.1705762952432405E-3</v>
      </c>
      <c r="W176" s="1">
        <f t="shared" si="18"/>
        <v>1.0379704088597159</v>
      </c>
      <c r="X176" s="1">
        <f t="shared" si="23"/>
        <v>5.899999999999999E-3</v>
      </c>
      <c r="Y176" s="1">
        <f t="shared" si="19"/>
        <v>4.2969317582201218E-2</v>
      </c>
      <c r="Z176" s="1">
        <f t="shared" si="20"/>
        <v>4.4600880139220381E-2</v>
      </c>
      <c r="AA176" s="1">
        <f t="shared" si="21"/>
        <v>2.7429541285620532E-2</v>
      </c>
    </row>
    <row r="177" spans="1:27" ht="15.5">
      <c r="A177" s="160" t="s">
        <v>70</v>
      </c>
      <c r="F177">
        <f>SUM(F158:F176)</f>
        <v>244.6194905985048</v>
      </c>
      <c r="G177" s="1">
        <f>SUM(G158:G176)</f>
        <v>158.08894123759637</v>
      </c>
      <c r="J177" s="1">
        <f>SUM(J158:J176)</f>
        <v>12.834928344453138</v>
      </c>
      <c r="K177" s="1">
        <f>SUM(K158:K176)</f>
        <v>8.3751176857055434</v>
      </c>
      <c r="M177" s="1">
        <f>SUM(M158:M176)</f>
        <v>9.3324026227316068</v>
      </c>
      <c r="N177" s="1">
        <f>SUM(N158:N176)</f>
        <v>8.5624794063562462</v>
      </c>
      <c r="O177" s="1"/>
      <c r="R177" s="1">
        <f>SUM(R158:R176)</f>
        <v>575.37127817468627</v>
      </c>
      <c r="S177" s="1">
        <f>SUM(S158:S176)</f>
        <v>527.90314772527449</v>
      </c>
      <c r="T177" s="1"/>
      <c r="U177" s="1">
        <f>SUM(U158:U176)</f>
        <v>47.883082763709773</v>
      </c>
      <c r="V177" s="1">
        <f>SUM(V158:V176)</f>
        <v>29.448095899681505</v>
      </c>
      <c r="Z177" s="1">
        <f>SUM(Z158:Z176)</f>
        <v>131.5722258788177</v>
      </c>
      <c r="AA177" s="1">
        <f>SUM(AA158:AA176)</f>
        <v>80.916918915472863</v>
      </c>
    </row>
    <row r="178" spans="1:27">
      <c r="C178" t="s">
        <v>363</v>
      </c>
      <c r="D178" s="1" t="s">
        <v>364</v>
      </c>
      <c r="G178" t="str">
        <f>F23</f>
        <v>Adjust "Incidence per 1,000" for males and females (ages 0-14) in YLD and YLL template by this amount, and by half this for ages 15 and up</v>
      </c>
      <c r="J178" s="121"/>
      <c r="O178" s="1"/>
    </row>
    <row r="179" spans="1:27">
      <c r="A179" s="63" t="s">
        <v>12</v>
      </c>
      <c r="B179" s="1"/>
      <c r="C179" s="1"/>
      <c r="D179" s="1"/>
      <c r="E179" s="1" t="s">
        <v>325</v>
      </c>
      <c r="F179" s="1"/>
      <c r="G179" s="1"/>
      <c r="L179" s="1" t="s">
        <v>15</v>
      </c>
      <c r="M179" s="1"/>
      <c r="N179" s="1"/>
      <c r="O179" s="1"/>
      <c r="T179" s="1" t="s">
        <v>22</v>
      </c>
      <c r="U179" s="1"/>
      <c r="V179" s="1"/>
    </row>
    <row r="180" spans="1:27">
      <c r="A180" s="63" t="s">
        <v>324</v>
      </c>
      <c r="B180" s="1" t="s">
        <v>339</v>
      </c>
      <c r="C180" s="1" t="s">
        <v>361</v>
      </c>
      <c r="D180" s="1" t="s">
        <v>362</v>
      </c>
      <c r="E180" s="1" t="s">
        <v>340</v>
      </c>
      <c r="F180" s="1" t="s">
        <v>357</v>
      </c>
      <c r="G180" s="1" t="s">
        <v>326</v>
      </c>
      <c r="H180" s="1" t="s">
        <v>359</v>
      </c>
      <c r="I180" s="1" t="s">
        <v>360</v>
      </c>
      <c r="J180" t="s">
        <v>358</v>
      </c>
      <c r="K180" t="s">
        <v>326</v>
      </c>
      <c r="L180" s="1" t="s">
        <v>340</v>
      </c>
      <c r="M180" s="1" t="s">
        <v>357</v>
      </c>
      <c r="N180" s="1" t="s">
        <v>326</v>
      </c>
      <c r="O180" s="1" t="s">
        <v>362</v>
      </c>
      <c r="P180" s="1" t="s">
        <v>359</v>
      </c>
      <c r="Q180" s="1" t="s">
        <v>360</v>
      </c>
      <c r="R180" s="1" t="s">
        <v>358</v>
      </c>
      <c r="S180" s="1" t="s">
        <v>326</v>
      </c>
      <c r="T180" s="1" t="s">
        <v>340</v>
      </c>
      <c r="U180" s="1" t="s">
        <v>357</v>
      </c>
      <c r="V180" s="1" t="s">
        <v>326</v>
      </c>
      <c r="W180" s="1" t="s">
        <v>362</v>
      </c>
      <c r="X180" s="1" t="s">
        <v>359</v>
      </c>
      <c r="Y180" s="1" t="s">
        <v>360</v>
      </c>
      <c r="Z180" s="1" t="s">
        <v>358</v>
      </c>
      <c r="AA180" s="1" t="s">
        <v>326</v>
      </c>
    </row>
    <row r="181" spans="1:27" ht="15.5">
      <c r="A181" s="160">
        <v>0</v>
      </c>
      <c r="B181" s="170">
        <v>0.1</v>
      </c>
      <c r="C181" s="1">
        <f>C158</f>
        <v>8.4661744713244396</v>
      </c>
      <c r="D181" s="1">
        <f>D158</f>
        <v>2.9320953866862495E-4</v>
      </c>
      <c r="E181" s="1">
        <f>($B$31*$Q73)*(B$97/1000)</f>
        <v>0.53558376972255306</v>
      </c>
      <c r="F181" s="1">
        <f t="shared" ref="F181:F199" si="29">E181*C181</f>
        <v>4.5343456384807856</v>
      </c>
      <c r="G181" s="1">
        <f>F181*(1-$C$23)</f>
        <v>2.8566377522428952</v>
      </c>
      <c r="H181">
        <f>H158</f>
        <v>0.11935374999999999</v>
      </c>
      <c r="I181" s="121">
        <f>($F$87/1000)*$B$31*$Q73*H181</f>
        <v>55.801721425329937</v>
      </c>
      <c r="J181" s="121">
        <f>I181*D181</f>
        <v>1.6361596996036117E-2</v>
      </c>
      <c r="K181">
        <f>J181*(1-$C$23)</f>
        <v>1.0307806107502754E-2</v>
      </c>
      <c r="L181" s="1">
        <f t="shared" ref="L181:L199" si="30">($B$31*$Q73)*(E$103/1000)</f>
        <v>8.4814164265302142E-3</v>
      </c>
      <c r="M181" s="1">
        <f t="shared" ref="M181:M199" si="31">L181*C181</f>
        <v>7.1805151230961858E-2</v>
      </c>
      <c r="N181" s="1">
        <f>M181*(1-$B$24)</f>
        <v>6.588122625440751E-2</v>
      </c>
      <c r="O181" s="1">
        <f>O158</f>
        <v>0.18905774945969325</v>
      </c>
      <c r="P181" s="1">
        <f>P158</f>
        <v>8.2637500000000003E-2</v>
      </c>
      <c r="Q181" s="1">
        <f>P181*($B$31*$Q73)*(E$104/1000)</f>
        <v>4.0988774312755041</v>
      </c>
      <c r="R181" s="1">
        <f>Q181*O181</f>
        <v>0.77492454246807529</v>
      </c>
      <c r="S181" s="1">
        <f>R181*(1-$C$24)</f>
        <v>0.71099326771445903</v>
      </c>
      <c r="T181" s="1">
        <f t="shared" ref="T181:T199" si="32">($B$31*$Q73)*(E$108/1000)</f>
        <v>4.3516807099152267E-2</v>
      </c>
      <c r="U181" s="1">
        <f t="shared" ref="U181:U199" si="33">T181*C181</f>
        <v>0.36842088133639306</v>
      </c>
      <c r="V181" s="1">
        <f>U181*(1-$B$27)</f>
        <v>0.22657884202188172</v>
      </c>
      <c r="W181">
        <f t="shared" ref="W181:X199" si="34">W158</f>
        <v>0.59767300213457875</v>
      </c>
      <c r="X181" s="1">
        <f t="shared" si="34"/>
        <v>5.1999999999999998E-3</v>
      </c>
      <c r="Y181" s="1">
        <f>X181*($B$31*$Q73)*(E$109/1000)</f>
        <v>0.44856354031675105</v>
      </c>
      <c r="Z181">
        <f>Y181*W181</f>
        <v>0.26809431778922777</v>
      </c>
      <c r="AA181">
        <f>Z181*(1-$C$27)</f>
        <v>0.16487800544037506</v>
      </c>
    </row>
    <row r="182" spans="1:27" ht="15.5">
      <c r="A182" s="161" t="s">
        <v>108</v>
      </c>
      <c r="B182" s="170">
        <v>2.6</v>
      </c>
      <c r="C182" s="1">
        <f t="shared" ref="C182:D199" si="35">C159</f>
        <v>10.353215353808007</v>
      </c>
      <c r="D182" s="1">
        <f t="shared" si="35"/>
        <v>6.3947305622559921E-3</v>
      </c>
      <c r="E182" s="1">
        <f>($B$31*$Q74)*(B$97/1000)</f>
        <v>2.1423350788902122</v>
      </c>
      <c r="F182" s="1">
        <f t="shared" si="29"/>
        <v>22.180056431767635</v>
      </c>
      <c r="G182" s="1">
        <f>F182*(1-$C$23)</f>
        <v>13.97343555201361</v>
      </c>
      <c r="H182" s="1">
        <f t="shared" ref="H182:H199" si="36">H159</f>
        <v>0.11935374999999999</v>
      </c>
      <c r="I182" s="121">
        <f>($F$87/1000)*$B$31*$Q74*H182</f>
        <v>223.20688570131975</v>
      </c>
      <c r="J182" s="121">
        <f t="shared" ref="J182:J199" si="37">I182*D182</f>
        <v>1.4273478937002093</v>
      </c>
      <c r="K182" s="1">
        <f>J182*(1-$C$23)</f>
        <v>0.89922917303113192</v>
      </c>
      <c r="L182" s="1">
        <f t="shared" si="30"/>
        <v>3.3925665706120857E-2</v>
      </c>
      <c r="M182" s="1">
        <f t="shared" si="31"/>
        <v>0.35123972307676821</v>
      </c>
      <c r="N182" s="1">
        <f t="shared" ref="N182:N199" si="38">M182*(1-$B$24)</f>
        <v>0.32226244592293485</v>
      </c>
      <c r="O182" s="1">
        <f t="shared" ref="O182:P199" si="39">O159</f>
        <v>0.68350491300247407</v>
      </c>
      <c r="P182" s="1">
        <f t="shared" si="39"/>
        <v>8.2637500000000003E-2</v>
      </c>
      <c r="Q182" s="1">
        <f t="shared" ref="Q182:Q199" si="40">P182*($B$31*$Q74)*(E$104/1000)</f>
        <v>16.395509725102016</v>
      </c>
      <c r="R182" s="1">
        <f t="shared" ref="R182:R198" si="41">Q182*O182</f>
        <v>11.206411448287071</v>
      </c>
      <c r="S182" s="1">
        <f t="shared" ref="S182:S199" si="42">R182*(1-$C$24)</f>
        <v>10.281882503803388</v>
      </c>
      <c r="T182" s="1">
        <f t="shared" si="32"/>
        <v>0.17406722839660907</v>
      </c>
      <c r="U182" s="1">
        <f t="shared" si="33"/>
        <v>1.8021555016305781</v>
      </c>
      <c r="V182" s="1">
        <f t="shared" ref="V182:V199" si="43">U182*(1-$B$27)</f>
        <v>1.1083256335028056</v>
      </c>
      <c r="W182" s="1">
        <f t="shared" si="34"/>
        <v>1.4505957361759505</v>
      </c>
      <c r="X182" s="1">
        <f t="shared" si="34"/>
        <v>5.1999999999999998E-3</v>
      </c>
      <c r="Y182" s="1">
        <f t="shared" ref="Y182:Y199" si="44">X182*($B$31*$Q74)*(E$109/1000)</f>
        <v>1.7942541612670042</v>
      </c>
      <c r="Z182" s="1">
        <f t="shared" ref="Z182:Z198" si="45">Y182*W182</f>
        <v>2.6027374359498725</v>
      </c>
      <c r="AA182" s="1">
        <f t="shared" ref="AA182:AA199" si="46">Z182*(1-$C$27)</f>
        <v>1.6006835231091716</v>
      </c>
    </row>
    <row r="183" spans="1:27" ht="15.5">
      <c r="A183" s="161" t="s">
        <v>107</v>
      </c>
      <c r="B183" s="170">
        <v>7.29</v>
      </c>
      <c r="C183" s="1">
        <f t="shared" si="35"/>
        <v>12.724858250494215</v>
      </c>
      <c r="D183" s="1">
        <f t="shared" si="35"/>
        <v>1.4832773412562837E-2</v>
      </c>
      <c r="E183" s="1">
        <f t="shared" ref="E183:E199" si="47">($B$31*$Q75)*(B$98/1000)</f>
        <v>0.66432681010446637</v>
      </c>
      <c r="F183" s="1">
        <f t="shared" si="29"/>
        <v>8.4534644905823217</v>
      </c>
      <c r="G183" s="1">
        <f>F183*(1-$C$23)</f>
        <v>5.3256826290668631</v>
      </c>
      <c r="H183" s="1">
        <f t="shared" si="36"/>
        <v>9.4147624999999999E-2</v>
      </c>
      <c r="I183" s="121">
        <f>($F$88/1000)*$B$31*$Q75*H183</f>
        <v>21.839126299209521</v>
      </c>
      <c r="J183" s="121">
        <f t="shared" si="37"/>
        <v>0.32393481192451679</v>
      </c>
      <c r="K183" s="1">
        <f>J183*(1-$C$23)</f>
        <v>0.20407893151244558</v>
      </c>
      <c r="L183" s="1">
        <f t="shared" si="30"/>
        <v>3.4279205695204741E-2</v>
      </c>
      <c r="M183" s="1">
        <f t="shared" si="31"/>
        <v>0.43619803341101432</v>
      </c>
      <c r="N183" s="1">
        <f t="shared" si="38"/>
        <v>0.40021169565460563</v>
      </c>
      <c r="O183" s="1">
        <f t="shared" si="39"/>
        <v>1.3634833418606551</v>
      </c>
      <c r="P183" s="1">
        <f t="shared" si="39"/>
        <v>7.9825000000000007E-2</v>
      </c>
      <c r="Q183" s="1">
        <f t="shared" si="40"/>
        <v>16.002544806554173</v>
      </c>
      <c r="R183" s="1">
        <f t="shared" si="41"/>
        <v>21.819203271115356</v>
      </c>
      <c r="S183" s="1">
        <f t="shared" si="42"/>
        <v>20.019119001248338</v>
      </c>
      <c r="T183" s="1">
        <f t="shared" si="32"/>
        <v>0.17588118619953869</v>
      </c>
      <c r="U183" s="1">
        <f t="shared" si="33"/>
        <v>2.2380631633179089</v>
      </c>
      <c r="V183" s="1">
        <f t="shared" si="43"/>
        <v>1.3764088454405139</v>
      </c>
      <c r="W183" s="1">
        <f t="shared" si="34"/>
        <v>2.6172968549407627</v>
      </c>
      <c r="X183" s="1">
        <f t="shared" si="34"/>
        <v>5.1999999999999998E-3</v>
      </c>
      <c r="Y183" s="1">
        <f t="shared" si="44"/>
        <v>1.8129521170295526</v>
      </c>
      <c r="Z183" s="1">
        <f t="shared" si="45"/>
        <v>4.7450338740596454</v>
      </c>
      <c r="AA183" s="1">
        <f t="shared" si="46"/>
        <v>2.9181958325466817</v>
      </c>
    </row>
    <row r="184" spans="1:27" ht="15.5">
      <c r="A184" s="162" t="s">
        <v>110</v>
      </c>
      <c r="B184" s="170">
        <v>12.94</v>
      </c>
      <c r="C184" s="1">
        <f t="shared" si="35"/>
        <v>14.108660311691958</v>
      </c>
      <c r="D184" s="1">
        <f t="shared" si="35"/>
        <v>2.0992549104309782E-2</v>
      </c>
      <c r="E184" s="1">
        <f t="shared" si="47"/>
        <v>0.5681418025813445</v>
      </c>
      <c r="F184" s="1">
        <f t="shared" si="29"/>
        <v>8.015719701492543</v>
      </c>
      <c r="G184" s="1">
        <f>F184*(1-$C$23)</f>
        <v>5.0499034119403019</v>
      </c>
      <c r="H184" s="1">
        <f t="shared" si="36"/>
        <v>9.4147624999999999E-2</v>
      </c>
      <c r="I184" s="121">
        <f t="shared" ref="I184:I199" si="48">($F$88/1000)*$B$31*$Q76*H184</f>
        <v>18.677133594056532</v>
      </c>
      <c r="J184" s="121">
        <f t="shared" si="37"/>
        <v>0.39208064410098559</v>
      </c>
      <c r="K184" s="1">
        <f>J184*(1-$C$23)</f>
        <v>0.24701080578362092</v>
      </c>
      <c r="L184" s="1">
        <f t="shared" si="30"/>
        <v>2.9316067662040875E-2</v>
      </c>
      <c r="M184" s="1">
        <f t="shared" si="31"/>
        <v>0.41361044031831212</v>
      </c>
      <c r="N184" s="1">
        <f t="shared" si="38"/>
        <v>0.37948757899205138</v>
      </c>
      <c r="O184" s="1">
        <f t="shared" si="39"/>
        <v>1.8534939199521363</v>
      </c>
      <c r="P184" s="1">
        <f t="shared" si="39"/>
        <v>7.9825000000000007E-2</v>
      </c>
      <c r="Q184" s="1">
        <f t="shared" si="40"/>
        <v>13.685605509214261</v>
      </c>
      <c r="R184" s="1">
        <f t="shared" si="41"/>
        <v>25.366186602192094</v>
      </c>
      <c r="S184" s="1">
        <f t="shared" si="42"/>
        <v>23.273476207511248</v>
      </c>
      <c r="T184" s="1">
        <f t="shared" si="32"/>
        <v>0.15041610943240055</v>
      </c>
      <c r="U184" s="1">
        <f t="shared" si="33"/>
        <v>2.1221697933880241</v>
      </c>
      <c r="V184" s="1">
        <f t="shared" si="43"/>
        <v>1.3051344229336348</v>
      </c>
      <c r="W184" s="1">
        <f t="shared" si="34"/>
        <v>3.4475228841878658</v>
      </c>
      <c r="X184" s="1">
        <f t="shared" si="34"/>
        <v>5.1999999999999998E-3</v>
      </c>
      <c r="Y184" s="1">
        <f t="shared" si="44"/>
        <v>1.5504626158334081</v>
      </c>
      <c r="Z184" s="1">
        <f t="shared" si="45"/>
        <v>5.3452553491634536</v>
      </c>
      <c r="AA184" s="1">
        <f t="shared" si="46"/>
        <v>3.2873320397355239</v>
      </c>
    </row>
    <row r="185" spans="1:27" ht="15.5">
      <c r="A185" s="163" t="s">
        <v>112</v>
      </c>
      <c r="B185" s="170">
        <v>18.05</v>
      </c>
      <c r="C185" s="1">
        <f t="shared" si="35"/>
        <v>14.393282378976728</v>
      </c>
      <c r="D185" s="1">
        <f t="shared" si="35"/>
        <v>2.3864939986242891E-2</v>
      </c>
      <c r="E185" s="1">
        <f t="shared" si="47"/>
        <v>0.47232798738734966</v>
      </c>
      <c r="F185" s="1">
        <f t="shared" si="29"/>
        <v>6.7983500979598821</v>
      </c>
      <c r="G185" s="1">
        <f>F185*(1-$C$23/2)</f>
        <v>5.5406553298373034</v>
      </c>
      <c r="H185" s="1">
        <f t="shared" si="36"/>
        <v>8.5758749999999995E-2</v>
      </c>
      <c r="I185" s="121">
        <f t="shared" si="48"/>
        <v>14.143804144443207</v>
      </c>
      <c r="J185" s="121">
        <f t="shared" si="37"/>
        <v>0.3375410370843106</v>
      </c>
      <c r="K185" s="1">
        <f>J185*(1-$C$23/2)</f>
        <v>0.27509594522371311</v>
      </c>
      <c r="L185" s="1">
        <f t="shared" si="30"/>
        <v>2.4372083120816648E-2</v>
      </c>
      <c r="M185" s="1">
        <f t="shared" si="31"/>
        <v>0.35079427452180639</v>
      </c>
      <c r="N185" s="1">
        <f t="shared" si="38"/>
        <v>0.32185374687375734</v>
      </c>
      <c r="O185" s="1">
        <f t="shared" si="39"/>
        <v>2.0754340742302122</v>
      </c>
      <c r="P185" s="1">
        <f t="shared" si="39"/>
        <v>7.9612500000000003E-2</v>
      </c>
      <c r="Q185" s="1">
        <f t="shared" si="40"/>
        <v>11.34731960182121</v>
      </c>
      <c r="R185" s="1">
        <f t="shared" si="41"/>
        <v>23.550613752800142</v>
      </c>
      <c r="S185" s="1">
        <f t="shared" si="42"/>
        <v>21.60768811819413</v>
      </c>
      <c r="T185" s="1">
        <f t="shared" si="32"/>
        <v>0.12504930620497515</v>
      </c>
      <c r="U185" s="1">
        <f t="shared" si="33"/>
        <v>1.7998699755033341</v>
      </c>
      <c r="V185" s="1">
        <f t="shared" si="43"/>
        <v>1.1069200349345505</v>
      </c>
      <c r="W185" s="1">
        <f t="shared" si="34"/>
        <v>3.8125806213555706</v>
      </c>
      <c r="X185" s="1">
        <f t="shared" si="34"/>
        <v>5.899999999999999E-3</v>
      </c>
      <c r="Y185" s="1">
        <f t="shared" si="44"/>
        <v>1.4625034606131613</v>
      </c>
      <c r="Z185" s="1">
        <f t="shared" si="45"/>
        <v>5.5759123525991985</v>
      </c>
      <c r="AA185" s="1">
        <f t="shared" si="46"/>
        <v>3.4291860968485071</v>
      </c>
    </row>
    <row r="186" spans="1:27" ht="15.5">
      <c r="A186" s="163" t="s">
        <v>114</v>
      </c>
      <c r="B186" s="170">
        <v>22.54</v>
      </c>
      <c r="C186" s="1">
        <f t="shared" si="35"/>
        <v>14.114030970112156</v>
      </c>
      <c r="D186" s="1">
        <f t="shared" si="35"/>
        <v>2.4899947272747327E-2</v>
      </c>
      <c r="E186" s="1">
        <f t="shared" si="47"/>
        <v>0.40380516266872696</v>
      </c>
      <c r="F186" s="1">
        <f t="shared" si="29"/>
        <v>5.6993185717975887</v>
      </c>
      <c r="G186" s="1">
        <f t="shared" ref="G186:G199" si="49">F186*(1-$C$23/2)</f>
        <v>4.6449446360150342</v>
      </c>
      <c r="H186" s="1">
        <f t="shared" si="36"/>
        <v>8.5758749999999995E-2</v>
      </c>
      <c r="I186" s="121">
        <f t="shared" si="48"/>
        <v>12.091896491023961</v>
      </c>
      <c r="J186" s="121">
        <f t="shared" si="37"/>
        <v>0.30108758505401506</v>
      </c>
      <c r="K186" s="1">
        <f t="shared" ref="K186:K199" si="50">J186*(1-$C$23/2)</f>
        <v>0.24538638181902225</v>
      </c>
      <c r="L186" s="1">
        <f t="shared" si="30"/>
        <v>2.0836311317512849E-2</v>
      </c>
      <c r="M186" s="1">
        <f t="shared" si="31"/>
        <v>0.29408434323827476</v>
      </c>
      <c r="N186" s="1">
        <f t="shared" si="38"/>
        <v>0.2698223849211171</v>
      </c>
      <c r="O186" s="1">
        <f t="shared" si="39"/>
        <v>2.1487706159375377</v>
      </c>
      <c r="P186" s="1">
        <f t="shared" si="39"/>
        <v>7.9612500000000003E-2</v>
      </c>
      <c r="Q186" s="1">
        <f t="shared" si="40"/>
        <v>9.7011110076560527</v>
      </c>
      <c r="R186" s="1">
        <f t="shared" si="41"/>
        <v>20.845462275199523</v>
      </c>
      <c r="S186" s="1">
        <f t="shared" si="42"/>
        <v>19.125711637495563</v>
      </c>
      <c r="T186" s="1">
        <f t="shared" si="32"/>
        <v>0.10690781995160649</v>
      </c>
      <c r="U186" s="1">
        <f t="shared" si="33"/>
        <v>1.5089002817441481</v>
      </c>
      <c r="V186" s="1">
        <f t="shared" si="43"/>
        <v>0.92797367327265112</v>
      </c>
      <c r="W186" s="1">
        <f t="shared" si="34"/>
        <v>3.9217762444997675</v>
      </c>
      <c r="X186" s="1">
        <f t="shared" si="34"/>
        <v>5.899999999999999E-3</v>
      </c>
      <c r="Y186" s="1">
        <f t="shared" si="44"/>
        <v>1.2503312604513488</v>
      </c>
      <c r="Z186" s="1">
        <f t="shared" si="45"/>
        <v>4.9035194349935516</v>
      </c>
      <c r="AA186" s="1">
        <f t="shared" si="46"/>
        <v>3.0156644525210341</v>
      </c>
    </row>
    <row r="187" spans="1:27" ht="15.5">
      <c r="A187" s="163" t="s">
        <v>116</v>
      </c>
      <c r="B187" s="170">
        <v>27.49</v>
      </c>
      <c r="C187" s="1">
        <f t="shared" si="35"/>
        <v>13.427840707880669</v>
      </c>
      <c r="D187" s="1">
        <f t="shared" si="35"/>
        <v>2.4911534040205515E-2</v>
      </c>
      <c r="E187" s="1">
        <f t="shared" si="47"/>
        <v>0.34220361698376173</v>
      </c>
      <c r="F187" s="1">
        <f t="shared" si="29"/>
        <v>4.5950556585185609</v>
      </c>
      <c r="G187" s="1">
        <f t="shared" si="49"/>
        <v>3.7449703616926269</v>
      </c>
      <c r="H187" s="1">
        <f t="shared" si="36"/>
        <v>8.5758749999999995E-2</v>
      </c>
      <c r="I187" s="121">
        <f t="shared" si="48"/>
        <v>10.247245696599212</v>
      </c>
      <c r="J187" s="121">
        <f t="shared" si="37"/>
        <v>0.25527460998918072</v>
      </c>
      <c r="K187" s="1">
        <f t="shared" si="50"/>
        <v>0.20804880714118226</v>
      </c>
      <c r="L187" s="1">
        <f t="shared" si="30"/>
        <v>1.7657676911134738E-2</v>
      </c>
      <c r="M187" s="1">
        <f t="shared" si="31"/>
        <v>0.23710447283393962</v>
      </c>
      <c r="N187" s="1">
        <f t="shared" si="38"/>
        <v>0.21754335382513959</v>
      </c>
      <c r="O187" s="1">
        <f t="shared" si="39"/>
        <v>2.1376933845712758</v>
      </c>
      <c r="P187" s="1">
        <f t="shared" si="39"/>
        <v>7.9612500000000003E-2</v>
      </c>
      <c r="Q187" s="1">
        <f t="shared" si="40"/>
        <v>8.2211808626734744</v>
      </c>
      <c r="R187" s="1">
        <f t="shared" si="41"/>
        <v>17.574363943501059</v>
      </c>
      <c r="S187" s="1">
        <f t="shared" si="42"/>
        <v>16.124478918162222</v>
      </c>
      <c r="T187" s="1">
        <f t="shared" si="32"/>
        <v>9.059874923219205E-2</v>
      </c>
      <c r="U187" s="1">
        <f t="shared" si="33"/>
        <v>1.216545573023101</v>
      </c>
      <c r="V187" s="1">
        <f t="shared" si="43"/>
        <v>0.74817552740920712</v>
      </c>
      <c r="W187" s="1">
        <f t="shared" si="34"/>
        <v>3.8829279521177043</v>
      </c>
      <c r="X187" s="1">
        <f t="shared" si="34"/>
        <v>5.899999999999999E-3</v>
      </c>
      <c r="Y187" s="1">
        <f t="shared" si="44"/>
        <v>1.0595899193724052</v>
      </c>
      <c r="Z187" s="1">
        <f t="shared" si="45"/>
        <v>4.1143113157132571</v>
      </c>
      <c r="AA187" s="1">
        <f t="shared" si="46"/>
        <v>2.530301459163653</v>
      </c>
    </row>
    <row r="188" spans="1:27" ht="15.5">
      <c r="A188" s="163" t="s">
        <v>117</v>
      </c>
      <c r="B188" s="170">
        <v>32.57</v>
      </c>
      <c r="C188" s="1">
        <f t="shared" si="35"/>
        <v>12.467721640650874</v>
      </c>
      <c r="D188" s="1">
        <f t="shared" si="35"/>
        <v>2.4086551524992658E-2</v>
      </c>
      <c r="E188" s="1">
        <f t="shared" si="47"/>
        <v>0.2843179260180877</v>
      </c>
      <c r="F188" s="1">
        <f t="shared" si="29"/>
        <v>3.5447967590406861</v>
      </c>
      <c r="G188" s="1">
        <f t="shared" si="49"/>
        <v>2.8890093586181589</v>
      </c>
      <c r="H188" s="1">
        <f t="shared" si="36"/>
        <v>8.5758749999999995E-2</v>
      </c>
      <c r="I188" s="121">
        <f t="shared" si="48"/>
        <v>8.5138657198737686</v>
      </c>
      <c r="J188" s="121">
        <f t="shared" si="37"/>
        <v>0.20506966533860824</v>
      </c>
      <c r="K188" s="1">
        <f t="shared" si="50"/>
        <v>0.1671317772509657</v>
      </c>
      <c r="L188" s="1">
        <f t="shared" si="30"/>
        <v>1.4670780285497478E-2</v>
      </c>
      <c r="M188" s="1">
        <f t="shared" si="31"/>
        <v>0.18291120485073112</v>
      </c>
      <c r="N188" s="1">
        <f t="shared" si="38"/>
        <v>0.16782103045054581</v>
      </c>
      <c r="O188" s="1">
        <f t="shared" si="39"/>
        <v>2.0586061616382505</v>
      </c>
      <c r="P188" s="1">
        <f t="shared" si="39"/>
        <v>7.9612500000000003E-2</v>
      </c>
      <c r="Q188" s="1">
        <f t="shared" si="40"/>
        <v>6.8305212928413637</v>
      </c>
      <c r="R188" s="1">
        <f t="shared" si="41"/>
        <v>14.0613532206445</v>
      </c>
      <c r="S188" s="1">
        <f t="shared" si="42"/>
        <v>12.901291579941329</v>
      </c>
      <c r="T188" s="1">
        <f t="shared" si="32"/>
        <v>7.5273454759398312E-2</v>
      </c>
      <c r="U188" s="1">
        <f t="shared" si="33"/>
        <v>0.93848848087030479</v>
      </c>
      <c r="V188" s="1">
        <f t="shared" si="43"/>
        <v>0.57717041573523742</v>
      </c>
      <c r="W188" s="1">
        <f t="shared" si="34"/>
        <v>3.7264054661368244</v>
      </c>
      <c r="X188" s="1">
        <f t="shared" si="34"/>
        <v>5.899999999999999E-3</v>
      </c>
      <c r="Y188" s="1">
        <f t="shared" si="44"/>
        <v>0.88035424920692884</v>
      </c>
      <c r="Z188" s="1">
        <f t="shared" si="45"/>
        <v>3.2805568863814796</v>
      </c>
      <c r="AA188" s="1">
        <f t="shared" si="46"/>
        <v>2.01754248512461</v>
      </c>
    </row>
    <row r="189" spans="1:27" ht="15.5">
      <c r="A189" s="160" t="s">
        <v>118</v>
      </c>
      <c r="B189" s="170">
        <v>37.520000000000003</v>
      </c>
      <c r="C189" s="1">
        <f t="shared" si="35"/>
        <v>11.399845770270314</v>
      </c>
      <c r="D189" s="1">
        <f t="shared" si="35"/>
        <v>2.2762237479151116E-2</v>
      </c>
      <c r="E189" s="1">
        <f t="shared" si="47"/>
        <v>0.21598053365452741</v>
      </c>
      <c r="F189" s="1">
        <f t="shared" si="29"/>
        <v>2.4621447730422896</v>
      </c>
      <c r="G189" s="1">
        <f t="shared" si="49"/>
        <v>2.006647990029466</v>
      </c>
      <c r="H189" s="1">
        <f t="shared" si="36"/>
        <v>8.5758749999999995E-2</v>
      </c>
      <c r="I189" s="121">
        <f t="shared" si="48"/>
        <v>6.4675108157771986</v>
      </c>
      <c r="J189" s="121">
        <f t="shared" si="37"/>
        <v>0.14721501708769896</v>
      </c>
      <c r="K189" s="1">
        <f t="shared" si="50"/>
        <v>0.11998023892647465</v>
      </c>
      <c r="L189" s="1">
        <f t="shared" si="30"/>
        <v>1.1144576775607479E-2</v>
      </c>
      <c r="M189" s="1">
        <f t="shared" si="31"/>
        <v>0.12704645641686169</v>
      </c>
      <c r="N189" s="1">
        <f t="shared" si="38"/>
        <v>0.11656512376247059</v>
      </c>
      <c r="O189" s="1">
        <f t="shared" si="39"/>
        <v>1.9398245562330187</v>
      </c>
      <c r="P189" s="1">
        <f t="shared" si="39"/>
        <v>7.9612500000000003E-2</v>
      </c>
      <c r="Q189" s="1">
        <f t="shared" si="40"/>
        <v>5.1887675695574593</v>
      </c>
      <c r="R189" s="1">
        <f t="shared" si="41"/>
        <v>10.065298748013078</v>
      </c>
      <c r="S189" s="1">
        <f t="shared" si="42"/>
        <v>9.2349116013019987</v>
      </c>
      <c r="T189" s="1">
        <f t="shared" si="32"/>
        <v>5.7181061907157056E-2</v>
      </c>
      <c r="U189" s="1">
        <f t="shared" si="33"/>
        <v>0.65185528672186932</v>
      </c>
      <c r="V189" s="1">
        <f t="shared" si="43"/>
        <v>0.40089100133394961</v>
      </c>
      <c r="W189" s="1">
        <f t="shared" si="34"/>
        <v>3.5026746773274895</v>
      </c>
      <c r="X189" s="1">
        <f t="shared" si="34"/>
        <v>5.899999999999999E-3</v>
      </c>
      <c r="Y189" s="1">
        <f t="shared" si="44"/>
        <v>0.66875621671722185</v>
      </c>
      <c r="Z189" s="1">
        <f t="shared" si="45"/>
        <v>2.3424354656007478</v>
      </c>
      <c r="AA189" s="1">
        <f t="shared" si="46"/>
        <v>1.44059781134446</v>
      </c>
    </row>
    <row r="190" spans="1:27" ht="15.5">
      <c r="A190" s="160" t="s">
        <v>119</v>
      </c>
      <c r="B190" s="170">
        <v>42.61</v>
      </c>
      <c r="C190" s="1">
        <f t="shared" si="35"/>
        <v>10.26035700156865</v>
      </c>
      <c r="D190" s="1">
        <f t="shared" si="35"/>
        <v>2.1087735605250988E-2</v>
      </c>
      <c r="E190" s="1">
        <f t="shared" si="47"/>
        <v>0.15264227964061128</v>
      </c>
      <c r="F190" s="1">
        <f t="shared" si="29"/>
        <v>1.5661642826459456</v>
      </c>
      <c r="G190" s="1">
        <f t="shared" si="49"/>
        <v>1.2764238903564455</v>
      </c>
      <c r="H190" s="1">
        <f t="shared" si="36"/>
        <v>8.5758749999999995E-2</v>
      </c>
      <c r="I190" s="121">
        <f t="shared" si="48"/>
        <v>4.5708545016359947</v>
      </c>
      <c r="J190" s="121">
        <f t="shared" si="37"/>
        <v>9.6388971220571121E-2</v>
      </c>
      <c r="K190" s="1">
        <f t="shared" si="50"/>
        <v>7.8557011544765465E-2</v>
      </c>
      <c r="L190" s="1">
        <f t="shared" si="30"/>
        <v>7.8763283703131969E-3</v>
      </c>
      <c r="M190" s="1">
        <f t="shared" si="31"/>
        <v>8.0813940940996809E-2</v>
      </c>
      <c r="N190" s="1">
        <f t="shared" si="38"/>
        <v>7.4146790813364574E-2</v>
      </c>
      <c r="O190" s="1">
        <f t="shared" si="39"/>
        <v>1.7930461548934542</v>
      </c>
      <c r="P190" s="1">
        <f t="shared" si="39"/>
        <v>7.9612500000000003E-2</v>
      </c>
      <c r="Q190" s="1">
        <f t="shared" si="40"/>
        <v>3.6671143317453416</v>
      </c>
      <c r="R190" s="1">
        <f t="shared" si="41"/>
        <v>6.5753052520906632</v>
      </c>
      <c r="S190" s="1">
        <f t="shared" si="42"/>
        <v>6.0328425687931837</v>
      </c>
      <c r="T190" s="1">
        <f t="shared" si="32"/>
        <v>4.0412195923826534E-2</v>
      </c>
      <c r="U190" s="1">
        <f t="shared" si="33"/>
        <v>0.41464355739579761</v>
      </c>
      <c r="V190" s="1">
        <f t="shared" si="43"/>
        <v>0.25500578779841554</v>
      </c>
      <c r="W190" s="1">
        <f t="shared" si="34"/>
        <v>3.2312756864633911</v>
      </c>
      <c r="X190" s="1">
        <f t="shared" si="34"/>
        <v>5.899999999999999E-3</v>
      </c>
      <c r="Y190" s="1">
        <f t="shared" si="44"/>
        <v>0.47263737947249768</v>
      </c>
      <c r="Z190" s="1">
        <f t="shared" si="45"/>
        <v>1.5272216728032533</v>
      </c>
      <c r="AA190" s="1">
        <f t="shared" si="46"/>
        <v>0.93924132877400079</v>
      </c>
    </row>
    <row r="191" spans="1:27" ht="15.5">
      <c r="A191" s="160" t="s">
        <v>120</v>
      </c>
      <c r="B191" s="170">
        <v>47.68</v>
      </c>
      <c r="C191" s="1">
        <f t="shared" si="35"/>
        <v>9.111499773278128</v>
      </c>
      <c r="D191" s="1">
        <f t="shared" si="35"/>
        <v>1.9265081149608482E-2</v>
      </c>
      <c r="E191" s="1">
        <f t="shared" si="47"/>
        <v>0.11191792723126845</v>
      </c>
      <c r="F191" s="1">
        <f t="shared" si="29"/>
        <v>1.0197401685934604</v>
      </c>
      <c r="G191" s="1">
        <f t="shared" si="49"/>
        <v>0.83108823740367022</v>
      </c>
      <c r="H191" s="1">
        <f t="shared" si="36"/>
        <v>8.5758749999999995E-2</v>
      </c>
      <c r="I191" s="121">
        <f t="shared" si="48"/>
        <v>3.3513687210598353</v>
      </c>
      <c r="J191" s="121">
        <f t="shared" si="37"/>
        <v>6.4564390373477318E-2</v>
      </c>
      <c r="K191" s="1">
        <f t="shared" si="50"/>
        <v>5.261997815438401E-2</v>
      </c>
      <c r="L191" s="1">
        <f t="shared" si="30"/>
        <v>5.7749553234774896E-3</v>
      </c>
      <c r="M191" s="1">
        <f t="shared" si="31"/>
        <v>5.2618504120556464E-2</v>
      </c>
      <c r="N191" s="1">
        <f t="shared" si="38"/>
        <v>4.8277477530610555E-2</v>
      </c>
      <c r="O191" s="1">
        <f t="shared" si="39"/>
        <v>1.6351512353291788</v>
      </c>
      <c r="P191" s="1">
        <f t="shared" si="39"/>
        <v>7.9612500000000003E-2</v>
      </c>
      <c r="Q191" s="1">
        <f t="shared" si="40"/>
        <v>2.6887428299375551</v>
      </c>
      <c r="R191" s="1">
        <f t="shared" si="41"/>
        <v>4.3965011598548651</v>
      </c>
      <c r="S191" s="1">
        <f t="shared" si="42"/>
        <v>4.0337898141668385</v>
      </c>
      <c r="T191" s="1">
        <f t="shared" si="32"/>
        <v>2.9630382966681367E-2</v>
      </c>
      <c r="U191" s="1">
        <f t="shared" si="33"/>
        <v>0.26997722768306137</v>
      </c>
      <c r="V191" s="1">
        <f t="shared" si="43"/>
        <v>0.16603599502508273</v>
      </c>
      <c r="W191" s="1">
        <f t="shared" si="34"/>
        <v>2.9421615669760151</v>
      </c>
      <c r="X191" s="1">
        <f t="shared" si="34"/>
        <v>5.899999999999999E-3</v>
      </c>
      <c r="Y191" s="1">
        <f t="shared" si="44"/>
        <v>0.34653960860072869</v>
      </c>
      <c r="Z191" s="1">
        <f t="shared" si="45"/>
        <v>1.0195755178599748</v>
      </c>
      <c r="AA191" s="1">
        <f t="shared" si="46"/>
        <v>0.62703894348388445</v>
      </c>
    </row>
    <row r="192" spans="1:27" ht="15.5">
      <c r="A192" s="160" t="s">
        <v>121</v>
      </c>
      <c r="B192" s="170">
        <v>52.64</v>
      </c>
      <c r="C192" s="1">
        <f t="shared" si="35"/>
        <v>7.9650442244023312</v>
      </c>
      <c r="D192" s="1">
        <f t="shared" si="35"/>
        <v>1.744132223653971E-2</v>
      </c>
      <c r="E192" s="1">
        <f t="shared" si="47"/>
        <v>9.1447636755977585E-2</v>
      </c>
      <c r="F192" s="1">
        <f t="shared" si="29"/>
        <v>0.72838447097844161</v>
      </c>
      <c r="G192" s="1">
        <f t="shared" si="49"/>
        <v>0.59363334384742983</v>
      </c>
      <c r="H192" s="1">
        <f t="shared" si="36"/>
        <v>8.5758749999999995E-2</v>
      </c>
      <c r="I192" s="121">
        <f t="shared" si="48"/>
        <v>2.7383883620853897</v>
      </c>
      <c r="J192" s="121">
        <f t="shared" si="37"/>
        <v>4.7761113831921463E-2</v>
      </c>
      <c r="K192" s="1">
        <f t="shared" si="50"/>
        <v>3.8925307773015991E-2</v>
      </c>
      <c r="L192" s="1">
        <f t="shared" si="30"/>
        <v>4.7186901130869263E-3</v>
      </c>
      <c r="M192" s="1">
        <f t="shared" si="31"/>
        <v>3.7584575431987406E-2</v>
      </c>
      <c r="N192" s="1">
        <f t="shared" si="38"/>
        <v>3.4483847958848443E-2</v>
      </c>
      <c r="O192" s="1">
        <f t="shared" si="39"/>
        <v>1.4782647154184263</v>
      </c>
      <c r="P192" s="1">
        <f t="shared" si="39"/>
        <v>7.9612500000000003E-2</v>
      </c>
      <c r="Q192" s="1">
        <f t="shared" si="40"/>
        <v>2.1969597161523664</v>
      </c>
      <c r="R192" s="1">
        <f t="shared" si="41"/>
        <v>3.2476880295837245</v>
      </c>
      <c r="S192" s="1">
        <f t="shared" si="42"/>
        <v>2.9797537671430669</v>
      </c>
      <c r="T192" s="1">
        <f t="shared" si="32"/>
        <v>2.4210853127027421E-2</v>
      </c>
      <c r="U192" s="1">
        <f t="shared" si="33"/>
        <v>0.19284051586728287</v>
      </c>
      <c r="V192" s="1">
        <f t="shared" si="43"/>
        <v>0.11859691725837897</v>
      </c>
      <c r="W192" s="1">
        <f t="shared" si="34"/>
        <v>2.6565905580646327</v>
      </c>
      <c r="X192" s="1">
        <f t="shared" si="34"/>
        <v>5.899999999999999E-3</v>
      </c>
      <c r="Y192" s="1">
        <f t="shared" si="44"/>
        <v>0.28315596109453528</v>
      </c>
      <c r="Z192" s="1">
        <f t="shared" si="45"/>
        <v>0.75222945270345887</v>
      </c>
      <c r="AA192" s="1">
        <f t="shared" si="46"/>
        <v>0.46262111341262718</v>
      </c>
    </row>
    <row r="193" spans="1:27" ht="15.5">
      <c r="A193" s="160" t="s">
        <v>122</v>
      </c>
      <c r="B193" s="170">
        <v>57.64</v>
      </c>
      <c r="C193" s="1">
        <f t="shared" si="35"/>
        <v>6.8266022419576435</v>
      </c>
      <c r="D193" s="1">
        <f t="shared" si="35"/>
        <v>1.5635894304453991E-2</v>
      </c>
      <c r="E193" s="1">
        <f t="shared" si="47"/>
        <v>7.9479059379399905E-2</v>
      </c>
      <c r="F193" s="1">
        <f t="shared" si="29"/>
        <v>0.54257192494809603</v>
      </c>
      <c r="G193" s="1">
        <f t="shared" si="49"/>
        <v>0.44219611883269822</v>
      </c>
      <c r="H193" s="1">
        <f t="shared" si="36"/>
        <v>8.5758749999999995E-2</v>
      </c>
      <c r="I193" s="121">
        <f t="shared" si="48"/>
        <v>2.3799907679934189</v>
      </c>
      <c r="J193" s="121">
        <f t="shared" si="37"/>
        <v>3.7213284093921377E-2</v>
      </c>
      <c r="K193" s="1">
        <f t="shared" si="50"/>
        <v>3.0328826536545919E-2</v>
      </c>
      <c r="L193" s="1">
        <f t="shared" si="30"/>
        <v>4.1011125600958556E-3</v>
      </c>
      <c r="M193" s="1">
        <f t="shared" si="31"/>
        <v>2.799666419727102E-2</v>
      </c>
      <c r="N193" s="1">
        <f t="shared" si="38"/>
        <v>2.5686939400996159E-2</v>
      </c>
      <c r="O193" s="1">
        <f t="shared" si="39"/>
        <v>1.3236788171666429</v>
      </c>
      <c r="P193" s="1">
        <f t="shared" si="39"/>
        <v>7.9612500000000003E-2</v>
      </c>
      <c r="Q193" s="1">
        <f t="shared" si="40"/>
        <v>1.9094237743963325</v>
      </c>
      <c r="R193" s="1">
        <f t="shared" si="41"/>
        <v>2.5274638031628043</v>
      </c>
      <c r="S193" s="1">
        <f t="shared" si="42"/>
        <v>2.3189480394018727</v>
      </c>
      <c r="T193" s="1">
        <f t="shared" si="32"/>
        <v>2.104216031786257E-2</v>
      </c>
      <c r="U193" s="1">
        <f t="shared" si="33"/>
        <v>0.14364645880155277</v>
      </c>
      <c r="V193" s="1">
        <f t="shared" si="43"/>
        <v>8.8342572162954949E-2</v>
      </c>
      <c r="W193" s="1">
        <f t="shared" si="34"/>
        <v>2.3763272285984032</v>
      </c>
      <c r="X193" s="1">
        <f t="shared" si="34"/>
        <v>5.899999999999999E-3</v>
      </c>
      <c r="Y193" s="1">
        <f t="shared" si="44"/>
        <v>0.24609678548081843</v>
      </c>
      <c r="Z193" s="1">
        <f t="shared" si="45"/>
        <v>0.58480649220860903</v>
      </c>
      <c r="AA193" s="1">
        <f t="shared" si="46"/>
        <v>0.35965599270829457</v>
      </c>
    </row>
    <row r="194" spans="1:27" ht="15.5">
      <c r="A194" s="160" t="s">
        <v>124</v>
      </c>
      <c r="B194" s="170">
        <v>62.67</v>
      </c>
      <c r="C194" s="1">
        <f t="shared" si="35"/>
        <v>5.7118272170917006</v>
      </c>
      <c r="D194" s="1">
        <f t="shared" si="35"/>
        <v>1.3901876765442253E-2</v>
      </c>
      <c r="E194" s="1">
        <f t="shared" si="47"/>
        <v>7.1197178630946309E-2</v>
      </c>
      <c r="F194" s="1">
        <f t="shared" si="29"/>
        <v>0.40666598268437876</v>
      </c>
      <c r="G194" s="1">
        <f t="shared" si="49"/>
        <v>0.33143277588776865</v>
      </c>
      <c r="H194" s="1">
        <f t="shared" si="36"/>
        <v>8.8346250000000001E-2</v>
      </c>
      <c r="I194" s="121">
        <f t="shared" si="48"/>
        <v>2.1963169609084061</v>
      </c>
      <c r="J194" s="121">
        <f t="shared" si="37"/>
        <v>3.0532927728399314E-2</v>
      </c>
      <c r="K194" s="1">
        <f t="shared" si="50"/>
        <v>2.4884336098645439E-2</v>
      </c>
      <c r="L194" s="1">
        <f t="shared" si="30"/>
        <v>3.6737682328742069E-3</v>
      </c>
      <c r="M194" s="1">
        <f t="shared" si="31"/>
        <v>2.0983929381817777E-2</v>
      </c>
      <c r="N194" s="1">
        <f t="shared" si="38"/>
        <v>1.9252755207817811E-2</v>
      </c>
      <c r="O194" s="1">
        <f t="shared" si="39"/>
        <v>1.1757078977029831</v>
      </c>
      <c r="P194" s="1">
        <f t="shared" si="39"/>
        <v>8.1412499999999999E-2</v>
      </c>
      <c r="Q194" s="1">
        <f t="shared" si="40"/>
        <v>1.7491305303172735</v>
      </c>
      <c r="R194" s="1">
        <f t="shared" si="41"/>
        <v>2.0564665786074254</v>
      </c>
      <c r="S194" s="1">
        <f t="shared" si="42"/>
        <v>1.8868080858723129</v>
      </c>
      <c r="T194" s="1">
        <f t="shared" si="32"/>
        <v>1.8849524121572248E-2</v>
      </c>
      <c r="U194" s="1">
        <f t="shared" si="33"/>
        <v>0.1076652249068229</v>
      </c>
      <c r="V194" s="1">
        <f t="shared" si="43"/>
        <v>6.6214113317696083E-2</v>
      </c>
      <c r="W194" s="1">
        <f t="shared" si="34"/>
        <v>2.108835174160101</v>
      </c>
      <c r="X194" s="1">
        <f t="shared" si="34"/>
        <v>5.899999999999999E-3</v>
      </c>
      <c r="Y194" s="1">
        <f t="shared" si="44"/>
        <v>0.22045299646463676</v>
      </c>
      <c r="Z194" s="1">
        <f t="shared" si="45"/>
        <v>0.46489903319361842</v>
      </c>
      <c r="AA194" s="1">
        <f t="shared" si="46"/>
        <v>0.28591290541407532</v>
      </c>
    </row>
    <row r="195" spans="1:27" ht="15.5">
      <c r="A195" s="160" t="s">
        <v>125</v>
      </c>
      <c r="B195" s="170">
        <v>67.680000000000007</v>
      </c>
      <c r="C195" s="1">
        <f t="shared" si="35"/>
        <v>4.6338111000864313</v>
      </c>
      <c r="D195" s="1">
        <f t="shared" si="35"/>
        <v>1.2286756861320193E-2</v>
      </c>
      <c r="E195" s="1">
        <f t="shared" si="47"/>
        <v>5.6129325496610365E-2</v>
      </c>
      <c r="F195" s="1">
        <f t="shared" si="29"/>
        <v>0.26009269152655745</v>
      </c>
      <c r="G195" s="1">
        <f t="shared" si="49"/>
        <v>0.21197554359414431</v>
      </c>
      <c r="H195" s="1">
        <f t="shared" si="36"/>
        <v>8.8346250000000001E-2</v>
      </c>
      <c r="I195" s="121">
        <f t="shared" si="48"/>
        <v>1.7314982414060225</v>
      </c>
      <c r="J195" s="121">
        <f t="shared" si="37"/>
        <v>2.1274497897959297E-2</v>
      </c>
      <c r="K195" s="1">
        <f t="shared" si="50"/>
        <v>1.7338715786836826E-2</v>
      </c>
      <c r="L195" s="1">
        <f t="shared" si="30"/>
        <v>2.8962683199987732E-3</v>
      </c>
      <c r="M195" s="1">
        <f t="shared" si="31"/>
        <v>1.3420760290038995E-2</v>
      </c>
      <c r="N195" s="1">
        <f t="shared" si="38"/>
        <v>1.2313547566110777E-2</v>
      </c>
      <c r="O195" s="1">
        <f t="shared" si="39"/>
        <v>1.0382330768594432</v>
      </c>
      <c r="P195" s="1">
        <f t="shared" si="39"/>
        <v>8.1412499999999999E-2</v>
      </c>
      <c r="Q195" s="1">
        <f t="shared" si="40"/>
        <v>1.3789523512040329</v>
      </c>
      <c r="R195" s="1">
        <f t="shared" si="41"/>
        <v>1.4316739424331266</v>
      </c>
      <c r="S195" s="1">
        <f t="shared" si="42"/>
        <v>1.3135608421823937</v>
      </c>
      <c r="T195" s="1">
        <f t="shared" si="32"/>
        <v>1.4860294961408286E-2</v>
      </c>
      <c r="U195" s="1">
        <f t="shared" si="33"/>
        <v>6.8859799742732181E-2</v>
      </c>
      <c r="V195" s="1">
        <f t="shared" si="43"/>
        <v>4.2348776841780289E-2</v>
      </c>
      <c r="W195" s="1">
        <f t="shared" si="34"/>
        <v>1.8608634017172543</v>
      </c>
      <c r="X195" s="1">
        <f t="shared" si="34"/>
        <v>5.899999999999999E-3</v>
      </c>
      <c r="Y195" s="1">
        <f t="shared" si="44"/>
        <v>0.17379730816872996</v>
      </c>
      <c r="Z195" s="1">
        <f t="shared" si="45"/>
        <v>0.32341305008816479</v>
      </c>
      <c r="AA195" s="1">
        <f t="shared" si="46"/>
        <v>0.19889902580422134</v>
      </c>
    </row>
    <row r="196" spans="1:27" ht="15.5">
      <c r="A196" s="160" t="s">
        <v>126</v>
      </c>
      <c r="B196" s="170">
        <v>72.56</v>
      </c>
      <c r="C196" s="1">
        <f t="shared" si="35"/>
        <v>3.627712105557285</v>
      </c>
      <c r="D196" s="1">
        <f t="shared" si="35"/>
        <v>1.0836682828614622E-2</v>
      </c>
      <c r="E196" s="1">
        <f t="shared" si="47"/>
        <v>3.9120002157150183E-2</v>
      </c>
      <c r="F196" s="1">
        <f t="shared" si="29"/>
        <v>0.14191610539492081</v>
      </c>
      <c r="G196" s="1">
        <f t="shared" si="49"/>
        <v>0.11566162589686045</v>
      </c>
      <c r="H196" s="1">
        <f t="shared" si="36"/>
        <v>8.8346250000000001E-2</v>
      </c>
      <c r="I196" s="121">
        <f t="shared" si="48"/>
        <v>1.2067883292664177</v>
      </c>
      <c r="J196" s="121">
        <f t="shared" si="37"/>
        <v>1.3077582365533916E-2</v>
      </c>
      <c r="K196" s="1">
        <f t="shared" si="50"/>
        <v>1.0658229627910141E-2</v>
      </c>
      <c r="L196" s="1">
        <f t="shared" si="30"/>
        <v>2.0185887131830942E-3</v>
      </c>
      <c r="M196" s="1">
        <f t="shared" si="31"/>
        <v>7.3228587109556128E-3</v>
      </c>
      <c r="N196" s="1">
        <f t="shared" si="38"/>
        <v>6.7187228673017746E-3</v>
      </c>
      <c r="O196" s="1">
        <f t="shared" si="39"/>
        <v>0.91504779137534453</v>
      </c>
      <c r="P196" s="1">
        <f t="shared" si="39"/>
        <v>8.1412499999999999E-2</v>
      </c>
      <c r="Q196" s="1">
        <f t="shared" si="40"/>
        <v>0.96107727068565596</v>
      </c>
      <c r="R196" s="1">
        <f t="shared" si="41"/>
        <v>0.87943163388195367</v>
      </c>
      <c r="S196" s="1">
        <f t="shared" si="42"/>
        <v>0.80687852408669247</v>
      </c>
      <c r="T196" s="1">
        <f t="shared" si="32"/>
        <v>1.0357059626189288E-2</v>
      </c>
      <c r="U196" s="1">
        <f t="shared" si="33"/>
        <v>3.757243058390549E-2</v>
      </c>
      <c r="V196" s="1">
        <f t="shared" si="43"/>
        <v>2.3107044809101876E-2</v>
      </c>
      <c r="W196" s="1">
        <f t="shared" si="34"/>
        <v>1.639043876504624</v>
      </c>
      <c r="X196" s="1">
        <f t="shared" si="34"/>
        <v>5.899999999999999E-3</v>
      </c>
      <c r="Y196" s="1">
        <f t="shared" si="44"/>
        <v>0.12113010463448734</v>
      </c>
      <c r="Z196" s="1">
        <f t="shared" si="45"/>
        <v>0.19853755626152086</v>
      </c>
      <c r="AA196" s="1">
        <f t="shared" si="46"/>
        <v>0.12210059710083533</v>
      </c>
    </row>
    <row r="197" spans="1:27" ht="15.5">
      <c r="A197" s="160" t="s">
        <v>127</v>
      </c>
      <c r="B197" s="170">
        <v>77.45</v>
      </c>
      <c r="C197" s="1">
        <f t="shared" si="35"/>
        <v>2.7313382953473297</v>
      </c>
      <c r="D197" s="1">
        <f t="shared" si="35"/>
        <v>9.5119466881682015E-3</v>
      </c>
      <c r="E197" s="1">
        <f t="shared" si="47"/>
        <v>2.3395928162054228E-2</v>
      </c>
      <c r="F197" s="1">
        <f t="shared" si="29"/>
        <v>6.3902194544213781E-2</v>
      </c>
      <c r="G197" s="1">
        <f t="shared" si="49"/>
        <v>5.2080288553534228E-2</v>
      </c>
      <c r="H197" s="1">
        <f t="shared" si="36"/>
        <v>8.8346250000000001E-2</v>
      </c>
      <c r="I197" s="121">
        <f t="shared" si="48"/>
        <v>0.72172626537450391</v>
      </c>
      <c r="J197" s="121">
        <f t="shared" si="37"/>
        <v>6.8650217596930166E-3</v>
      </c>
      <c r="K197" s="1">
        <f t="shared" si="50"/>
        <v>5.5949927341498078E-3</v>
      </c>
      <c r="L197" s="1">
        <f t="shared" si="30"/>
        <v>1.207227860894513E-3</v>
      </c>
      <c r="M197" s="1">
        <f t="shared" si="31"/>
        <v>3.2973476876714224E-3</v>
      </c>
      <c r="N197" s="1">
        <f t="shared" si="38"/>
        <v>3.0253165034385301E-3</v>
      </c>
      <c r="O197" s="1">
        <f t="shared" si="39"/>
        <v>0.8026847771411455</v>
      </c>
      <c r="P197" s="1">
        <f t="shared" si="39"/>
        <v>8.1412499999999999E-2</v>
      </c>
      <c r="Q197" s="1">
        <f t="shared" si="40"/>
        <v>0.57477744231246131</v>
      </c>
      <c r="R197" s="1">
        <f t="shared" si="41"/>
        <v>0.46136510318833562</v>
      </c>
      <c r="S197" s="1">
        <f t="shared" si="42"/>
        <v>0.42330248217529792</v>
      </c>
      <c r="T197" s="1">
        <f t="shared" si="32"/>
        <v>6.1940953380072309E-3</v>
      </c>
      <c r="U197" s="1">
        <f t="shared" si="33"/>
        <v>1.6918169801731511E-2</v>
      </c>
      <c r="V197" s="1">
        <f t="shared" si="43"/>
        <v>1.040467442806488E-2</v>
      </c>
      <c r="W197" s="1">
        <f t="shared" si="34"/>
        <v>1.4369857480507149</v>
      </c>
      <c r="X197" s="1">
        <f t="shared" si="34"/>
        <v>5.899999999999999E-3</v>
      </c>
      <c r="Y197" s="1">
        <f t="shared" si="44"/>
        <v>7.2442512014856825E-2</v>
      </c>
      <c r="Z197" s="1">
        <f t="shared" si="45"/>
        <v>0.10409885731834194</v>
      </c>
      <c r="AA197" s="1">
        <f t="shared" si="46"/>
        <v>6.402079725078029E-2</v>
      </c>
    </row>
    <row r="198" spans="1:27" ht="15.5">
      <c r="A198" s="160" t="s">
        <v>128</v>
      </c>
      <c r="B198" s="170">
        <v>82.43</v>
      </c>
      <c r="C198" s="1">
        <f t="shared" si="35"/>
        <v>1.9702106627232505</v>
      </c>
      <c r="D198" s="1">
        <f t="shared" si="35"/>
        <v>8.295050671244697E-3</v>
      </c>
      <c r="E198" s="1">
        <f t="shared" si="47"/>
        <v>1.1263213665536075E-2</v>
      </c>
      <c r="F198" s="1">
        <f t="shared" si="29"/>
        <v>2.2190903660369403E-2</v>
      </c>
      <c r="G198" s="1">
        <f t="shared" si="49"/>
        <v>1.8085586483201063E-2</v>
      </c>
      <c r="H198" s="1">
        <f t="shared" si="36"/>
        <v>8.8346250000000001E-2</v>
      </c>
      <c r="I198" s="121">
        <f t="shared" si="48"/>
        <v>0.34745179069778298</v>
      </c>
      <c r="J198" s="121">
        <f t="shared" si="37"/>
        <v>2.8821302096528165E-3</v>
      </c>
      <c r="K198" s="1">
        <f t="shared" si="50"/>
        <v>2.3489361208670454E-3</v>
      </c>
      <c r="L198" s="1">
        <f t="shared" si="30"/>
        <v>5.8118084677214561E-4</v>
      </c>
      <c r="M198" s="1">
        <f t="shared" si="31"/>
        <v>1.1450487012810088E-3</v>
      </c>
      <c r="N198" s="1">
        <f t="shared" si="38"/>
        <v>1.0505821834253255E-3</v>
      </c>
      <c r="O198" s="1">
        <f t="shared" si="39"/>
        <v>0.69960170605650651</v>
      </c>
      <c r="P198" s="1">
        <f t="shared" si="39"/>
        <v>8.1412499999999999E-2</v>
      </c>
      <c r="Q198" s="1">
        <f t="shared" si="40"/>
        <v>0.27670802791211707</v>
      </c>
      <c r="R198" s="1">
        <f t="shared" si="41"/>
        <v>0.19358540840684851</v>
      </c>
      <c r="S198" s="1">
        <f t="shared" si="42"/>
        <v>0.17761461221328351</v>
      </c>
      <c r="T198" s="1">
        <f t="shared" si="32"/>
        <v>2.9819470624734019E-3</v>
      </c>
      <c r="U198" s="1">
        <f t="shared" si="33"/>
        <v>5.8750638981613715E-3</v>
      </c>
      <c r="V198" s="1">
        <f>U198*(1-$B$27)</f>
        <v>3.6131642973692433E-3</v>
      </c>
      <c r="W198" s="1">
        <f t="shared" si="34"/>
        <v>1.2518241882578869</v>
      </c>
      <c r="X198" s="1">
        <f t="shared" si="34"/>
        <v>5.899999999999999E-3</v>
      </c>
      <c r="Y198" s="1">
        <f t="shared" si="44"/>
        <v>3.4875106712579998E-2</v>
      </c>
      <c r="Z198" s="1">
        <f t="shared" si="45"/>
        <v>4.3657502150882641E-2</v>
      </c>
      <c r="AA198" s="1">
        <f t="shared" si="46"/>
        <v>2.6849363822792825E-2</v>
      </c>
    </row>
    <row r="199" spans="1:27" ht="15.5">
      <c r="A199" s="160" t="s">
        <v>131</v>
      </c>
      <c r="B199" s="170">
        <v>89</v>
      </c>
      <c r="C199" s="1">
        <f t="shared" si="35"/>
        <v>0.96063211035281615</v>
      </c>
      <c r="D199" s="1">
        <f t="shared" si="35"/>
        <v>6.8863321654979411E-3</v>
      </c>
      <c r="E199" s="1">
        <f t="shared" si="47"/>
        <v>4.0300413420913707E-3</v>
      </c>
      <c r="F199" s="1">
        <f t="shared" si="29"/>
        <v>3.8713871192623288E-3</v>
      </c>
      <c r="G199" s="1">
        <f t="shared" si="49"/>
        <v>3.1551805021987978E-3</v>
      </c>
      <c r="H199" s="1">
        <f t="shared" si="36"/>
        <v>8.8346250000000001E-2</v>
      </c>
      <c r="I199" s="121">
        <f t="shared" si="48"/>
        <v>0.1243202093537749</v>
      </c>
      <c r="J199" s="121">
        <f t="shared" si="37"/>
        <v>8.5611025649433813E-4</v>
      </c>
      <c r="K199" s="1">
        <f t="shared" si="50"/>
        <v>6.9772985904288556E-4</v>
      </c>
      <c r="L199" s="1">
        <f t="shared" si="30"/>
        <v>2.0794978318578673E-4</v>
      </c>
      <c r="M199" s="1">
        <f t="shared" si="31"/>
        <v>1.9976323906917287E-4</v>
      </c>
      <c r="N199" s="1">
        <f t="shared" si="38"/>
        <v>1.832827718459661E-4</v>
      </c>
      <c r="O199" s="1">
        <f t="shared" si="39"/>
        <v>0.58041644557580474</v>
      </c>
      <c r="P199" s="1">
        <f t="shared" si="39"/>
        <v>8.1412499999999999E-2</v>
      </c>
      <c r="Q199" s="1">
        <f t="shared" si="40"/>
        <v>9.9007692234996711E-2</v>
      </c>
      <c r="R199" s="1">
        <f>Q199*O199</f>
        <v>5.7465692811699991E-2</v>
      </c>
      <c r="S199" s="1">
        <f t="shared" si="42"/>
        <v>5.2724773154734741E-2</v>
      </c>
      <c r="T199" s="1">
        <f t="shared" si="32"/>
        <v>1.066957468672309E-3</v>
      </c>
      <c r="U199" s="1">
        <f t="shared" si="33"/>
        <v>1.0249536047873789E-3</v>
      </c>
      <c r="V199" s="1">
        <f t="shared" si="43"/>
        <v>6.3034646694423799E-4</v>
      </c>
      <c r="W199" s="1">
        <f t="shared" si="34"/>
        <v>1.0379704088597159</v>
      </c>
      <c r="X199" s="1">
        <f t="shared" si="34"/>
        <v>5.899999999999999E-3</v>
      </c>
      <c r="Y199" s="1">
        <f t="shared" si="44"/>
        <v>1.247850977839514E-2</v>
      </c>
      <c r="Z199" s="1">
        <f>Y199*W199</f>
        <v>1.2952323896640767E-2</v>
      </c>
      <c r="AA199" s="1">
        <f t="shared" si="46"/>
        <v>7.9656791964340719E-3</v>
      </c>
    </row>
    <row r="200" spans="1:27" ht="15.5">
      <c r="A200" s="160" t="s">
        <v>70</v>
      </c>
      <c r="B200" s="1"/>
      <c r="E200" s="1"/>
      <c r="F200" s="1">
        <f>SUM(F181:F199)</f>
        <v>71.038752234777931</v>
      </c>
      <c r="G200" s="1">
        <f>SUM(G181:G199)</f>
        <v>49.907619612814216</v>
      </c>
      <c r="J200" s="1">
        <f>SUM(J181:J199)</f>
        <v>3.727328891013185</v>
      </c>
      <c r="K200" s="1">
        <f>SUM(K181:K199)</f>
        <v>2.6382239310322229</v>
      </c>
      <c r="L200" s="1"/>
      <c r="M200" s="1">
        <f>SUM(M181:M199)</f>
        <v>2.710177492600315</v>
      </c>
      <c r="N200" s="1">
        <f>SUM(N181:N199)</f>
        <v>2.4865878494607894</v>
      </c>
      <c r="O200" s="1"/>
      <c r="R200" s="1">
        <f>SUM(R181:R199)</f>
        <v>167.09076440824231</v>
      </c>
      <c r="S200" s="1">
        <f>SUM(S181:S199)</f>
        <v>153.30577634456239</v>
      </c>
      <c r="T200" s="1"/>
      <c r="U200" s="1">
        <f>SUM(U181:U199)</f>
        <v>13.905492339821496</v>
      </c>
      <c r="V200" s="1">
        <f>SUM(V181:V199)</f>
        <v>8.5518777889902236</v>
      </c>
      <c r="Z200" s="1">
        <f>SUM(Z181:Z199)</f>
        <v>38.209247890734893</v>
      </c>
      <c r="AA200" s="1">
        <f>SUM(AA181:AA199)</f>
        <v>23.498687452801967</v>
      </c>
    </row>
    <row r="201" spans="1:27">
      <c r="C201" s="1" t="s">
        <v>363</v>
      </c>
      <c r="D201" s="1" t="s">
        <v>364</v>
      </c>
      <c r="G201" s="1" t="s">
        <v>355</v>
      </c>
      <c r="K201" s="1" t="s">
        <v>355</v>
      </c>
      <c r="O201" s="1"/>
    </row>
    <row r="202" spans="1:27">
      <c r="A202" s="63" t="s">
        <v>13</v>
      </c>
      <c r="B202" s="1"/>
      <c r="C202" s="1"/>
      <c r="D202" s="1"/>
      <c r="E202" s="1" t="s">
        <v>325</v>
      </c>
      <c r="F202" s="1"/>
      <c r="G202" s="1"/>
      <c r="L202" s="1" t="s">
        <v>17</v>
      </c>
      <c r="M202" s="1"/>
      <c r="N202" s="1"/>
      <c r="O202" s="1"/>
      <c r="T202" s="1" t="s">
        <v>20</v>
      </c>
      <c r="U202" s="1"/>
      <c r="V202" s="1"/>
    </row>
    <row r="203" spans="1:27">
      <c r="A203" s="63" t="s">
        <v>324</v>
      </c>
      <c r="B203" s="1" t="s">
        <v>339</v>
      </c>
      <c r="C203" s="1" t="s">
        <v>361</v>
      </c>
      <c r="D203" s="1" t="s">
        <v>362</v>
      </c>
      <c r="E203" s="1" t="s">
        <v>340</v>
      </c>
      <c r="F203" s="1" t="s">
        <v>341</v>
      </c>
      <c r="G203" s="1" t="s">
        <v>326</v>
      </c>
      <c r="H203" s="1" t="s">
        <v>359</v>
      </c>
      <c r="I203" s="1" t="s">
        <v>360</v>
      </c>
      <c r="J203" s="1" t="s">
        <v>358</v>
      </c>
      <c r="K203" s="1" t="s">
        <v>326</v>
      </c>
      <c r="L203" s="1" t="s">
        <v>340</v>
      </c>
      <c r="M203" s="1" t="s">
        <v>341</v>
      </c>
      <c r="N203" s="1" t="s">
        <v>326</v>
      </c>
      <c r="O203" s="1" t="s">
        <v>362</v>
      </c>
      <c r="P203" s="1" t="s">
        <v>359</v>
      </c>
      <c r="Q203" s="1" t="s">
        <v>360</v>
      </c>
      <c r="R203" s="1" t="s">
        <v>358</v>
      </c>
      <c r="S203" s="1" t="s">
        <v>326</v>
      </c>
      <c r="T203" s="1" t="s">
        <v>340</v>
      </c>
      <c r="U203" s="1" t="s">
        <v>341</v>
      </c>
      <c r="V203" s="1" t="s">
        <v>326</v>
      </c>
      <c r="W203" s="1" t="s">
        <v>362</v>
      </c>
      <c r="X203" s="1" t="s">
        <v>359</v>
      </c>
      <c r="Y203" s="1" t="s">
        <v>360</v>
      </c>
      <c r="Z203" s="1" t="s">
        <v>358</v>
      </c>
      <c r="AA203" s="1" t="s">
        <v>326</v>
      </c>
    </row>
    <row r="204" spans="1:27" ht="15.5">
      <c r="A204" s="160">
        <v>0</v>
      </c>
      <c r="B204" s="170">
        <v>0.1</v>
      </c>
      <c r="C204" s="1">
        <f>C181</f>
        <v>8.4661744713244396</v>
      </c>
      <c r="D204" s="1">
        <f>D181</f>
        <v>2.9320953866862495E-4</v>
      </c>
      <c r="E204" s="1">
        <f>($B$32*$Q73)*(B$97/1000)</f>
        <v>3.8884677252821636</v>
      </c>
      <c r="F204" s="1">
        <f t="shared" ref="F204:F222" si="51">E204*C204</f>
        <v>32.920446188352869</v>
      </c>
      <c r="G204" s="1">
        <f>F204*(1-$D$23)</f>
        <v>20.739881098662309</v>
      </c>
      <c r="H204">
        <f>H181</f>
        <v>0.11935374999999999</v>
      </c>
      <c r="I204" s="121">
        <f>($F$87/1000)*$B$32*$Q73*H204</f>
        <v>405.13399591997501</v>
      </c>
      <c r="J204" s="121">
        <f>I204*D204</f>
        <v>0.11878915204267246</v>
      </c>
      <c r="K204">
        <f>J204*(1-$D$23)</f>
        <v>7.4837165786883653E-2</v>
      </c>
      <c r="L204" s="1">
        <f>($B$32*$Q73)*(I$114/1000)</f>
        <v>2.1204867853527203</v>
      </c>
      <c r="M204" s="1">
        <f>L204*C204</f>
        <v>17.952411088934028</v>
      </c>
      <c r="N204" s="1">
        <f>M204*(1-$D$25)</f>
        <v>14.361928871147223</v>
      </c>
      <c r="O204" s="1">
        <f>($E$141*EXP($E$139*$B204)/($E$140+$E$139)^2)*(EXP(-($E$140+$E$139)*($B204+$D$131))*(-($E$140+$E$139)*($B204+$D$131)-1)-EXP(-($E$140+$E$139)*$B204)*(-($E$140+$E$139)*$B204-1))</f>
        <v>0.30770343494257318</v>
      </c>
      <c r="P204">
        <v>0.20344660842239756</v>
      </c>
      <c r="Q204" s="1">
        <f>P204*($B$32*$Q73)*(E$114/1000)</f>
        <v>7.1439158455475251</v>
      </c>
      <c r="R204">
        <f>Q204*O204</f>
        <v>2.1982074446156505</v>
      </c>
      <c r="S204">
        <f>R204*(1-$D$25)</f>
        <v>1.7585659556925206</v>
      </c>
      <c r="T204" s="1">
        <f>($B$31*$Q96)*(E$120/1000)</f>
        <v>0</v>
      </c>
      <c r="U204" s="1">
        <f t="shared" ref="U204:U222" si="52">T204*C204</f>
        <v>0</v>
      </c>
      <c r="V204" s="1">
        <f>U204*(1-$B$27)</f>
        <v>0</v>
      </c>
      <c r="W204" s="1">
        <f>C204</f>
        <v>8.4661744713244396</v>
      </c>
      <c r="X204">
        <v>2.195416666666667E-2</v>
      </c>
      <c r="Y204" s="1">
        <f>X204*($B$32*$Q73)*(E$121/1000)</f>
        <v>2.2937111340510201</v>
      </c>
      <c r="Z204">
        <f>Y204*W204</f>
        <v>19.418958647695376</v>
      </c>
      <c r="AA204">
        <f>Z204*(1-$D$26)</f>
        <v>15.535166918156301</v>
      </c>
    </row>
    <row r="205" spans="1:27" ht="15.5">
      <c r="A205" s="161" t="s">
        <v>108</v>
      </c>
      <c r="B205" s="170">
        <v>2.6</v>
      </c>
      <c r="C205" s="1">
        <f t="shared" ref="C205:D222" si="53">C182</f>
        <v>10.353215353808007</v>
      </c>
      <c r="D205" s="1">
        <f t="shared" si="53"/>
        <v>6.3947305622559921E-3</v>
      </c>
      <c r="E205" s="1">
        <f>($B$32*$Q74)*(B$97/1000)</f>
        <v>15.553870901128654</v>
      </c>
      <c r="F205" s="1">
        <f t="shared" si="51"/>
        <v>161.03257502471277</v>
      </c>
      <c r="G205" s="1">
        <f>F205*(1-$D$23)</f>
        <v>101.45052226556905</v>
      </c>
      <c r="H205" s="1">
        <f t="shared" ref="H205:H222" si="54">H182</f>
        <v>0.11935374999999999</v>
      </c>
      <c r="I205" s="121">
        <f>($F$87/1000)*$B$32*$Q74*H205</f>
        <v>1620.5359836799</v>
      </c>
      <c r="J205" s="121">
        <f t="shared" ref="J205:J222" si="55">I205*D205</f>
        <v>10.362890982073434</v>
      </c>
      <c r="K205" s="1">
        <f>J205*(1-$D$23)</f>
        <v>6.5286213187062634</v>
      </c>
      <c r="L205" s="1">
        <f>($B$32*$Q74)*(I$115/1000)</f>
        <v>10.602433926763602</v>
      </c>
      <c r="M205" s="1">
        <f t="shared" ref="M205:M222" si="56">L205*C205</f>
        <v>109.76928171830384</v>
      </c>
      <c r="N205" s="1">
        <f t="shared" ref="N205:N222" si="57">M205*(1-$D$25)</f>
        <v>87.815425374643084</v>
      </c>
      <c r="O205" s="1">
        <f t="shared" ref="O205:O222" si="58">($E$141*EXP($E$139*$B205)/($E$140+$E$139)^2)*(EXP(-($E$140+$E$139)*($B205+$D$131))*(-($E$140+$E$139)*($B205+$D$131)-1)-EXP(-($E$140+$E$139)*$B205)*(-($E$140+$E$139)*$B205-1))</f>
        <v>0.93462255610178702</v>
      </c>
      <c r="P205">
        <f>P204</f>
        <v>0.20344660842239756</v>
      </c>
      <c r="Q205" s="1">
        <f t="shared" ref="Q205:Q222" si="59">P205*($B$32*$Q74)*(E$114/1000)</f>
        <v>28.5756633821901</v>
      </c>
      <c r="R205" s="1">
        <f t="shared" ref="R205:R222" si="60">Q205*O205</f>
        <v>26.70745955256675</v>
      </c>
      <c r="S205" s="1">
        <f t="shared" ref="S205:S222" si="61">R205*(1-$D$25)</f>
        <v>21.365967642053402</v>
      </c>
      <c r="T205" s="1">
        <f t="shared" ref="T205:T222" si="62">($B$31*$Q97)*(E$108/1000)</f>
        <v>0</v>
      </c>
      <c r="U205" s="1">
        <f t="shared" si="52"/>
        <v>0</v>
      </c>
      <c r="V205" s="1">
        <f t="shared" ref="V205:V222" si="63">U205*(1-$B$27)</f>
        <v>0</v>
      </c>
      <c r="W205" s="1">
        <f t="shared" ref="W205:W222" si="64">C205</f>
        <v>10.353215353808007</v>
      </c>
      <c r="X205">
        <f>X204</f>
        <v>2.195416666666667E-2</v>
      </c>
      <c r="Y205" s="1">
        <f t="shared" ref="Y205:Y222" si="65">X205*($B$32*$Q74)*(E$121/1000)</f>
        <v>9.1748445362040805</v>
      </c>
      <c r="Z205" s="1">
        <f t="shared" ref="Z205:Z222" si="66">Y205*W205</f>
        <v>94.989141321029592</v>
      </c>
      <c r="AA205" s="1">
        <f t="shared" ref="AA205:AA222" si="67">Z205*(1-$D$26)</f>
        <v>75.991313056823671</v>
      </c>
    </row>
    <row r="206" spans="1:27" ht="15.5">
      <c r="A206" s="161" t="s">
        <v>107</v>
      </c>
      <c r="B206" s="170">
        <v>7.29</v>
      </c>
      <c r="C206" s="1">
        <f t="shared" si="53"/>
        <v>12.724858250494215</v>
      </c>
      <c r="D206" s="1">
        <f t="shared" si="53"/>
        <v>1.4832773412562837E-2</v>
      </c>
      <c r="E206" s="1">
        <f t="shared" ref="E206:E222" si="68">($B$32*$Q75)*(B$98/1000)</f>
        <v>4.8231733412478963</v>
      </c>
      <c r="F206" s="1">
        <f t="shared" si="51"/>
        <v>61.37419708494204</v>
      </c>
      <c r="G206" s="1">
        <f>F206*(1-$D$23)</f>
        <v>38.665744163513487</v>
      </c>
      <c r="H206" s="1">
        <f t="shared" si="54"/>
        <v>9.4147624999999999E-2</v>
      </c>
      <c r="I206" s="121">
        <f>($F$88/1000)*$B$32*$Q75*H206</f>
        <v>158.55733979173482</v>
      </c>
      <c r="J206" s="121">
        <f t="shared" si="55"/>
        <v>2.3518450940295357</v>
      </c>
      <c r="K206" s="1">
        <f>J206*(1-$D$23)</f>
        <v>1.4816624092386075</v>
      </c>
      <c r="L206" s="1">
        <f t="shared" ref="L206:L222" si="69">($B$32*$Q75)*(I$116/1000)</f>
        <v>0.26139183305894692</v>
      </c>
      <c r="M206" s="1">
        <f t="shared" si="56"/>
        <v>3.326174023511947</v>
      </c>
      <c r="N206" s="1">
        <f t="shared" si="57"/>
        <v>2.660939218809558</v>
      </c>
      <c r="O206" s="1">
        <f t="shared" si="58"/>
        <v>1.7952120091391359</v>
      </c>
      <c r="P206">
        <v>0.197640394507508</v>
      </c>
      <c r="Q206" s="1">
        <f t="shared" si="59"/>
        <v>28.049424222736981</v>
      </c>
      <c r="R206" s="1">
        <f t="shared" si="60"/>
        <v>50.354663214095602</v>
      </c>
      <c r="S206" s="1">
        <f t="shared" si="61"/>
        <v>40.283730571276486</v>
      </c>
      <c r="T206" s="1">
        <f t="shared" si="62"/>
        <v>0</v>
      </c>
      <c r="U206" s="1">
        <f t="shared" si="52"/>
        <v>0</v>
      </c>
      <c r="V206" s="1">
        <f t="shared" si="63"/>
        <v>0</v>
      </c>
      <c r="W206" s="1">
        <f t="shared" si="64"/>
        <v>12.724858250494215</v>
      </c>
      <c r="X206">
        <v>2.4537499999999997E-2</v>
      </c>
      <c r="Y206" s="1">
        <f t="shared" si="65"/>
        <v>10.361304606997878</v>
      </c>
      <c r="Z206" s="1">
        <f t="shared" si="66"/>
        <v>131.84613241424066</v>
      </c>
      <c r="AA206" s="1">
        <f t="shared" si="67"/>
        <v>105.47690593139254</v>
      </c>
    </row>
    <row r="207" spans="1:27" ht="15.5">
      <c r="A207" s="162" t="s">
        <v>110</v>
      </c>
      <c r="B207" s="170">
        <v>12.94</v>
      </c>
      <c r="C207" s="1">
        <f t="shared" si="53"/>
        <v>14.108660311691958</v>
      </c>
      <c r="D207" s="1">
        <f t="shared" si="53"/>
        <v>2.0992549104309782E-2</v>
      </c>
      <c r="E207" s="1">
        <f t="shared" si="68"/>
        <v>4.1248469195876023</v>
      </c>
      <c r="F207" s="1">
        <f t="shared" si="51"/>
        <v>58.196064026190435</v>
      </c>
      <c r="G207" s="1">
        <f>F207*(1-$D$23)</f>
        <v>36.663520336499971</v>
      </c>
      <c r="H207" s="1">
        <f t="shared" si="54"/>
        <v>9.4147624999999999E-2</v>
      </c>
      <c r="I207" s="121">
        <f t="shared" ref="I207:I222" si="70">($F$88/1000)*$B$32*$Q76*H207</f>
        <v>135.60050786993421</v>
      </c>
      <c r="J207" s="121">
        <f t="shared" si="55"/>
        <v>2.8466003200289389</v>
      </c>
      <c r="K207" s="1">
        <f>J207*(1-$D$23)</f>
        <v>1.7933582016182315</v>
      </c>
      <c r="L207" s="1">
        <f t="shared" si="69"/>
        <v>0.22354603932181955</v>
      </c>
      <c r="M207" s="1">
        <f t="shared" si="56"/>
        <v>3.1539351328156853</v>
      </c>
      <c r="N207" s="1">
        <f t="shared" si="57"/>
        <v>2.5231481062525485</v>
      </c>
      <c r="O207" s="1">
        <f t="shared" si="58"/>
        <v>2.4127391024883722</v>
      </c>
      <c r="P207">
        <f>P206</f>
        <v>0.197640394507508</v>
      </c>
      <c r="Q207" s="1">
        <f t="shared" si="59"/>
        <v>23.988269322998796</v>
      </c>
      <c r="R207" s="1">
        <f t="shared" si="60"/>
        <v>57.877435396621465</v>
      </c>
      <c r="S207" s="1">
        <f t="shared" si="61"/>
        <v>46.301948317297175</v>
      </c>
      <c r="T207" s="1">
        <f t="shared" si="62"/>
        <v>0</v>
      </c>
      <c r="U207" s="1">
        <f t="shared" si="52"/>
        <v>0</v>
      </c>
      <c r="V207" s="1">
        <f t="shared" si="63"/>
        <v>0</v>
      </c>
      <c r="W207" s="1">
        <f t="shared" si="64"/>
        <v>14.108660311691958</v>
      </c>
      <c r="X207">
        <f>X206</f>
        <v>2.4537499999999997E-2</v>
      </c>
      <c r="Y207" s="1">
        <f t="shared" si="65"/>
        <v>8.8611360959351817</v>
      </c>
      <c r="Z207" s="1">
        <f t="shared" si="66"/>
        <v>125.01875915322172</v>
      </c>
      <c r="AA207" s="1">
        <f t="shared" si="67"/>
        <v>100.01500732257739</v>
      </c>
    </row>
    <row r="208" spans="1:27" ht="15.5">
      <c r="A208" s="163" t="s">
        <v>112</v>
      </c>
      <c r="B208" s="170">
        <v>18.05</v>
      </c>
      <c r="C208" s="1">
        <f t="shared" si="53"/>
        <v>14.393282378976728</v>
      </c>
      <c r="D208" s="1">
        <f t="shared" si="53"/>
        <v>2.3864939986242891E-2</v>
      </c>
      <c r="E208" s="1">
        <f t="shared" si="68"/>
        <v>3.4292154440277671</v>
      </c>
      <c r="F208" s="1">
        <f t="shared" si="51"/>
        <v>49.357666224239715</v>
      </c>
      <c r="G208" s="1">
        <f>F208*(1-$D$23/2)</f>
        <v>40.226497972755368</v>
      </c>
      <c r="H208" s="1">
        <f t="shared" si="54"/>
        <v>8.5758749999999995E-2</v>
      </c>
      <c r="I208" s="121">
        <f t="shared" si="70"/>
        <v>102.687439458574</v>
      </c>
      <c r="J208" s="121">
        <f t="shared" si="55"/>
        <v>2.450629580019819</v>
      </c>
      <c r="K208" s="1">
        <f>J208*(1-$D$23/2)</f>
        <v>1.9972631077161525</v>
      </c>
      <c r="L208" s="1">
        <f t="shared" si="69"/>
        <v>0.18584629816280906</v>
      </c>
      <c r="M208" s="1">
        <f t="shared" si="56"/>
        <v>2.674938248544815</v>
      </c>
      <c r="N208" s="1">
        <f t="shared" si="57"/>
        <v>2.1399505988358523</v>
      </c>
      <c r="O208" s="1">
        <f t="shared" si="58"/>
        <v>2.6896869280078399</v>
      </c>
      <c r="P208">
        <v>0.18961255691499934</v>
      </c>
      <c r="Q208" s="1">
        <f t="shared" si="59"/>
        <v>19.132742826675646</v>
      </c>
      <c r="R208" s="1">
        <f t="shared" si="60"/>
        <v>51.461088277845256</v>
      </c>
      <c r="S208" s="1">
        <f t="shared" si="61"/>
        <v>41.168870622276209</v>
      </c>
      <c r="T208" s="1">
        <f t="shared" si="62"/>
        <v>0</v>
      </c>
      <c r="U208" s="1">
        <f t="shared" si="52"/>
        <v>0</v>
      </c>
      <c r="V208" s="1">
        <f t="shared" si="63"/>
        <v>0</v>
      </c>
      <c r="W208" s="1">
        <f t="shared" si="64"/>
        <v>14.393282378976728</v>
      </c>
      <c r="X208" s="1">
        <v>2.9666666666666664E-2</v>
      </c>
      <c r="Y208" s="1">
        <f t="shared" si="65"/>
        <v>8.9066581001458029</v>
      </c>
      <c r="Z208" s="1">
        <f t="shared" si="66"/>
        <v>128.19604508839893</v>
      </c>
      <c r="AA208" s="1">
        <f t="shared" si="67"/>
        <v>102.55683607071916</v>
      </c>
    </row>
    <row r="209" spans="1:27" ht="15.5">
      <c r="A209" s="163" t="s">
        <v>114</v>
      </c>
      <c r="B209" s="170">
        <v>22.54</v>
      </c>
      <c r="C209" s="1">
        <f t="shared" si="53"/>
        <v>14.114030970112156</v>
      </c>
      <c r="D209" s="1">
        <f t="shared" si="53"/>
        <v>2.4899947272747327E-2</v>
      </c>
      <c r="E209" s="1">
        <f t="shared" si="68"/>
        <v>2.9317231609782652</v>
      </c>
      <c r="F209" s="1">
        <f t="shared" si="51"/>
        <v>41.378431489842342</v>
      </c>
      <c r="G209" s="1">
        <f t="shared" ref="G209:G222" si="71">F209*(1-$D$23/2)</f>
        <v>33.723421664221505</v>
      </c>
      <c r="H209" s="1">
        <f t="shared" si="54"/>
        <v>8.5758749999999995E-2</v>
      </c>
      <c r="I209" s="121">
        <f t="shared" si="70"/>
        <v>87.790093540654539</v>
      </c>
      <c r="J209" s="121">
        <f t="shared" si="55"/>
        <v>2.1859687002318537</v>
      </c>
      <c r="K209" s="1">
        <f t="shared" ref="K209:K222" si="72">J209*(1-$D$23/2)</f>
        <v>1.7815644906889607</v>
      </c>
      <c r="L209" s="1">
        <f t="shared" si="69"/>
        <v>0.15888470864520229</v>
      </c>
      <c r="M209" s="1">
        <f t="shared" si="56"/>
        <v>2.2425036984956317</v>
      </c>
      <c r="N209" s="1">
        <f t="shared" si="57"/>
        <v>1.7940029587965054</v>
      </c>
      <c r="O209" s="1">
        <f t="shared" si="58"/>
        <v>2.7783374301181762</v>
      </c>
      <c r="P209">
        <f>P208</f>
        <v>0.18961255691499934</v>
      </c>
      <c r="Q209" s="1">
        <f t="shared" si="59"/>
        <v>16.357066563342926</v>
      </c>
      <c r="R209" s="1">
        <f t="shared" si="60"/>
        <v>45.44545027987013</v>
      </c>
      <c r="S209" s="1">
        <f t="shared" si="61"/>
        <v>36.356360223896104</v>
      </c>
      <c r="T209" s="1">
        <f t="shared" si="62"/>
        <v>0</v>
      </c>
      <c r="U209" s="1">
        <f t="shared" si="52"/>
        <v>0</v>
      </c>
      <c r="V209" s="1">
        <f t="shared" si="63"/>
        <v>0</v>
      </c>
      <c r="W209" s="1">
        <f t="shared" si="64"/>
        <v>14.114030970112156</v>
      </c>
      <c r="X209" s="1">
        <f t="shared" ref="X209:X222" si="73">X208</f>
        <v>2.9666666666666664E-2</v>
      </c>
      <c r="Y209" s="1">
        <f t="shared" si="65"/>
        <v>7.6145276566358229</v>
      </c>
      <c r="Z209" s="1">
        <f t="shared" si="66"/>
        <v>107.47167916853354</v>
      </c>
      <c r="AA209" s="1">
        <f t="shared" si="67"/>
        <v>85.977343334826841</v>
      </c>
    </row>
    <row r="210" spans="1:27" ht="15.5">
      <c r="A210" s="163" t="s">
        <v>116</v>
      </c>
      <c r="B210" s="170">
        <v>27.49</v>
      </c>
      <c r="C210" s="1">
        <f t="shared" si="53"/>
        <v>13.427840707880669</v>
      </c>
      <c r="D210" s="1">
        <f t="shared" si="53"/>
        <v>2.4911534040205515E-2</v>
      </c>
      <c r="E210" s="1">
        <f t="shared" si="68"/>
        <v>2.4844810379625364</v>
      </c>
      <c r="F210" s="1">
        <f t="shared" si="51"/>
        <v>33.361215619510965</v>
      </c>
      <c r="G210" s="1">
        <f t="shared" si="71"/>
        <v>27.189390729901433</v>
      </c>
      <c r="H210" s="1">
        <f t="shared" si="54"/>
        <v>8.5758749999999995E-2</v>
      </c>
      <c r="I210" s="121">
        <f t="shared" si="70"/>
        <v>74.397482554230365</v>
      </c>
      <c r="J210" s="121">
        <f t="shared" si="55"/>
        <v>1.8533554191553057</v>
      </c>
      <c r="K210" s="1">
        <f t="shared" si="72"/>
        <v>1.5104846666115741</v>
      </c>
      <c r="L210" s="1">
        <f t="shared" si="69"/>
        <v>0.13464642606960456</v>
      </c>
      <c r="M210" s="1">
        <f t="shared" si="56"/>
        <v>1.8080107611480811</v>
      </c>
      <c r="N210" s="1">
        <f t="shared" si="57"/>
        <v>1.4464086089184649</v>
      </c>
      <c r="O210" s="1">
        <f t="shared" si="58"/>
        <v>2.7593496433804585</v>
      </c>
      <c r="P210" s="1">
        <f t="shared" ref="P210:P222" si="74">P209</f>
        <v>0.18961255691499934</v>
      </c>
      <c r="Q210" s="1">
        <f t="shared" si="59"/>
        <v>13.861752792428074</v>
      </c>
      <c r="R210" s="1">
        <f t="shared" si="60"/>
        <v>38.249422624414485</v>
      </c>
      <c r="S210" s="1">
        <f t="shared" si="61"/>
        <v>30.599538099531589</v>
      </c>
      <c r="T210" s="1">
        <f t="shared" si="62"/>
        <v>0</v>
      </c>
      <c r="U210" s="1">
        <f t="shared" si="52"/>
        <v>0</v>
      </c>
      <c r="V210" s="1">
        <f t="shared" si="63"/>
        <v>0</v>
      </c>
      <c r="W210" s="1">
        <f t="shared" si="64"/>
        <v>13.427840707880669</v>
      </c>
      <c r="X210" s="1">
        <f t="shared" si="73"/>
        <v>2.9666666666666664E-2</v>
      </c>
      <c r="Y210" s="1">
        <f t="shared" si="65"/>
        <v>6.4529113211495561</v>
      </c>
      <c r="Z210" s="1">
        <f t="shared" si="66"/>
        <v>86.648665322476035</v>
      </c>
      <c r="AA210" s="1">
        <f t="shared" si="67"/>
        <v>69.318932257980833</v>
      </c>
    </row>
    <row r="211" spans="1:27" ht="15.5">
      <c r="A211" s="163" t="s">
        <v>117</v>
      </c>
      <c r="B211" s="170">
        <v>32.57</v>
      </c>
      <c r="C211" s="1">
        <f t="shared" si="53"/>
        <v>12.467721640650874</v>
      </c>
      <c r="D211" s="1">
        <f t="shared" si="53"/>
        <v>2.4086551524992658E-2</v>
      </c>
      <c r="E211" s="1">
        <f t="shared" si="68"/>
        <v>2.0642169190698341</v>
      </c>
      <c r="F211" s="1">
        <f t="shared" si="51"/>
        <v>25.736081952884643</v>
      </c>
      <c r="G211" s="1">
        <f t="shared" si="71"/>
        <v>20.974906791600983</v>
      </c>
      <c r="H211" s="1">
        <f t="shared" si="54"/>
        <v>8.5758749999999995E-2</v>
      </c>
      <c r="I211" s="121">
        <f t="shared" si="70"/>
        <v>61.812724620585669</v>
      </c>
      <c r="J211" s="121">
        <f t="shared" si="55"/>
        <v>1.488855376473919</v>
      </c>
      <c r="K211" s="1">
        <f t="shared" si="72"/>
        <v>1.2134171318262439</v>
      </c>
      <c r="L211" s="1">
        <f t="shared" si="69"/>
        <v>0.11187021616920642</v>
      </c>
      <c r="M211" s="1">
        <f t="shared" si="56"/>
        <v>1.3947667150771061</v>
      </c>
      <c r="N211" s="1">
        <f t="shared" si="57"/>
        <v>1.115813372061685</v>
      </c>
      <c r="O211" s="1">
        <f t="shared" si="58"/>
        <v>2.6540413409333148</v>
      </c>
      <c r="P211" s="1">
        <f t="shared" si="74"/>
        <v>0.18961255691499934</v>
      </c>
      <c r="Q211" s="1">
        <f t="shared" si="59"/>
        <v>11.516958352621975</v>
      </c>
      <c r="R211" s="1">
        <f t="shared" si="60"/>
        <v>30.566483589665967</v>
      </c>
      <c r="S211" s="1">
        <f t="shared" si="61"/>
        <v>24.453186871732775</v>
      </c>
      <c r="T211" s="1">
        <f t="shared" si="62"/>
        <v>0</v>
      </c>
      <c r="U211" s="1">
        <f t="shared" si="52"/>
        <v>0</v>
      </c>
      <c r="V211" s="1">
        <f t="shared" si="63"/>
        <v>0</v>
      </c>
      <c r="W211" s="1">
        <f t="shared" si="64"/>
        <v>12.467721640650874</v>
      </c>
      <c r="X211" s="1">
        <f t="shared" si="73"/>
        <v>2.9666666666666664E-2</v>
      </c>
      <c r="Y211" s="1">
        <f t="shared" si="65"/>
        <v>5.3613646161283537</v>
      </c>
      <c r="Z211" s="1">
        <f t="shared" si="66"/>
        <v>66.844001647923335</v>
      </c>
      <c r="AA211" s="1">
        <f t="shared" si="67"/>
        <v>53.475201318338669</v>
      </c>
    </row>
    <row r="212" spans="1:27" ht="15.5">
      <c r="A212" s="160" t="s">
        <v>118</v>
      </c>
      <c r="B212" s="170">
        <v>37.520000000000003</v>
      </c>
      <c r="C212" s="1">
        <f t="shared" si="53"/>
        <v>11.399845770270314</v>
      </c>
      <c r="D212" s="1">
        <f t="shared" si="53"/>
        <v>2.2762237479151116E-2</v>
      </c>
      <c r="E212" s="1">
        <f t="shared" si="68"/>
        <v>1.5680709197739586</v>
      </c>
      <c r="F212" s="1">
        <f t="shared" si="51"/>
        <v>17.875766642269042</v>
      </c>
      <c r="G212" s="1">
        <f t="shared" si="71"/>
        <v>14.568749813449267</v>
      </c>
      <c r="H212" s="1">
        <f t="shared" si="54"/>
        <v>8.5758749999999995E-2</v>
      </c>
      <c r="I212" s="121">
        <f t="shared" si="70"/>
        <v>46.95569300595249</v>
      </c>
      <c r="J212" s="121">
        <f t="shared" si="55"/>
        <v>1.0688166351996058</v>
      </c>
      <c r="K212" s="1">
        <f t="shared" si="72"/>
        <v>0.8710855576876787</v>
      </c>
      <c r="L212" s="1">
        <f t="shared" si="69"/>
        <v>8.4981588486740089E-2</v>
      </c>
      <c r="M212" s="1">
        <f t="shared" si="56"/>
        <v>0.96877700206141648</v>
      </c>
      <c r="N212" s="1">
        <f t="shared" si="57"/>
        <v>0.77502160164913325</v>
      </c>
      <c r="O212" s="1">
        <f t="shared" si="58"/>
        <v>2.4987204135860694</v>
      </c>
      <c r="P212" s="1">
        <f t="shared" si="74"/>
        <v>0.18961255691499934</v>
      </c>
      <c r="Q212" s="1">
        <f t="shared" si="59"/>
        <v>8.7487934577787243</v>
      </c>
      <c r="R212" s="1">
        <f t="shared" si="60"/>
        <v>21.860788807199953</v>
      </c>
      <c r="S212" s="1">
        <f t="shared" si="61"/>
        <v>17.488631045759963</v>
      </c>
      <c r="T212" s="1">
        <f t="shared" si="62"/>
        <v>0</v>
      </c>
      <c r="U212" s="1">
        <f t="shared" si="52"/>
        <v>0</v>
      </c>
      <c r="V212" s="1">
        <f t="shared" si="63"/>
        <v>0</v>
      </c>
      <c r="W212" s="1">
        <f t="shared" si="64"/>
        <v>11.399845770270314</v>
      </c>
      <c r="X212" s="1">
        <f t="shared" si="73"/>
        <v>2.9666666666666664E-2</v>
      </c>
      <c r="Y212" s="1">
        <f t="shared" si="65"/>
        <v>4.0727308584624238</v>
      </c>
      <c r="Z212" s="1">
        <f t="shared" si="66"/>
        <v>46.428503650292249</v>
      </c>
      <c r="AA212" s="1">
        <f t="shared" si="67"/>
        <v>37.142802920233798</v>
      </c>
    </row>
    <row r="213" spans="1:27" ht="15.5">
      <c r="A213" s="160" t="s">
        <v>119</v>
      </c>
      <c r="B213" s="170">
        <v>42.61</v>
      </c>
      <c r="C213" s="1">
        <f t="shared" si="53"/>
        <v>10.26035700156865</v>
      </c>
      <c r="D213" s="1">
        <f t="shared" si="53"/>
        <v>2.1087735605250988E-2</v>
      </c>
      <c r="E213" s="1">
        <f t="shared" si="68"/>
        <v>1.1082198741823035</v>
      </c>
      <c r="F213" s="1">
        <f t="shared" si="51"/>
        <v>11.370731545343926</v>
      </c>
      <c r="G213" s="1">
        <f t="shared" si="71"/>
        <v>9.2671462094552997</v>
      </c>
      <c r="H213" s="1">
        <f t="shared" si="54"/>
        <v>8.5758749999999995E-2</v>
      </c>
      <c r="I213" s="121">
        <f t="shared" si="70"/>
        <v>33.185509366311592</v>
      </c>
      <c r="J213" s="121">
        <f t="shared" si="55"/>
        <v>0.69980724744235911</v>
      </c>
      <c r="K213" s="1">
        <f t="shared" si="72"/>
        <v>0.57034290666552268</v>
      </c>
      <c r="L213" s="1">
        <f t="shared" si="69"/>
        <v>6.0059965472839351E-2</v>
      </c>
      <c r="M213" s="1">
        <f t="shared" si="56"/>
        <v>0.61623668725321856</v>
      </c>
      <c r="N213" s="1">
        <f t="shared" si="57"/>
        <v>0.49298934980257486</v>
      </c>
      <c r="O213" s="1">
        <f t="shared" si="58"/>
        <v>2.308058640082681</v>
      </c>
      <c r="P213" s="1">
        <f t="shared" si="74"/>
        <v>0.18961255691499934</v>
      </c>
      <c r="Q213" s="1">
        <f t="shared" si="59"/>
        <v>6.183130279862687</v>
      </c>
      <c r="R213" s="1">
        <f t="shared" si="60"/>
        <v>14.27102726519392</v>
      </c>
      <c r="S213" s="1">
        <f t="shared" si="61"/>
        <v>11.416821812155137</v>
      </c>
      <c r="T213" s="1">
        <f t="shared" si="62"/>
        <v>0</v>
      </c>
      <c r="U213" s="1">
        <f t="shared" si="52"/>
        <v>0</v>
      </c>
      <c r="V213" s="1">
        <f t="shared" si="63"/>
        <v>0</v>
      </c>
      <c r="W213" s="1">
        <f t="shared" si="64"/>
        <v>10.26035700156865</v>
      </c>
      <c r="X213" s="1">
        <f t="shared" si="73"/>
        <v>2.9666666666666664E-2</v>
      </c>
      <c r="Y213" s="1">
        <f t="shared" si="65"/>
        <v>2.8783655271116451</v>
      </c>
      <c r="Z213" s="1">
        <f t="shared" si="66"/>
        <v>29.533057889173804</v>
      </c>
      <c r="AA213" s="1">
        <f t="shared" si="67"/>
        <v>23.626446311339045</v>
      </c>
    </row>
    <row r="214" spans="1:27" ht="15.5">
      <c r="A214" s="160" t="s">
        <v>120</v>
      </c>
      <c r="B214" s="170">
        <v>47.68</v>
      </c>
      <c r="C214" s="1">
        <f t="shared" si="53"/>
        <v>9.111499773278128</v>
      </c>
      <c r="D214" s="1">
        <f t="shared" si="53"/>
        <v>1.9265081149608482E-2</v>
      </c>
      <c r="E214" s="1">
        <f t="shared" si="68"/>
        <v>0.81255122451657757</v>
      </c>
      <c r="F214" s="1">
        <f t="shared" si="51"/>
        <v>7.403560297959662</v>
      </c>
      <c r="G214" s="1">
        <f t="shared" si="71"/>
        <v>6.0339016428371242</v>
      </c>
      <c r="H214" s="1">
        <f t="shared" si="54"/>
        <v>8.5758749999999995E-2</v>
      </c>
      <c r="I214" s="121">
        <f t="shared" si="70"/>
        <v>24.331747607124282</v>
      </c>
      <c r="J214" s="121">
        <f t="shared" si="55"/>
        <v>0.46875309216304129</v>
      </c>
      <c r="K214" s="1">
        <f t="shared" si="72"/>
        <v>0.38203377011287865</v>
      </c>
      <c r="L214" s="1">
        <f t="shared" si="69"/>
        <v>4.4036205834503038E-2</v>
      </c>
      <c r="M214" s="1">
        <f t="shared" si="56"/>
        <v>0.40123587947710343</v>
      </c>
      <c r="N214" s="1">
        <f t="shared" si="57"/>
        <v>0.32098870358168274</v>
      </c>
      <c r="O214" s="1">
        <f t="shared" si="58"/>
        <v>2.1036678151223214</v>
      </c>
      <c r="P214" s="1">
        <v>0.18967542838166601</v>
      </c>
      <c r="Q214" s="1">
        <f t="shared" si="59"/>
        <v>4.5349989516802101</v>
      </c>
      <c r="R214" s="1">
        <f t="shared" si="60"/>
        <v>9.5401313362631246</v>
      </c>
      <c r="S214" s="1">
        <f t="shared" si="61"/>
        <v>7.6321050690104997</v>
      </c>
      <c r="T214" s="1">
        <f t="shared" si="62"/>
        <v>0</v>
      </c>
      <c r="U214" s="1">
        <f t="shared" si="52"/>
        <v>0</v>
      </c>
      <c r="V214" s="1">
        <f t="shared" si="63"/>
        <v>0</v>
      </c>
      <c r="W214" s="1">
        <f t="shared" si="64"/>
        <v>9.111499773278128</v>
      </c>
      <c r="X214" s="1">
        <v>3.1566666666666666E-2</v>
      </c>
      <c r="Y214" s="1">
        <f t="shared" si="65"/>
        <v>2.2455913766494615</v>
      </c>
      <c r="Z214" s="1">
        <f t="shared" si="66"/>
        <v>20.460705319216888</v>
      </c>
      <c r="AA214" s="1">
        <f t="shared" si="67"/>
        <v>16.36856425537351</v>
      </c>
    </row>
    <row r="215" spans="1:27" ht="15.5">
      <c r="A215" s="160" t="s">
        <v>121</v>
      </c>
      <c r="B215" s="170">
        <v>52.64</v>
      </c>
      <c r="C215" s="1">
        <f t="shared" si="53"/>
        <v>7.9650442244023312</v>
      </c>
      <c r="D215" s="1">
        <f t="shared" si="53"/>
        <v>1.744132223653971E-2</v>
      </c>
      <c r="E215" s="1">
        <f t="shared" si="68"/>
        <v>0.66393196392629983</v>
      </c>
      <c r="F215" s="1">
        <f t="shared" si="51"/>
        <v>5.2882474546672711</v>
      </c>
      <c r="G215" s="1">
        <f t="shared" si="71"/>
        <v>4.3099216755538254</v>
      </c>
      <c r="H215" s="1">
        <f t="shared" si="54"/>
        <v>8.5758749999999995E-2</v>
      </c>
      <c r="I215" s="121">
        <f t="shared" si="70"/>
        <v>19.88136192172766</v>
      </c>
      <c r="J215" s="121">
        <f t="shared" si="55"/>
        <v>0.34675723977812251</v>
      </c>
      <c r="K215" s="1">
        <f t="shared" si="72"/>
        <v>0.28260715041916984</v>
      </c>
      <c r="L215" s="1">
        <f t="shared" si="69"/>
        <v>3.5981786429475617E-2</v>
      </c>
      <c r="M215" s="1">
        <f t="shared" si="56"/>
        <v>0.28659652018377296</v>
      </c>
      <c r="N215" s="1">
        <f t="shared" si="57"/>
        <v>0.22927721614701838</v>
      </c>
      <c r="O215" s="1">
        <f t="shared" si="58"/>
        <v>1.9010071715058339</v>
      </c>
      <c r="P215" s="1">
        <f t="shared" si="74"/>
        <v>0.18967542838166601</v>
      </c>
      <c r="Q215" s="1">
        <f t="shared" si="59"/>
        <v>3.7055273188272992</v>
      </c>
      <c r="R215" s="1">
        <f t="shared" si="60"/>
        <v>7.0442340073014806</v>
      </c>
      <c r="S215" s="1">
        <f t="shared" si="61"/>
        <v>5.6353872058411847</v>
      </c>
      <c r="T215" s="1">
        <f t="shared" si="62"/>
        <v>0</v>
      </c>
      <c r="U215" s="1">
        <f t="shared" si="52"/>
        <v>0</v>
      </c>
      <c r="V215" s="1">
        <f t="shared" si="63"/>
        <v>0</v>
      </c>
      <c r="W215" s="1">
        <f t="shared" si="64"/>
        <v>7.9650442244023312</v>
      </c>
      <c r="X215" s="1">
        <f t="shared" si="73"/>
        <v>3.1566666666666666E-2</v>
      </c>
      <c r="Y215" s="1">
        <f t="shared" si="65"/>
        <v>1.8348626497509175</v>
      </c>
      <c r="Z215" s="1">
        <f t="shared" si="66"/>
        <v>14.614762150970103</v>
      </c>
      <c r="AA215" s="1">
        <f t="shared" si="67"/>
        <v>11.691809720776083</v>
      </c>
    </row>
    <row r="216" spans="1:27" ht="15.5">
      <c r="A216" s="160" t="s">
        <v>122</v>
      </c>
      <c r="B216" s="170">
        <v>57.64</v>
      </c>
      <c r="C216" s="1">
        <f t="shared" si="53"/>
        <v>6.8266022419576435</v>
      </c>
      <c r="D216" s="1">
        <f t="shared" si="53"/>
        <v>1.5635894304453991E-2</v>
      </c>
      <c r="E216" s="1">
        <f t="shared" si="68"/>
        <v>0.57703719698727673</v>
      </c>
      <c r="F216" s="1">
        <f t="shared" si="51"/>
        <v>3.939203422646298</v>
      </c>
      <c r="G216" s="1">
        <f t="shared" si="71"/>
        <v>3.2104507894567327</v>
      </c>
      <c r="H216" s="1">
        <f t="shared" si="54"/>
        <v>8.5758749999999995E-2</v>
      </c>
      <c r="I216" s="121">
        <f t="shared" si="70"/>
        <v>17.279308692655139</v>
      </c>
      <c r="J216" s="121">
        <f t="shared" si="55"/>
        <v>0.27017744437238883</v>
      </c>
      <c r="K216" s="1">
        <f t="shared" si="72"/>
        <v>0.22019461716349689</v>
      </c>
      <c r="L216" s="1">
        <f t="shared" si="69"/>
        <v>3.1272525367018231E-2</v>
      </c>
      <c r="M216" s="1">
        <f t="shared" si="56"/>
        <v>0.21348509178216393</v>
      </c>
      <c r="N216" s="1">
        <f t="shared" si="57"/>
        <v>0.17078807342573116</v>
      </c>
      <c r="O216" s="1">
        <f t="shared" si="58"/>
        <v>1.7015988309119532</v>
      </c>
      <c r="P216" s="1">
        <f t="shared" si="74"/>
        <v>0.18967542838166601</v>
      </c>
      <c r="Q216" s="1">
        <f t="shared" si="59"/>
        <v>3.2205515227359034</v>
      </c>
      <c r="R216" s="1">
        <f t="shared" si="60"/>
        <v>5.4800867059791241</v>
      </c>
      <c r="S216" s="1">
        <f t="shared" si="61"/>
        <v>4.3840693647832998</v>
      </c>
      <c r="T216" s="1">
        <f t="shared" si="62"/>
        <v>0</v>
      </c>
      <c r="U216" s="1">
        <f t="shared" si="52"/>
        <v>0</v>
      </c>
      <c r="V216" s="1">
        <f t="shared" si="63"/>
        <v>0</v>
      </c>
      <c r="W216" s="1">
        <f t="shared" si="64"/>
        <v>6.8266022419576435</v>
      </c>
      <c r="X216" s="1">
        <f t="shared" si="73"/>
        <v>3.1566666666666666E-2</v>
      </c>
      <c r="Y216" s="1">
        <f t="shared" si="65"/>
        <v>1.5947176183649561</v>
      </c>
      <c r="Z216" s="1">
        <f t="shared" si="66"/>
        <v>10.886502868819562</v>
      </c>
      <c r="AA216" s="1">
        <f t="shared" si="67"/>
        <v>8.7092022950556505</v>
      </c>
    </row>
    <row r="217" spans="1:27" ht="15.5">
      <c r="A217" s="160" t="s">
        <v>124</v>
      </c>
      <c r="B217" s="170">
        <v>62.67</v>
      </c>
      <c r="C217" s="1">
        <f t="shared" si="53"/>
        <v>5.7118272170917006</v>
      </c>
      <c r="D217" s="1">
        <f t="shared" si="53"/>
        <v>1.3901876765442253E-2</v>
      </c>
      <c r="E217" s="1">
        <f t="shared" si="68"/>
        <v>0.51690873937609871</v>
      </c>
      <c r="F217" s="1">
        <f t="shared" si="51"/>
        <v>2.9524934063209609</v>
      </c>
      <c r="G217" s="1">
        <f t="shared" si="71"/>
        <v>2.406282126151583</v>
      </c>
      <c r="H217" s="1">
        <f t="shared" si="54"/>
        <v>8.8346250000000001E-2</v>
      </c>
      <c r="I217" s="121">
        <f t="shared" si="70"/>
        <v>15.945792422735765</v>
      </c>
      <c r="J217" s="121">
        <f t="shared" si="55"/>
        <v>0.22167644118819549</v>
      </c>
      <c r="K217" s="1">
        <f t="shared" si="72"/>
        <v>0.18066629956837932</v>
      </c>
      <c r="L217" s="1">
        <f t="shared" si="69"/>
        <v>2.8013864182362045E-2</v>
      </c>
      <c r="M217" s="1">
        <f t="shared" si="56"/>
        <v>0.16001035189272586</v>
      </c>
      <c r="N217" s="1">
        <f t="shared" si="57"/>
        <v>0.1280082815141807</v>
      </c>
      <c r="O217" s="1">
        <f t="shared" si="58"/>
        <v>1.5109183879237278</v>
      </c>
      <c r="P217" s="1">
        <f t="shared" si="74"/>
        <v>0.18967542838166601</v>
      </c>
      <c r="Q217" s="1">
        <f t="shared" si="59"/>
        <v>2.8849634588632891</v>
      </c>
      <c r="R217" s="1">
        <f t="shared" si="60"/>
        <v>4.3589443384845827</v>
      </c>
      <c r="S217" s="1">
        <f t="shared" si="61"/>
        <v>3.4871554707876662</v>
      </c>
      <c r="T217" s="1">
        <f t="shared" si="62"/>
        <v>0</v>
      </c>
      <c r="U217" s="1">
        <f t="shared" si="52"/>
        <v>0</v>
      </c>
      <c r="V217" s="1">
        <f t="shared" si="63"/>
        <v>0</v>
      </c>
      <c r="W217" s="1">
        <f t="shared" si="64"/>
        <v>5.7118272170917006</v>
      </c>
      <c r="X217" s="1">
        <v>3.049166666666666E-2</v>
      </c>
      <c r="Y217" s="1">
        <f t="shared" si="65"/>
        <v>1.3798958126387728</v>
      </c>
      <c r="Z217" s="1">
        <f t="shared" si="66"/>
        <v>7.8817264593810128</v>
      </c>
      <c r="AA217" s="1">
        <f t="shared" si="67"/>
        <v>6.3053811675048106</v>
      </c>
    </row>
    <row r="218" spans="1:27" ht="15.5">
      <c r="A218" s="160" t="s">
        <v>125</v>
      </c>
      <c r="B218" s="170">
        <v>67.680000000000007</v>
      </c>
      <c r="C218" s="1">
        <f t="shared" si="53"/>
        <v>4.6338111000864313</v>
      </c>
      <c r="D218" s="1">
        <f t="shared" si="53"/>
        <v>1.2286756861320193E-2</v>
      </c>
      <c r="E218" s="1">
        <f t="shared" si="68"/>
        <v>0.40751248072451812</v>
      </c>
      <c r="F218" s="1">
        <f t="shared" si="51"/>
        <v>1.8883358566050299</v>
      </c>
      <c r="G218" s="1">
        <f t="shared" si="71"/>
        <v>1.5389937231330992</v>
      </c>
      <c r="H218" s="1">
        <f t="shared" si="54"/>
        <v>8.8346250000000001E-2</v>
      </c>
      <c r="I218" s="121">
        <f t="shared" si="70"/>
        <v>12.571096080036096</v>
      </c>
      <c r="J218" s="121">
        <f t="shared" si="55"/>
        <v>0.1544580010156989</v>
      </c>
      <c r="K218" s="1">
        <f t="shared" si="72"/>
        <v>0.1258832708277946</v>
      </c>
      <c r="L218" s="1">
        <f t="shared" si="69"/>
        <v>2.2085134991938857E-2</v>
      </c>
      <c r="M218" s="1">
        <f t="shared" si="56"/>
        <v>0.10233834367255353</v>
      </c>
      <c r="N218" s="1">
        <f t="shared" si="57"/>
        <v>8.1870674938042828E-2</v>
      </c>
      <c r="O218" s="1">
        <f t="shared" si="58"/>
        <v>1.3339003267510836</v>
      </c>
      <c r="P218" s="1">
        <v>0.18961255691499934</v>
      </c>
      <c r="Q218" s="1">
        <f t="shared" si="59"/>
        <v>2.2736487746611496</v>
      </c>
      <c r="R218" s="1">
        <f t="shared" si="60"/>
        <v>3.0328208434377082</v>
      </c>
      <c r="S218" s="1">
        <f t="shared" si="61"/>
        <v>2.4262566747501668</v>
      </c>
      <c r="T218" s="1">
        <f t="shared" si="62"/>
        <v>0</v>
      </c>
      <c r="U218" s="1">
        <f t="shared" si="52"/>
        <v>0</v>
      </c>
      <c r="V218" s="1">
        <f t="shared" si="63"/>
        <v>0</v>
      </c>
      <c r="W218" s="1">
        <f t="shared" si="64"/>
        <v>4.6338111000864313</v>
      </c>
      <c r="X218" s="1">
        <f t="shared" si="73"/>
        <v>3.049166666666666E-2</v>
      </c>
      <c r="Y218" s="1">
        <f t="shared" si="65"/>
        <v>1.0878608212902705</v>
      </c>
      <c r="Z218" s="1">
        <f t="shared" si="66"/>
        <v>5.040941549043997</v>
      </c>
      <c r="AA218" s="1">
        <f t="shared" si="67"/>
        <v>4.0327532392351975</v>
      </c>
    </row>
    <row r="219" spans="1:27" ht="15.5">
      <c r="A219" s="160" t="s">
        <v>126</v>
      </c>
      <c r="B219" s="170">
        <v>72.56</v>
      </c>
      <c r="C219" s="1">
        <f t="shared" si="53"/>
        <v>3.627712105557285</v>
      </c>
      <c r="D219" s="1">
        <f t="shared" si="53"/>
        <v>1.0836682828614622E-2</v>
      </c>
      <c r="E219" s="1">
        <f t="shared" si="68"/>
        <v>0.28402067874433118</v>
      </c>
      <c r="F219" s="1">
        <f t="shared" si="51"/>
        <v>1.0303452545094069</v>
      </c>
      <c r="G219" s="1">
        <f t="shared" si="71"/>
        <v>0.83973138242516665</v>
      </c>
      <c r="H219" s="1">
        <f t="shared" si="54"/>
        <v>8.8346250000000001E-2</v>
      </c>
      <c r="I219" s="121">
        <f t="shared" si="70"/>
        <v>8.7615751911797499</v>
      </c>
      <c r="J219" s="121">
        <f t="shared" si="55"/>
        <v>9.494641142587347E-2</v>
      </c>
      <c r="K219" s="1">
        <f t="shared" si="72"/>
        <v>7.7381325312086871E-2</v>
      </c>
      <c r="L219" s="1">
        <f t="shared" si="69"/>
        <v>1.5392497965751897E-2</v>
      </c>
      <c r="M219" s="1">
        <f t="shared" si="56"/>
        <v>5.5839551205124037E-2</v>
      </c>
      <c r="N219" s="1">
        <f t="shared" si="57"/>
        <v>4.467164096409923E-2</v>
      </c>
      <c r="O219" s="1">
        <f t="shared" si="58"/>
        <v>1.1753765228934923</v>
      </c>
      <c r="P219" s="1">
        <f t="shared" si="74"/>
        <v>0.18961255691499934</v>
      </c>
      <c r="Q219" s="1">
        <f t="shared" si="59"/>
        <v>1.5846466028656874</v>
      </c>
      <c r="R219" s="1">
        <f t="shared" si="60"/>
        <v>1.8625564140912563</v>
      </c>
      <c r="S219" s="1">
        <f t="shared" si="61"/>
        <v>1.4900451312730052</v>
      </c>
      <c r="T219" s="1">
        <f t="shared" si="62"/>
        <v>0</v>
      </c>
      <c r="U219" s="1">
        <f t="shared" si="52"/>
        <v>0</v>
      </c>
      <c r="V219" s="1">
        <f t="shared" si="63"/>
        <v>0</v>
      </c>
      <c r="W219" s="1">
        <f t="shared" si="64"/>
        <v>3.627712105557285</v>
      </c>
      <c r="X219" s="1">
        <f t="shared" si="73"/>
        <v>3.049166666666666E-2</v>
      </c>
      <c r="Y219" s="1">
        <f t="shared" si="65"/>
        <v>0.75819756070513544</v>
      </c>
      <c r="Z219" s="1">
        <f t="shared" si="66"/>
        <v>2.7505224693740242</v>
      </c>
      <c r="AA219" s="1">
        <f t="shared" si="67"/>
        <v>2.2004179754992195</v>
      </c>
    </row>
    <row r="220" spans="1:27" ht="15.5">
      <c r="A220" s="160" t="s">
        <v>127</v>
      </c>
      <c r="B220" s="170">
        <v>77.45</v>
      </c>
      <c r="C220" s="1">
        <f t="shared" si="53"/>
        <v>2.7313382953473297</v>
      </c>
      <c r="D220" s="1">
        <f t="shared" si="53"/>
        <v>9.5119466881682015E-3</v>
      </c>
      <c r="E220" s="1">
        <f t="shared" si="68"/>
        <v>0.16986009790456319</v>
      </c>
      <c r="F220" s="1">
        <f t="shared" si="51"/>
        <v>0.46394539025818016</v>
      </c>
      <c r="G220" s="1">
        <f t="shared" si="71"/>
        <v>0.37811549306041681</v>
      </c>
      <c r="H220" s="1">
        <f t="shared" si="54"/>
        <v>8.8346250000000001E-2</v>
      </c>
      <c r="I220" s="121">
        <f t="shared" si="70"/>
        <v>5.2399072713704244</v>
      </c>
      <c r="J220" s="121">
        <f t="shared" si="55"/>
        <v>4.9841718616220387E-2</v>
      </c>
      <c r="K220" s="1">
        <f t="shared" si="72"/>
        <v>4.0621000672219611E-2</v>
      </c>
      <c r="L220" s="1">
        <f t="shared" si="69"/>
        <v>9.2055663799465205E-3</v>
      </c>
      <c r="M220" s="1">
        <f t="shared" si="56"/>
        <v>2.514351598390982E-2</v>
      </c>
      <c r="N220" s="1">
        <f t="shared" si="57"/>
        <v>2.0114812787127859E-2</v>
      </c>
      <c r="O220" s="1">
        <f t="shared" si="58"/>
        <v>1.030848151857273</v>
      </c>
      <c r="P220" s="1">
        <f t="shared" si="74"/>
        <v>0.18961255691499934</v>
      </c>
      <c r="Q220" s="1">
        <f t="shared" si="59"/>
        <v>0.94770644270306148</v>
      </c>
      <c r="R220" s="1">
        <f t="shared" si="60"/>
        <v>0.97694143496368147</v>
      </c>
      <c r="S220" s="1">
        <f t="shared" si="61"/>
        <v>0.78155314797094522</v>
      </c>
      <c r="T220" s="1">
        <f t="shared" si="62"/>
        <v>0</v>
      </c>
      <c r="U220" s="1">
        <f t="shared" si="52"/>
        <v>0</v>
      </c>
      <c r="V220" s="1">
        <f t="shared" si="63"/>
        <v>0</v>
      </c>
      <c r="W220" s="1">
        <f t="shared" si="64"/>
        <v>2.7313382953473297</v>
      </c>
      <c r="X220" s="1">
        <f t="shared" si="73"/>
        <v>3.049166666666666E-2</v>
      </c>
      <c r="Y220" s="1">
        <f t="shared" si="65"/>
        <v>0.4534441381583586</v>
      </c>
      <c r="Z220" s="1">
        <f t="shared" si="66"/>
        <v>1.2385093393526903</v>
      </c>
      <c r="AA220" s="1">
        <f t="shared" si="67"/>
        <v>0.9908074714821522</v>
      </c>
    </row>
    <row r="221" spans="1:27" ht="15.5">
      <c r="A221" s="160" t="s">
        <v>128</v>
      </c>
      <c r="B221" s="170">
        <v>82.43</v>
      </c>
      <c r="C221" s="1">
        <f t="shared" si="53"/>
        <v>1.9702106627232505</v>
      </c>
      <c r="D221" s="1">
        <f t="shared" si="53"/>
        <v>8.295050671244697E-3</v>
      </c>
      <c r="E221" s="1">
        <f t="shared" si="68"/>
        <v>8.1773655770192397E-2</v>
      </c>
      <c r="F221" s="1">
        <f t="shared" si="51"/>
        <v>0.16111132852829371</v>
      </c>
      <c r="G221" s="1">
        <f t="shared" si="71"/>
        <v>0.13130573275055937</v>
      </c>
      <c r="H221" s="1">
        <f t="shared" si="54"/>
        <v>8.8346250000000001E-2</v>
      </c>
      <c r="I221" s="121">
        <f t="shared" si="70"/>
        <v>2.5225840486535009</v>
      </c>
      <c r="J221" s="121">
        <f t="shared" si="55"/>
        <v>2.0924962506054388E-2</v>
      </c>
      <c r="K221" s="1">
        <f t="shared" si="72"/>
        <v>1.7053844442434324E-2</v>
      </c>
      <c r="L221" s="1">
        <f t="shared" si="69"/>
        <v>4.4317224916846122E-3</v>
      </c>
      <c r="M221" s="1">
        <f t="shared" si="56"/>
        <v>8.7314269073474754E-3</v>
      </c>
      <c r="N221" s="1">
        <f t="shared" si="57"/>
        <v>6.9851415258779803E-3</v>
      </c>
      <c r="O221" s="1">
        <f t="shared" si="58"/>
        <v>0.89830850893439995</v>
      </c>
      <c r="P221" s="1">
        <f t="shared" si="74"/>
        <v>0.18961255691499934</v>
      </c>
      <c r="Q221" s="1">
        <f t="shared" si="59"/>
        <v>0.45624264540537385</v>
      </c>
      <c r="R221" s="1">
        <f t="shared" si="60"/>
        <v>0.40984665050638752</v>
      </c>
      <c r="S221" s="1">
        <f t="shared" si="61"/>
        <v>0.32787732040511003</v>
      </c>
      <c r="T221" s="1">
        <f t="shared" si="62"/>
        <v>0</v>
      </c>
      <c r="U221" s="1">
        <f t="shared" si="52"/>
        <v>0</v>
      </c>
      <c r="V221" s="1">
        <f>U221*(1-$B$27)</f>
        <v>0</v>
      </c>
      <c r="W221" s="1">
        <f t="shared" si="64"/>
        <v>1.9702106627232505</v>
      </c>
      <c r="X221" s="1">
        <f t="shared" si="73"/>
        <v>3.049166666666666E-2</v>
      </c>
      <c r="Y221" s="1">
        <f t="shared" si="65"/>
        <v>0.21829602903918408</v>
      </c>
      <c r="Z221" s="1">
        <f t="shared" si="66"/>
        <v>0.43008916404314479</v>
      </c>
      <c r="AA221" s="1">
        <f t="shared" si="67"/>
        <v>0.34407133123451583</v>
      </c>
    </row>
    <row r="222" spans="1:27" ht="15.5">
      <c r="A222" s="160" t="s">
        <v>131</v>
      </c>
      <c r="B222" s="170">
        <v>89</v>
      </c>
      <c r="C222" s="1">
        <f t="shared" si="53"/>
        <v>0.96063211035281615</v>
      </c>
      <c r="D222" s="1">
        <f t="shared" si="53"/>
        <v>6.8863321654979411E-3</v>
      </c>
      <c r="E222" s="1">
        <f t="shared" si="68"/>
        <v>2.9259075005937826E-2</v>
      </c>
      <c r="F222" s="1">
        <f t="shared" si="51"/>
        <v>2.8107206969925389E-2</v>
      </c>
      <c r="G222" s="1">
        <f t="shared" si="71"/>
        <v>2.2907373680489191E-2</v>
      </c>
      <c r="H222" s="1">
        <f t="shared" si="54"/>
        <v>8.8346250000000001E-2</v>
      </c>
      <c r="I222" s="121">
        <f t="shared" si="70"/>
        <v>0.90259479282372124</v>
      </c>
      <c r="J222" s="121">
        <f t="shared" si="55"/>
        <v>6.2155675542329416E-3</v>
      </c>
      <c r="K222" s="1">
        <f t="shared" si="72"/>
        <v>5.065687556699847E-3</v>
      </c>
      <c r="L222" s="1">
        <f t="shared" si="69"/>
        <v>1.5856952898633586E-3</v>
      </c>
      <c r="M222" s="1">
        <f t="shared" si="56"/>
        <v>1.5232698126779586E-3</v>
      </c>
      <c r="N222" s="1">
        <f t="shared" si="57"/>
        <v>1.218615850142367E-3</v>
      </c>
      <c r="O222" s="1">
        <f t="shared" si="58"/>
        <v>0.74512325495928422</v>
      </c>
      <c r="P222" s="1">
        <f t="shared" si="74"/>
        <v>0.18961255691499934</v>
      </c>
      <c r="Q222" s="1">
        <f t="shared" si="59"/>
        <v>0.16324619043984709</v>
      </c>
      <c r="R222" s="1">
        <f t="shared" si="60"/>
        <v>0.12163853278024205</v>
      </c>
      <c r="S222" s="1">
        <f t="shared" si="61"/>
        <v>9.7310826224193639E-2</v>
      </c>
      <c r="T222" s="1">
        <f t="shared" si="62"/>
        <v>0</v>
      </c>
      <c r="U222" s="1">
        <f t="shared" si="52"/>
        <v>0</v>
      </c>
      <c r="V222" s="1">
        <f t="shared" si="63"/>
        <v>0</v>
      </c>
      <c r="W222" s="1">
        <f t="shared" si="64"/>
        <v>0.96063211035281615</v>
      </c>
      <c r="X222" s="1">
        <f t="shared" si="73"/>
        <v>3.049166666666666E-2</v>
      </c>
      <c r="Y222" s="1">
        <f t="shared" si="65"/>
        <v>7.8107549760347977E-2</v>
      </c>
      <c r="Z222" s="1">
        <f t="shared" si="66"/>
        <v>7.5032620360770672E-2</v>
      </c>
      <c r="AA222" s="1">
        <f t="shared" si="67"/>
        <v>6.0026096288616541E-2</v>
      </c>
    </row>
    <row r="223" spans="1:27" ht="15.5">
      <c r="A223" s="160" t="s">
        <v>70</v>
      </c>
      <c r="B223" s="1"/>
      <c r="E223" s="1"/>
      <c r="F223" s="1">
        <f>SUM(F204:F222)</f>
        <v>515.75852541675386</v>
      </c>
      <c r="G223" s="1">
        <f>SUM(G204:G222)</f>
        <v>362.34139098467762</v>
      </c>
      <c r="J223" s="1">
        <f>SUM(J204:J222)</f>
        <v>27.061309385317269</v>
      </c>
      <c r="K223" s="1">
        <f>SUM(K204:K222)</f>
        <v>19.154143922621284</v>
      </c>
      <c r="L223" s="1"/>
      <c r="M223" s="1">
        <f>SUM(M204:M222)</f>
        <v>145.16193902706311</v>
      </c>
      <c r="N223" s="1">
        <f>SUM(N204:N222)</f>
        <v>116.12955122165053</v>
      </c>
      <c r="O223" s="1"/>
      <c r="R223" s="1">
        <f>SUM(R204:R222)</f>
        <v>371.81922671589689</v>
      </c>
      <c r="S223" s="1">
        <f>SUM(S204:S222)</f>
        <v>297.45538137271745</v>
      </c>
      <c r="T223" s="1"/>
      <c r="U223" s="1">
        <f>SUM(U204:U222)</f>
        <v>0</v>
      </c>
      <c r="V223" s="1">
        <f>SUM(V204:V222)</f>
        <v>0</v>
      </c>
      <c r="Z223" s="1">
        <f>SUM(Z204:Z222)</f>
        <v>899.77373624354732</v>
      </c>
      <c r="AA223" s="1">
        <f>SUM(AA204:AA222)</f>
        <v>719.81898899483804</v>
      </c>
    </row>
    <row r="224" spans="1:27">
      <c r="A224" s="1"/>
      <c r="B224" s="1"/>
      <c r="C224" s="1" t="s">
        <v>363</v>
      </c>
      <c r="D224" s="1" t="s">
        <v>364</v>
      </c>
      <c r="E224" s="1"/>
      <c r="F224" s="1"/>
      <c r="G224" s="1" t="s">
        <v>355</v>
      </c>
      <c r="H224" s="1" t="s">
        <v>356</v>
      </c>
      <c r="I224" s="1"/>
      <c r="J224" s="1"/>
      <c r="K224" s="1"/>
      <c r="L224" s="1"/>
      <c r="M224" s="1"/>
      <c r="O224" s="1"/>
    </row>
    <row r="225" spans="1:5" ht="15.5">
      <c r="A225" s="160" t="s">
        <v>365</v>
      </c>
      <c r="B225" t="s">
        <v>366</v>
      </c>
      <c r="C225" t="s">
        <v>367</v>
      </c>
      <c r="D225" t="s">
        <v>368</v>
      </c>
    </row>
    <row r="226" spans="1:5">
      <c r="A226" s="63" t="s">
        <v>68</v>
      </c>
      <c r="B226" s="108">
        <f>(F177-G177)+(F200-G200)+(F223-G223)</f>
        <v>261.07881641494839</v>
      </c>
      <c r="C226" s="108">
        <f>(J177-K177)+(J200-K200)+(J223-K223)</f>
        <v>13.456081081424543</v>
      </c>
      <c r="D226" s="108">
        <f>B226+C226</f>
        <v>274.53489749637293</v>
      </c>
      <c r="E226" s="172">
        <f>D226/SUM($D$226:$D$230)</f>
        <v>0.38705757469083601</v>
      </c>
    </row>
    <row r="227" spans="1:5">
      <c r="A227" s="63" t="s">
        <v>15</v>
      </c>
      <c r="B227" s="108">
        <f>(M177-N177)+(M200-N200)</f>
        <v>0.99351285951488633</v>
      </c>
      <c r="C227" s="108">
        <f>(R177-S177)+(R200-S200)</f>
        <v>61.253118513091692</v>
      </c>
      <c r="D227" s="108">
        <f>B227+C227</f>
        <v>62.246631372606579</v>
      </c>
      <c r="E227" s="172">
        <f>D227/SUM($D$226:$D$230)</f>
        <v>8.7759444760839259E-2</v>
      </c>
    </row>
    <row r="228" spans="1:5">
      <c r="A228" s="63" t="s">
        <v>22</v>
      </c>
      <c r="B228" s="108">
        <f>(U177-V177)+(U200-V200)</f>
        <v>23.788601414859542</v>
      </c>
      <c r="C228" s="108">
        <f>(Z177-AA177)+(Z200-AA200)</f>
        <v>65.365867401277768</v>
      </c>
      <c r="D228" s="108">
        <f>B228+C228</f>
        <v>89.15446881613731</v>
      </c>
      <c r="E228" s="172">
        <f>D228/SUM($D$226:$D$230)</f>
        <v>0.1256959052838803</v>
      </c>
    </row>
    <row r="229" spans="1:5">
      <c r="A229" s="63" t="s">
        <v>17</v>
      </c>
      <c r="B229" s="108">
        <f>(M223-N223)</f>
        <v>29.032387805412583</v>
      </c>
      <c r="C229" s="108">
        <f>R223-S223</f>
        <v>74.363845343179435</v>
      </c>
      <c r="D229" s="108">
        <f>B229+C229</f>
        <v>103.39623314859202</v>
      </c>
      <c r="E229" s="172">
        <f>D229/SUM($D$226:$D$230)</f>
        <v>0.14577489273541622</v>
      </c>
    </row>
    <row r="230" spans="1:5">
      <c r="A230" s="63" t="s">
        <v>178</v>
      </c>
      <c r="B230">
        <v>0</v>
      </c>
      <c r="C230" s="108">
        <f>Z223-AA223</f>
        <v>179.95474724870928</v>
      </c>
      <c r="D230" s="108">
        <f>B230+C230</f>
        <v>179.95474724870928</v>
      </c>
      <c r="E230" s="172">
        <f>D230/SUM($D$226:$D$230)</f>
        <v>0.25371218252902816</v>
      </c>
    </row>
    <row r="232" spans="1:5">
      <c r="A232" s="141" t="s">
        <v>369</v>
      </c>
      <c r="B232" s="1" t="s">
        <v>366</v>
      </c>
      <c r="C232" s="1" t="s">
        <v>367</v>
      </c>
      <c r="D232" s="1" t="s">
        <v>368</v>
      </c>
    </row>
    <row r="233" spans="1:5">
      <c r="A233" s="63" t="s">
        <v>327</v>
      </c>
      <c r="B233" s="108">
        <f>(F177-G177)+(M177-N177)+(U177-V177)</f>
        <v>105.73545944131206</v>
      </c>
      <c r="C233" s="108">
        <f>(J177-K177)+(R177-S177)+(Z177-AA177)</f>
        <v>102.58324807150422</v>
      </c>
      <c r="D233" s="108">
        <f>B233+C233</f>
        <v>208.31870751281627</v>
      </c>
      <c r="E233" s="172">
        <f>D233/SUM($D$233:$D$235)</f>
        <v>0.29370158194080076</v>
      </c>
    </row>
    <row r="234" spans="1:5">
      <c r="A234" s="63" t="s">
        <v>12</v>
      </c>
      <c r="B234" s="108">
        <f>(F200-G200)+(M200-N200)+(U200-V200)</f>
        <v>26.708336815934516</v>
      </c>
      <c r="C234" s="108">
        <f>(J200-K200)+(R200-S200)+(Z200-AA200)</f>
        <v>29.584653461593806</v>
      </c>
      <c r="D234" s="108">
        <f>B234+C234</f>
        <v>56.292990277528318</v>
      </c>
      <c r="E234" s="172">
        <f>D234/SUM($D$233:$D$235)</f>
        <v>7.9365605202168468E-2</v>
      </c>
    </row>
    <row r="235" spans="1:5">
      <c r="A235" s="63" t="s">
        <v>13</v>
      </c>
      <c r="B235" s="108">
        <f>(F223-G223)+(M223-N223)</f>
        <v>182.44952223748882</v>
      </c>
      <c r="C235" s="108">
        <f>(J223-K223)+(R223-S223)+(Z223-AA223)</f>
        <v>262.22575805458473</v>
      </c>
      <c r="D235" s="108">
        <f>B235+C235</f>
        <v>444.67528029207358</v>
      </c>
      <c r="E235" s="172">
        <f>D235/SUM($D$233:$D$235)</f>
        <v>0.62693281285703084</v>
      </c>
    </row>
    <row r="237" spans="1:5">
      <c r="A237" s="141" t="s">
        <v>370</v>
      </c>
      <c r="B237" s="1" t="s">
        <v>366</v>
      </c>
      <c r="C237" s="1" t="s">
        <v>367</v>
      </c>
      <c r="D237" s="1" t="s">
        <v>368</v>
      </c>
    </row>
    <row r="238" spans="1:5">
      <c r="A238" s="63" t="s">
        <v>68</v>
      </c>
      <c r="B238" s="108">
        <f>F177-G177</f>
        <v>86.530549360908424</v>
      </c>
      <c r="C238" s="108">
        <f>J200-K200</f>
        <v>1.0891049599809621</v>
      </c>
      <c r="D238" s="108">
        <f>B238+C238</f>
        <v>87.619654320889381</v>
      </c>
      <c r="E238" s="172">
        <f>D238/SUM($D$238:$D$240)</f>
        <v>0.42752138857341554</v>
      </c>
    </row>
    <row r="239" spans="1:5">
      <c r="A239" s="63" t="s">
        <v>15</v>
      </c>
      <c r="B239" s="108">
        <f>M177-N177</f>
        <v>0.76992321637536065</v>
      </c>
      <c r="C239" s="108">
        <f>R177-S177</f>
        <v>47.468130449411774</v>
      </c>
      <c r="D239" s="108">
        <f>B239+C239</f>
        <v>48.238053665787135</v>
      </c>
      <c r="E239" s="172">
        <f>D239/SUM($D$238:$D$240)</f>
        <v>0.23536727969445523</v>
      </c>
    </row>
    <row r="240" spans="1:5">
      <c r="A240" s="63" t="s">
        <v>22</v>
      </c>
      <c r="B240" s="108">
        <f>U177-V177</f>
        <v>18.434986864028268</v>
      </c>
      <c r="C240" s="108">
        <f>Z177-AA177</f>
        <v>50.655306963344842</v>
      </c>
      <c r="D240" s="108">
        <f>B240+C240</f>
        <v>69.090293827373102</v>
      </c>
      <c r="E240" s="172">
        <f>D240/SUM($D$238:$D$240)</f>
        <v>0.3371113317321292</v>
      </c>
    </row>
    <row r="242" spans="1:22">
      <c r="A242" s="141" t="s">
        <v>371</v>
      </c>
      <c r="B242" s="1" t="s">
        <v>366</v>
      </c>
      <c r="C242" s="1" t="s">
        <v>367</v>
      </c>
      <c r="D242" s="1" t="s">
        <v>368</v>
      </c>
    </row>
    <row r="243" spans="1:22">
      <c r="A243" s="63" t="s">
        <v>68</v>
      </c>
      <c r="B243" s="108">
        <f>F200-G200</f>
        <v>21.131132621963715</v>
      </c>
      <c r="C243" s="108">
        <f>J200-K200</f>
        <v>1.0891049599809621</v>
      </c>
      <c r="D243" s="108">
        <f>B243+C243</f>
        <v>22.220237581944676</v>
      </c>
      <c r="E243" s="172">
        <f>D243/SUM($D$243:$D$245)</f>
        <v>0.39472476897029934</v>
      </c>
    </row>
    <row r="244" spans="1:22">
      <c r="A244" s="63" t="s">
        <v>15</v>
      </c>
      <c r="B244" s="108">
        <f>M200-N200</f>
        <v>0.22358964313952567</v>
      </c>
      <c r="C244" s="108">
        <f>R200-S200</f>
        <v>13.784988063679918</v>
      </c>
      <c r="D244" s="108">
        <f>B244+C244</f>
        <v>14.008577706819445</v>
      </c>
      <c r="E244" s="172">
        <f>D244/SUM($D$243:$D$245)</f>
        <v>0.2488511915561101</v>
      </c>
    </row>
    <row r="245" spans="1:22">
      <c r="A245" s="63" t="s">
        <v>22</v>
      </c>
      <c r="B245" s="108">
        <f>U200-V200</f>
        <v>5.3536145508312725</v>
      </c>
      <c r="C245" s="108">
        <f>Z200-AA200</f>
        <v>14.710560437932926</v>
      </c>
      <c r="D245" s="108">
        <f>B245+C245</f>
        <v>20.064174988764201</v>
      </c>
      <c r="E245" s="172">
        <f>D245/SUM($D$243:$D$245)</f>
        <v>0.35642403947359047</v>
      </c>
    </row>
    <row r="247" spans="1:22">
      <c r="A247" s="141" t="s">
        <v>372</v>
      </c>
      <c r="B247" s="1" t="s">
        <v>366</v>
      </c>
      <c r="C247" s="1" t="s">
        <v>367</v>
      </c>
      <c r="D247" s="1" t="s">
        <v>368</v>
      </c>
    </row>
    <row r="248" spans="1:22">
      <c r="A248" s="63" t="s">
        <v>68</v>
      </c>
      <c r="B248" s="108">
        <f>F223-G223</f>
        <v>153.41713443207624</v>
      </c>
      <c r="C248" s="108">
        <f>J223-K223</f>
        <v>7.9071654626959855</v>
      </c>
      <c r="D248" s="108">
        <f>B248+C248</f>
        <v>161.32429989477222</v>
      </c>
      <c r="E248" s="172">
        <f>D248/SUM($D$248:$D$250)</f>
        <v>0.36279124800643403</v>
      </c>
    </row>
    <row r="249" spans="1:22">
      <c r="A249" s="63" t="s">
        <v>17</v>
      </c>
      <c r="B249" s="108">
        <f>M223-N223</f>
        <v>29.032387805412583</v>
      </c>
      <c r="C249" s="108">
        <f>R223-S223</f>
        <v>74.363845343179435</v>
      </c>
      <c r="D249" s="108">
        <f>B249+C249</f>
        <v>103.39623314859202</v>
      </c>
      <c r="E249" s="172">
        <f>D249/SUM($D$248:$D$250)</f>
        <v>0.23252075780034109</v>
      </c>
    </row>
    <row r="250" spans="1:22">
      <c r="A250" s="63" t="s">
        <v>178</v>
      </c>
      <c r="B250">
        <v>0</v>
      </c>
      <c r="C250" s="108">
        <f>Z223-AA223</f>
        <v>179.95474724870928</v>
      </c>
      <c r="D250" s="108">
        <f>B250+C250</f>
        <v>179.95474724870928</v>
      </c>
      <c r="E250" s="172">
        <f>D250/SUM($D$248:$D$250)</f>
        <v>0.40468799419322488</v>
      </c>
    </row>
    <row r="252" spans="1:22">
      <c r="A252" s="141" t="s">
        <v>373</v>
      </c>
    </row>
    <row r="253" spans="1:22">
      <c r="A253" s="63" t="s">
        <v>381</v>
      </c>
    </row>
    <row r="254" spans="1:22">
      <c r="A254" s="173" t="s">
        <v>374</v>
      </c>
    </row>
    <row r="255" spans="1:22" s="1" customFormat="1">
      <c r="A255" s="173" t="s">
        <v>383</v>
      </c>
    </row>
    <row r="256" spans="1:22" s="1" customFormat="1">
      <c r="A256" s="179" t="s">
        <v>384</v>
      </c>
      <c r="B256" s="175">
        <f>B19*1.0273</f>
        <v>2775.215004958201</v>
      </c>
      <c r="C256" s="181">
        <f>B256*1.0273</f>
        <v>2850.9783745935601</v>
      </c>
      <c r="D256" s="181">
        <f t="shared" ref="D256:V256" si="75">C256*1.0273</f>
        <v>2928.8100842199647</v>
      </c>
      <c r="E256" s="181">
        <f t="shared" si="75"/>
        <v>3008.7665995191701</v>
      </c>
      <c r="F256" s="181">
        <f t="shared" si="75"/>
        <v>3090.9059276860439</v>
      </c>
      <c r="G256" s="181">
        <f t="shared" si="75"/>
        <v>3175.2876595118732</v>
      </c>
      <c r="H256" s="181">
        <f t="shared" si="75"/>
        <v>3261.9730126165477</v>
      </c>
      <c r="I256" s="181">
        <f t="shared" si="75"/>
        <v>3351.02487586098</v>
      </c>
      <c r="J256" s="181">
        <f t="shared" si="75"/>
        <v>3442.5078549719851</v>
      </c>
      <c r="K256" s="181">
        <f t="shared" si="75"/>
        <v>3536.4883194127206</v>
      </c>
      <c r="L256" s="181">
        <f t="shared" si="75"/>
        <v>3633.034450532688</v>
      </c>
      <c r="M256" s="181">
        <f t="shared" si="75"/>
        <v>3732.2162910322309</v>
      </c>
      <c r="N256" s="181">
        <f t="shared" si="75"/>
        <v>3834.105795777411</v>
      </c>
      <c r="O256" s="181">
        <f t="shared" si="75"/>
        <v>3938.7768840021349</v>
      </c>
      <c r="P256" s="181">
        <f t="shared" si="75"/>
        <v>4046.3054929353934</v>
      </c>
      <c r="Q256" s="181">
        <f t="shared" si="75"/>
        <v>4156.7696328925304</v>
      </c>
      <c r="R256" s="181">
        <f t="shared" si="75"/>
        <v>4270.2494438704971</v>
      </c>
      <c r="S256" s="181">
        <f t="shared" si="75"/>
        <v>4386.8272536881623</v>
      </c>
      <c r="T256" s="181">
        <f t="shared" si="75"/>
        <v>4506.5876377138493</v>
      </c>
      <c r="U256" s="181">
        <f t="shared" si="75"/>
        <v>4629.6174802234382</v>
      </c>
      <c r="V256" s="181">
        <f t="shared" si="75"/>
        <v>4756.0060374335389</v>
      </c>
    </row>
    <row r="257" spans="1:25">
      <c r="B257" t="s">
        <v>376</v>
      </c>
    </row>
    <row r="258" spans="1:25">
      <c r="A258" t="s">
        <v>375</v>
      </c>
      <c r="B258">
        <v>0</v>
      </c>
      <c r="C258">
        <v>1</v>
      </c>
      <c r="D258" s="1">
        <v>2</v>
      </c>
      <c r="E258" s="1">
        <v>3</v>
      </c>
      <c r="F258" s="1">
        <v>4</v>
      </c>
      <c r="G258" s="1">
        <v>5</v>
      </c>
      <c r="H258" s="1">
        <v>6</v>
      </c>
      <c r="I258" s="1">
        <v>7</v>
      </c>
      <c r="J258" s="1">
        <v>8</v>
      </c>
      <c r="K258" s="1">
        <v>9</v>
      </c>
      <c r="L258" s="1">
        <v>10</v>
      </c>
      <c r="M258" s="1">
        <v>11</v>
      </c>
      <c r="N258" s="1">
        <v>12</v>
      </c>
      <c r="O258" s="1">
        <v>13</v>
      </c>
      <c r="P258" s="1">
        <v>14</v>
      </c>
      <c r="Q258" s="1">
        <v>15</v>
      </c>
      <c r="R258" s="1">
        <v>16</v>
      </c>
      <c r="S258" s="1">
        <v>17</v>
      </c>
      <c r="T258" s="1">
        <v>18</v>
      </c>
      <c r="U258" s="1">
        <v>19</v>
      </c>
      <c r="V258" s="1">
        <v>20</v>
      </c>
    </row>
    <row r="259" spans="1:25">
      <c r="A259" s="141" t="s">
        <v>377</v>
      </c>
      <c r="X259">
        <v>1164.8023993836923</v>
      </c>
    </row>
    <row r="260" spans="1:25">
      <c r="A260" s="63" t="s">
        <v>68</v>
      </c>
      <c r="B260" s="175">
        <f>$D238*B$256</f>
        <v>243163.3794005829</v>
      </c>
      <c r="C260" s="175">
        <f>$D238*C$256</f>
        <v>249801.73965821881</v>
      </c>
      <c r="D260" s="175">
        <f t="shared" ref="C260:V262" si="76">$D238*D$256</f>
        <v>256621.32715088822</v>
      </c>
      <c r="E260" s="175">
        <f t="shared" si="76"/>
        <v>263627.08938210749</v>
      </c>
      <c r="F260" s="175">
        <f t="shared" si="76"/>
        <v>270824.1089222391</v>
      </c>
      <c r="G260" s="175">
        <f t="shared" si="76"/>
        <v>278217.60709581623</v>
      </c>
      <c r="H260" s="175">
        <f t="shared" si="76"/>
        <v>285812.94776953204</v>
      </c>
      <c r="I260" s="175">
        <f t="shared" si="76"/>
        <v>293615.64124364033</v>
      </c>
      <c r="J260" s="175">
        <f t="shared" si="76"/>
        <v>301631.34824959171</v>
      </c>
      <c r="K260" s="175">
        <f t="shared" si="76"/>
        <v>309865.88405680563</v>
      </c>
      <c r="L260" s="175">
        <f t="shared" si="76"/>
        <v>318325.22269155644</v>
      </c>
      <c r="M260" s="175">
        <f t="shared" si="76"/>
        <v>327015.50127103593</v>
      </c>
      <c r="N260" s="175">
        <f t="shared" si="76"/>
        <v>335943.02445573523</v>
      </c>
      <c r="O260" s="175">
        <f t="shared" si="76"/>
        <v>345114.26902337687</v>
      </c>
      <c r="P260" s="175">
        <f t="shared" si="76"/>
        <v>354535.88856771507</v>
      </c>
      <c r="Q260" s="175">
        <f t="shared" si="76"/>
        <v>364214.71832561377</v>
      </c>
      <c r="R260" s="175">
        <f t="shared" si="76"/>
        <v>374157.7801359031</v>
      </c>
      <c r="S260" s="175">
        <f t="shared" si="76"/>
        <v>384372.28753361327</v>
      </c>
      <c r="T260" s="175">
        <f t="shared" si="76"/>
        <v>394865.65098328097</v>
      </c>
      <c r="U260" s="175">
        <f t="shared" si="76"/>
        <v>405645.48325512459</v>
      </c>
      <c r="V260" s="175">
        <f t="shared" si="76"/>
        <v>416719.60494798957</v>
      </c>
      <c r="W260" s="182">
        <v>0.38865403415502409</v>
      </c>
      <c r="X260" s="183">
        <f>W260*$B$19/$X$259</f>
        <v>0.90138488287003804</v>
      </c>
      <c r="Y260" s="180">
        <f>X260*1000000-V260</f>
        <v>484665.27792204847</v>
      </c>
    </row>
    <row r="261" spans="1:25">
      <c r="A261" s="63" t="s">
        <v>15</v>
      </c>
      <c r="B261" s="175">
        <f t="shared" ref="B261:Q262" si="77">$D239*B$256</f>
        <v>133870.97034327142</v>
      </c>
      <c r="C261" s="175">
        <f t="shared" si="77"/>
        <v>137525.64783364272</v>
      </c>
      <c r="D261" s="175">
        <f t="shared" si="77"/>
        <v>141280.09801950119</v>
      </c>
      <c r="E261" s="175">
        <f t="shared" si="77"/>
        <v>145137.04469543361</v>
      </c>
      <c r="F261" s="175">
        <f t="shared" si="77"/>
        <v>149099.28601561894</v>
      </c>
      <c r="G261" s="175">
        <f t="shared" si="77"/>
        <v>153169.69652384537</v>
      </c>
      <c r="H261" s="175">
        <f t="shared" si="77"/>
        <v>157351.22923894637</v>
      </c>
      <c r="I261" s="175">
        <f t="shared" si="77"/>
        <v>161646.91779716962</v>
      </c>
      <c r="J261" s="175">
        <f t="shared" si="77"/>
        <v>166059.87865303239</v>
      </c>
      <c r="K261" s="175">
        <f t="shared" si="77"/>
        <v>170593.31334026018</v>
      </c>
      <c r="L261" s="175">
        <f t="shared" si="77"/>
        <v>175250.51079444928</v>
      </c>
      <c r="M261" s="175">
        <f t="shared" si="77"/>
        <v>180034.84973913778</v>
      </c>
      <c r="N261" s="175">
        <f t="shared" si="77"/>
        <v>184949.80113701624</v>
      </c>
      <c r="O261" s="175">
        <f t="shared" si="77"/>
        <v>189998.93070805681</v>
      </c>
      <c r="P261" s="175">
        <f t="shared" si="77"/>
        <v>195185.90151638677</v>
      </c>
      <c r="Q261" s="175">
        <f t="shared" si="77"/>
        <v>200514.47662778417</v>
      </c>
      <c r="R261" s="175">
        <f t="shared" si="76"/>
        <v>205988.5218397227</v>
      </c>
      <c r="S261" s="175">
        <f t="shared" si="76"/>
        <v>211612.00848594715</v>
      </c>
      <c r="T261" s="175">
        <f t="shared" si="76"/>
        <v>217389.01631761354</v>
      </c>
      <c r="U261" s="175">
        <f t="shared" si="76"/>
        <v>223323.73646308441</v>
      </c>
      <c r="V261" s="175">
        <f t="shared" si="76"/>
        <v>229420.47446852666</v>
      </c>
      <c r="W261" s="182">
        <v>0.27490138507030604</v>
      </c>
      <c r="X261" s="183">
        <f>W261*$B$19/$X$259</f>
        <v>0.63756434002064466</v>
      </c>
      <c r="Y261" s="180">
        <f>X261*1000000-V261</f>
        <v>408143.86555211805</v>
      </c>
    </row>
    <row r="262" spans="1:25">
      <c r="A262" s="63" t="s">
        <v>22</v>
      </c>
      <c r="B262" s="175">
        <f t="shared" si="77"/>
        <v>191740.42012669682</v>
      </c>
      <c r="C262" s="175">
        <f t="shared" si="76"/>
        <v>196974.93359615564</v>
      </c>
      <c r="D262" s="175">
        <f t="shared" si="76"/>
        <v>202352.34928333072</v>
      </c>
      <c r="E262" s="175">
        <f t="shared" si="76"/>
        <v>207876.56841876567</v>
      </c>
      <c r="F262" s="175">
        <f t="shared" si="76"/>
        <v>213551.59873659801</v>
      </c>
      <c r="G262" s="175">
        <f t="shared" si="76"/>
        <v>219381.55738210716</v>
      </c>
      <c r="H262" s="175">
        <f t="shared" si="76"/>
        <v>225370.67389863872</v>
      </c>
      <c r="I262" s="175">
        <f t="shared" si="76"/>
        <v>231523.29329607158</v>
      </c>
      <c r="J262" s="175">
        <f t="shared" si="76"/>
        <v>237843.87920305436</v>
      </c>
      <c r="K262" s="175">
        <f t="shared" si="76"/>
        <v>244337.01710529777</v>
      </c>
      <c r="L262" s="175">
        <f t="shared" si="76"/>
        <v>251007.41767227239</v>
      </c>
      <c r="M262" s="175">
        <f t="shared" si="76"/>
        <v>257859.92017472547</v>
      </c>
      <c r="N262" s="175">
        <f t="shared" si="76"/>
        <v>264899.49599549547</v>
      </c>
      <c r="O262" s="175">
        <f t="shared" si="76"/>
        <v>272131.25223617256</v>
      </c>
      <c r="P262" s="175">
        <f t="shared" si="76"/>
        <v>279560.43542222009</v>
      </c>
      <c r="Q262" s="175">
        <f t="shared" si="76"/>
        <v>287192.43530924676</v>
      </c>
      <c r="R262" s="175">
        <f t="shared" si="76"/>
        <v>295032.78879318922</v>
      </c>
      <c r="S262" s="175">
        <f t="shared" si="76"/>
        <v>303087.18392724334</v>
      </c>
      <c r="T262" s="175">
        <f t="shared" si="76"/>
        <v>311361.4640484571</v>
      </c>
      <c r="U262" s="175">
        <f t="shared" si="76"/>
        <v>319861.63201698003</v>
      </c>
      <c r="V262" s="175">
        <f t="shared" si="76"/>
        <v>328593.85457104363</v>
      </c>
      <c r="W262" s="182">
        <v>0.38739735967761679</v>
      </c>
      <c r="X262" s="183">
        <f>W262*$B$19/$X$259</f>
        <v>0.89847034377594037</v>
      </c>
      <c r="Y262" s="180">
        <f>X262*1000000-V262</f>
        <v>569876.48920489673</v>
      </c>
    </row>
    <row r="263" spans="1:25">
      <c r="A263" s="1"/>
      <c r="B263" s="175"/>
      <c r="C263" s="175"/>
      <c r="D263" s="175"/>
      <c r="E263" s="175"/>
      <c r="F263" s="175"/>
      <c r="G263" s="175"/>
      <c r="H263" s="175"/>
      <c r="I263" s="175"/>
      <c r="J263" s="175"/>
      <c r="K263" s="175"/>
      <c r="L263" s="175"/>
      <c r="M263" s="175"/>
      <c r="N263" s="175"/>
      <c r="O263" s="175"/>
      <c r="P263" s="175"/>
      <c r="Q263" s="175"/>
      <c r="R263" s="175"/>
      <c r="S263" s="175"/>
      <c r="T263" s="175"/>
      <c r="U263" s="175"/>
      <c r="V263" s="175"/>
    </row>
    <row r="264" spans="1:25">
      <c r="A264" s="141" t="s">
        <v>371</v>
      </c>
      <c r="B264" s="175"/>
      <c r="C264" s="175"/>
      <c r="D264" s="175"/>
      <c r="E264" s="175"/>
      <c r="F264" s="175"/>
      <c r="G264" s="175"/>
      <c r="H264" s="175"/>
      <c r="I264" s="175"/>
      <c r="J264" s="175"/>
      <c r="K264" s="175"/>
      <c r="L264" s="175"/>
      <c r="M264" s="175"/>
      <c r="N264" s="175"/>
      <c r="O264" s="175"/>
      <c r="P264" s="175"/>
      <c r="Q264" s="175"/>
      <c r="R264" s="175"/>
      <c r="S264" s="175"/>
      <c r="T264" s="175"/>
      <c r="U264" s="175"/>
      <c r="V264" s="175"/>
    </row>
    <row r="265" spans="1:25">
      <c r="A265" s="63" t="s">
        <v>68</v>
      </c>
      <c r="B265" s="175">
        <f t="shared" ref="B265:Q265" si="78">$D243*B$256</f>
        <v>61665.936751148998</v>
      </c>
      <c r="C265" s="175">
        <f t="shared" si="78"/>
        <v>63349.416824455373</v>
      </c>
      <c r="D265" s="175">
        <f t="shared" si="78"/>
        <v>65078.855903763011</v>
      </c>
      <c r="E265" s="175">
        <f t="shared" si="78"/>
        <v>66855.508669935749</v>
      </c>
      <c r="F265" s="175">
        <f t="shared" si="78"/>
        <v>68680.664056625013</v>
      </c>
      <c r="G265" s="175">
        <f t="shared" si="78"/>
        <v>70555.646185370875</v>
      </c>
      <c r="H265" s="175">
        <f t="shared" si="78"/>
        <v>72481.815326231517</v>
      </c>
      <c r="I265" s="175">
        <f t="shared" si="78"/>
        <v>74460.568884637643</v>
      </c>
      <c r="J265" s="175">
        <f t="shared" si="78"/>
        <v>76493.342415188265</v>
      </c>
      <c r="K265" s="175">
        <f t="shared" si="78"/>
        <v>78581.610663122905</v>
      </c>
      <c r="L265" s="175">
        <f t="shared" si="78"/>
        <v>80726.888634226154</v>
      </c>
      <c r="M265" s="175">
        <f t="shared" si="78"/>
        <v>82930.732693940547</v>
      </c>
      <c r="N265" s="175">
        <f t="shared" si="78"/>
        <v>85194.741696485129</v>
      </c>
      <c r="O265" s="175">
        <f t="shared" si="78"/>
        <v>87520.558144799186</v>
      </c>
      <c r="P265" s="175">
        <f t="shared" si="78"/>
        <v>89909.869382152203</v>
      </c>
      <c r="Q265" s="175">
        <f t="shared" si="78"/>
        <v>92364.40881628498</v>
      </c>
      <c r="R265" s="175">
        <f t="shared" ref="C265:V267" si="79">$D243*R$256</f>
        <v>94885.957176969576</v>
      </c>
      <c r="S265" s="175">
        <f t="shared" si="79"/>
        <v>97476.343807900863</v>
      </c>
      <c r="T265" s="175">
        <f t="shared" si="79"/>
        <v>100137.44799385655</v>
      </c>
      <c r="U265" s="175">
        <f t="shared" si="79"/>
        <v>102871.20032408886</v>
      </c>
      <c r="V265" s="175">
        <f t="shared" si="79"/>
        <v>105679.58409293651</v>
      </c>
      <c r="W265" s="182">
        <v>0.16269558610838433</v>
      </c>
      <c r="X265" s="183">
        <f>W265*$B$19/$X$259</f>
        <v>0.37733132539486969</v>
      </c>
      <c r="Y265" s="180">
        <f>X265*1000000-V265</f>
        <v>271651.74130193319</v>
      </c>
    </row>
    <row r="266" spans="1:25">
      <c r="A266" s="63" t="s">
        <v>15</v>
      </c>
      <c r="B266" s="175">
        <f>$D244*B$256</f>
        <v>38876.815050088269</v>
      </c>
      <c r="C266" s="175">
        <f t="shared" si="79"/>
        <v>39938.152100955682</v>
      </c>
      <c r="D266" s="175">
        <f t="shared" si="79"/>
        <v>41028.463653311774</v>
      </c>
      <c r="E266" s="175">
        <f t="shared" si="79"/>
        <v>42148.540711047193</v>
      </c>
      <c r="F266" s="175">
        <f t="shared" si="79"/>
        <v>43299.195872458789</v>
      </c>
      <c r="G266" s="175">
        <f t="shared" si="79"/>
        <v>44481.263919776917</v>
      </c>
      <c r="H266" s="175">
        <f t="shared" si="79"/>
        <v>45695.602424786834</v>
      </c>
      <c r="I266" s="175">
        <f t="shared" si="79"/>
        <v>46943.092370983519</v>
      </c>
      <c r="J266" s="175">
        <f t="shared" si="79"/>
        <v>48224.638792711376</v>
      </c>
      <c r="K266" s="175">
        <f t="shared" si="79"/>
        <v>49541.171431752402</v>
      </c>
      <c r="L266" s="175">
        <f t="shared" si="79"/>
        <v>50893.645411839243</v>
      </c>
      <c r="M266" s="175">
        <f t="shared" si="79"/>
        <v>52283.041931582462</v>
      </c>
      <c r="N266" s="175">
        <f t="shared" si="79"/>
        <v>53710.368976314669</v>
      </c>
      <c r="O266" s="175">
        <f t="shared" si="79"/>
        <v>55176.662049368068</v>
      </c>
      <c r="P266" s="175">
        <f t="shared" si="79"/>
        <v>56682.984923315817</v>
      </c>
      <c r="Q266" s="175">
        <f t="shared" si="79"/>
        <v>58230.430411722351</v>
      </c>
      <c r="R266" s="175">
        <f t="shared" si="79"/>
        <v>59820.121161962379</v>
      </c>
      <c r="S266" s="175">
        <f t="shared" si="79"/>
        <v>61453.21046968396</v>
      </c>
      <c r="T266" s="175">
        <f t="shared" si="79"/>
        <v>63130.883115506331</v>
      </c>
      <c r="U266" s="175">
        <f t="shared" si="79"/>
        <v>64854.356224559669</v>
      </c>
      <c r="V266" s="175">
        <f t="shared" si="79"/>
        <v>66624.880149490156</v>
      </c>
      <c r="W266" s="182">
        <v>0.13684863543355574</v>
      </c>
      <c r="X266" s="183">
        <f>W266*$B$19/$X$259</f>
        <v>0.31738585060459634</v>
      </c>
      <c r="Y266" s="180">
        <f>X266*1000000-V266</f>
        <v>250760.97045510617</v>
      </c>
    </row>
    <row r="267" spans="1:25">
      <c r="A267" s="63" t="s">
        <v>22</v>
      </c>
      <c r="B267" s="175">
        <f>$D245*B$256</f>
        <v>55682.399490925454</v>
      </c>
      <c r="C267" s="175">
        <f t="shared" si="79"/>
        <v>57202.528997027723</v>
      </c>
      <c r="D267" s="175">
        <f t="shared" si="79"/>
        <v>58764.158038646587</v>
      </c>
      <c r="E267" s="175">
        <f t="shared" si="79"/>
        <v>60368.419553101645</v>
      </c>
      <c r="F267" s="175">
        <f t="shared" si="79"/>
        <v>62016.477406901329</v>
      </c>
      <c r="G267" s="175">
        <f t="shared" si="79"/>
        <v>63709.527240109746</v>
      </c>
      <c r="H267" s="175">
        <f t="shared" si="79"/>
        <v>65448.797333764749</v>
      </c>
      <c r="I267" s="175">
        <f t="shared" si="79"/>
        <v>67235.549500976529</v>
      </c>
      <c r="J267" s="175">
        <f t="shared" si="79"/>
        <v>69071.080002353207</v>
      </c>
      <c r="K267" s="175">
        <f t="shared" si="79"/>
        <v>70956.720486417456</v>
      </c>
      <c r="L267" s="175">
        <f t="shared" si="79"/>
        <v>72893.838955696643</v>
      </c>
      <c r="M267" s="175">
        <f t="shared" si="79"/>
        <v>74883.84075918718</v>
      </c>
      <c r="N267" s="175">
        <f t="shared" si="79"/>
        <v>76928.169611912992</v>
      </c>
      <c r="O267" s="175">
        <f t="shared" si="79"/>
        <v>79028.308642318225</v>
      </c>
      <c r="P267" s="175">
        <f t="shared" si="79"/>
        <v>81185.781468253525</v>
      </c>
      <c r="Q267" s="175">
        <f t="shared" si="79"/>
        <v>83402.153302336854</v>
      </c>
      <c r="R267" s="175">
        <f t="shared" si="79"/>
        <v>85679.032087490661</v>
      </c>
      <c r="S267" s="175">
        <f t="shared" si="79"/>
        <v>88018.069663479168</v>
      </c>
      <c r="T267" s="175">
        <f t="shared" si="79"/>
        <v>90420.962965292158</v>
      </c>
      <c r="U267" s="175">
        <f t="shared" si="79"/>
        <v>92889.455254244647</v>
      </c>
      <c r="V267" s="175">
        <f t="shared" si="79"/>
        <v>95425.337382685553</v>
      </c>
      <c r="W267" s="182">
        <v>0.19285024711274493</v>
      </c>
      <c r="X267" s="183">
        <f>W267*$B$19/$X$259</f>
        <v>0.44726744644014738</v>
      </c>
      <c r="Y267" s="180">
        <f>X267*1000000-V267</f>
        <v>351842.10905746178</v>
      </c>
    </row>
    <row r="268" spans="1:25">
      <c r="A268" s="1"/>
      <c r="B268" s="175"/>
      <c r="C268" s="175"/>
      <c r="D268" s="175"/>
      <c r="E268" s="175"/>
      <c r="F268" s="175"/>
      <c r="G268" s="175"/>
      <c r="H268" s="175"/>
      <c r="I268" s="175"/>
      <c r="J268" s="175"/>
      <c r="K268" s="175"/>
      <c r="L268" s="175"/>
      <c r="M268" s="175"/>
      <c r="N268" s="175"/>
      <c r="O268" s="175"/>
      <c r="P268" s="175"/>
      <c r="Q268" s="175"/>
      <c r="R268" s="175"/>
      <c r="S268" s="175"/>
      <c r="T268" s="175"/>
      <c r="U268" s="175"/>
      <c r="V268" s="175"/>
    </row>
    <row r="269" spans="1:25">
      <c r="A269" s="141" t="s">
        <v>372</v>
      </c>
      <c r="B269" s="175"/>
      <c r="C269" s="175"/>
      <c r="D269" s="175"/>
      <c r="E269" s="175"/>
      <c r="F269" s="175"/>
      <c r="G269" s="175"/>
      <c r="H269" s="175"/>
      <c r="I269" s="175"/>
      <c r="J269" s="175"/>
      <c r="K269" s="175"/>
      <c r="L269" s="175"/>
      <c r="M269" s="175"/>
      <c r="N269" s="175"/>
      <c r="O269" s="175"/>
      <c r="P269" s="175"/>
      <c r="Q269" s="175"/>
      <c r="R269" s="175"/>
      <c r="S269" s="175"/>
      <c r="T269" s="175"/>
      <c r="U269" s="175"/>
      <c r="V269" s="175"/>
    </row>
    <row r="270" spans="1:25">
      <c r="A270" s="63" t="s">
        <v>68</v>
      </c>
      <c r="B270" s="175">
        <f>$D248*B$256*(1.02383)</f>
        <v>458378.53792291047</v>
      </c>
      <c r="C270" s="175">
        <f>$D248*C$256*(1.02383)^C258</f>
        <v>470892.27200820594</v>
      </c>
      <c r="D270" s="175">
        <f>$D248*D$256*(1.02383)^D258</f>
        <v>495275.33708157099</v>
      </c>
      <c r="E270" s="175">
        <f t="shared" ref="E270:V270" si="80">$D248*E$256*(1.02383)^E258</f>
        <v>520920.97089456825</v>
      </c>
      <c r="F270" s="175">
        <f t="shared" si="80"/>
        <v>547894.54996231175</v>
      </c>
      <c r="G270" s="175">
        <f t="shared" si="80"/>
        <v>576264.83603241376</v>
      </c>
      <c r="H270" s="175">
        <f t="shared" si="80"/>
        <v>606104.15137421549</v>
      </c>
      <c r="I270" s="175">
        <f t="shared" si="80"/>
        <v>637488.56314459315</v>
      </c>
      <c r="J270" s="175">
        <f t="shared" si="80"/>
        <v>670498.0773003269</v>
      </c>
      <c r="K270" s="175">
        <f t="shared" si="80"/>
        <v>705216.84255136317</v>
      </c>
      <c r="L270" s="175">
        <f t="shared" si="80"/>
        <v>741733.36487488775</v>
      </c>
      <c r="M270" s="175">
        <f t="shared" si="80"/>
        <v>780140.73313706042</v>
      </c>
      <c r="N270" s="175">
        <f t="shared" si="80"/>
        <v>820536.8563975672</v>
      </c>
      <c r="O270" s="175">
        <f t="shared" si="80"/>
        <v>863024.71350193617</v>
      </c>
      <c r="P270" s="175">
        <f t="shared" si="80"/>
        <v>907712.61559788126</v>
      </c>
      <c r="Q270" s="175">
        <f t="shared" si="80"/>
        <v>954714.48224489193</v>
      </c>
      <c r="R270" s="175">
        <f t="shared" si="80"/>
        <v>1004150.1318209281</v>
      </c>
      <c r="S270" s="175">
        <f t="shared" si="80"/>
        <v>1056145.5869665395</v>
      </c>
      <c r="T270" s="175">
        <f t="shared" si="80"/>
        <v>1110833.39584505</v>
      </c>
      <c r="U270" s="175">
        <f t="shared" si="80"/>
        <v>1168352.9700377753</v>
      </c>
      <c r="V270" s="175">
        <f t="shared" si="80"/>
        <v>1228850.9399356418</v>
      </c>
      <c r="W270" s="182">
        <v>0.30917323394617646</v>
      </c>
      <c r="X270" s="183">
        <f>W270*$B$19/$X$259</f>
        <v>0.71704923859343039</v>
      </c>
      <c r="Y270" s="180">
        <f>X270*1000000-V270</f>
        <v>-511801.70134221145</v>
      </c>
    </row>
    <row r="271" spans="1:25">
      <c r="A271" s="63" t="s">
        <v>17</v>
      </c>
      <c r="B271" s="175">
        <f>$D249*B$256*(1.02383)</f>
        <v>293784.71940248489</v>
      </c>
      <c r="C271" s="175">
        <f>$D249*C$256*(1.02383)^C258</f>
        <v>301805.04224217276</v>
      </c>
      <c r="D271" s="175">
        <f t="shared" ref="D271:V271" si="81">$D249*D$256*(1.02383)^D258</f>
        <v>317432.67603849107</v>
      </c>
      <c r="E271" s="175">
        <f t="shared" si="81"/>
        <v>333869.51744863013</v>
      </c>
      <c r="F271" s="175">
        <f t="shared" si="81"/>
        <v>351157.4676951805</v>
      </c>
      <c r="G271" s="175">
        <f t="shared" si="81"/>
        <v>369340.59766946139</v>
      </c>
      <c r="H271" s="175">
        <f t="shared" si="81"/>
        <v>388465.26027818024</v>
      </c>
      <c r="I271" s="175">
        <f t="shared" si="81"/>
        <v>408580.20860746497</v>
      </c>
      <c r="J271" s="175">
        <f t="shared" si="81"/>
        <v>429736.72020549612</v>
      </c>
      <c r="K271" s="175">
        <f t="shared" si="81"/>
        <v>451988.72780056339</v>
      </c>
      <c r="L271" s="175">
        <f t="shared" si="81"/>
        <v>475392.95678777527</v>
      </c>
      <c r="M271" s="175">
        <f t="shared" si="81"/>
        <v>500009.06983490929</v>
      </c>
      <c r="N271" s="175">
        <f t="shared" si="81"/>
        <v>525899.81897603092</v>
      </c>
      <c r="O271" s="175">
        <f t="shared" si="81"/>
        <v>553131.20558060869</v>
      </c>
      <c r="P271" s="175">
        <f t="shared" si="81"/>
        <v>581772.64860591642</v>
      </c>
      <c r="Q271" s="175">
        <f t="shared" si="81"/>
        <v>611897.16156164149</v>
      </c>
      <c r="R271" s="175">
        <f t="shared" si="81"/>
        <v>643581.53863781679</v>
      </c>
      <c r="S271" s="175">
        <f t="shared" si="81"/>
        <v>676906.550470563</v>
      </c>
      <c r="T271" s="175">
        <f t="shared" si="81"/>
        <v>711957.15004469058</v>
      </c>
      <c r="U271" s="175">
        <f t="shared" si="81"/>
        <v>748822.68925805169</v>
      </c>
      <c r="V271" s="175">
        <f t="shared" si="81"/>
        <v>787597.14669971692</v>
      </c>
      <c r="W271" s="182">
        <v>5.4214695445088772</v>
      </c>
      <c r="X271" s="183">
        <f>W271*$B$19/$X$259</f>
        <v>12.573729489223265</v>
      </c>
      <c r="Y271" s="180">
        <f>X271*1000000-V271</f>
        <v>11786132.342523547</v>
      </c>
    </row>
    <row r="272" spans="1:25">
      <c r="A272" s="63" t="s">
        <v>178</v>
      </c>
      <c r="B272" s="175">
        <f>$D250*B$256*(1.02383)</f>
        <v>511314.12930324016</v>
      </c>
      <c r="C272" s="175">
        <f>$D250*C$256*(1.02383)^C258</f>
        <v>525273.00503321865</v>
      </c>
      <c r="D272" s="175">
        <f t="shared" ref="D272:V272" si="82">$D250*D$256*(1.02383)^D258</f>
        <v>552471.93486144859</v>
      </c>
      <c r="E272" s="175">
        <f t="shared" si="82"/>
        <v>581079.24048038607</v>
      </c>
      <c r="F272" s="175">
        <f t="shared" si="82"/>
        <v>611167.84837575594</v>
      </c>
      <c r="G272" s="175">
        <f t="shared" si="82"/>
        <v>642814.46120747994</v>
      </c>
      <c r="H272" s="175">
        <f t="shared" si="82"/>
        <v>676099.75334208715</v>
      </c>
      <c r="I272" s="175">
        <f t="shared" si="82"/>
        <v>711108.5765099026</v>
      </c>
      <c r="J272" s="175">
        <f t="shared" si="82"/>
        <v>747930.17611127964</v>
      </c>
      <c r="K272" s="175">
        <f t="shared" si="82"/>
        <v>786658.4187232902</v>
      </c>
      <c r="L272" s="175">
        <f t="shared" si="82"/>
        <v>827392.03138683818</v>
      </c>
      <c r="M272" s="175">
        <f t="shared" si="82"/>
        <v>870234.85328419437</v>
      </c>
      <c r="N272" s="175">
        <f t="shared" si="82"/>
        <v>915296.10044853284</v>
      </c>
      <c r="O272" s="175">
        <f t="shared" si="82"/>
        <v>962690.64418027829</v>
      </c>
      <c r="P272" s="175">
        <f t="shared" si="82"/>
        <v>1012539.303880003</v>
      </c>
      <c r="Q272" s="175">
        <f t="shared" si="82"/>
        <v>1064969.1550443808</v>
      </c>
      <c r="R272" s="175">
        <f t="shared" si="82"/>
        <v>1120113.8532103365</v>
      </c>
      <c r="S272" s="175">
        <f t="shared" si="82"/>
        <v>1178113.9746732118</v>
      </c>
      <c r="T272" s="175">
        <f t="shared" si="82"/>
        <v>1239117.3748475027</v>
      </c>
      <c r="U272" s="175">
        <f t="shared" si="82"/>
        <v>1303279.5651837192</v>
      </c>
      <c r="V272" s="175">
        <f t="shared" si="82"/>
        <v>1370764.1096022094</v>
      </c>
      <c r="W272" s="182">
        <v>0.38759581440448809</v>
      </c>
      <c r="X272" s="183">
        <f>W272*$B$19/$X$259</f>
        <v>0.89893060939784453</v>
      </c>
      <c r="Y272" s="180">
        <f>X272*1000000-V272</f>
        <v>-471833.50020436489</v>
      </c>
    </row>
    <row r="273" spans="1:22" s="1" customFormat="1">
      <c r="A273" s="63"/>
      <c r="B273" s="175"/>
      <c r="C273" s="175"/>
      <c r="D273" s="175"/>
      <c r="E273" s="175"/>
      <c r="F273" s="175"/>
      <c r="G273" s="175"/>
      <c r="H273" s="175"/>
      <c r="I273" s="175"/>
      <c r="J273" s="175"/>
      <c r="K273" s="175"/>
      <c r="L273" s="175"/>
      <c r="M273" s="175"/>
      <c r="N273" s="175"/>
      <c r="O273" s="175"/>
      <c r="P273" s="175"/>
      <c r="Q273" s="175"/>
      <c r="R273" s="175"/>
      <c r="S273" s="175"/>
      <c r="T273" s="175"/>
      <c r="U273" s="175"/>
      <c r="V273" s="175"/>
    </row>
    <row r="274" spans="1:22" s="1" customFormat="1" ht="15" thickBot="1">
      <c r="A274" s="176" t="s">
        <v>382</v>
      </c>
      <c r="B274" s="177">
        <v>0</v>
      </c>
      <c r="C274" s="178">
        <v>0</v>
      </c>
      <c r="D274" s="178">
        <v>0.05</v>
      </c>
      <c r="E274" s="178">
        <v>0.25</v>
      </c>
      <c r="F274" s="178">
        <v>0.6</v>
      </c>
      <c r="G274" s="178">
        <v>0.95</v>
      </c>
      <c r="H274" s="178">
        <v>1</v>
      </c>
      <c r="I274" s="172">
        <f>H274</f>
        <v>1</v>
      </c>
      <c r="J274" s="172">
        <f t="shared" ref="J274:V274" si="83">I274</f>
        <v>1</v>
      </c>
      <c r="K274" s="172">
        <f t="shared" si="83"/>
        <v>1</v>
      </c>
      <c r="L274" s="172">
        <f t="shared" si="83"/>
        <v>1</v>
      </c>
      <c r="M274" s="172">
        <f t="shared" si="83"/>
        <v>1</v>
      </c>
      <c r="N274" s="172">
        <f t="shared" si="83"/>
        <v>1</v>
      </c>
      <c r="O274" s="172">
        <f t="shared" si="83"/>
        <v>1</v>
      </c>
      <c r="P274" s="172">
        <f t="shared" si="83"/>
        <v>1</v>
      </c>
      <c r="Q274" s="172">
        <f t="shared" si="83"/>
        <v>1</v>
      </c>
      <c r="R274" s="172">
        <f t="shared" si="83"/>
        <v>1</v>
      </c>
      <c r="S274" s="172">
        <f t="shared" si="83"/>
        <v>1</v>
      </c>
      <c r="T274" s="172">
        <f t="shared" si="83"/>
        <v>1</v>
      </c>
      <c r="U274" s="172">
        <f t="shared" si="83"/>
        <v>1</v>
      </c>
      <c r="V274" s="172">
        <f t="shared" si="83"/>
        <v>1</v>
      </c>
    </row>
    <row r="275" spans="1:22">
      <c r="B275" s="175"/>
      <c r="C275" s="175"/>
      <c r="D275" s="175"/>
      <c r="E275" s="175"/>
      <c r="F275" s="175"/>
      <c r="G275" s="175"/>
      <c r="H275" s="175"/>
      <c r="I275" s="175"/>
      <c r="J275" s="175"/>
      <c r="K275" s="175"/>
      <c r="L275" s="175"/>
      <c r="M275" s="175"/>
      <c r="N275" s="175"/>
      <c r="O275" s="175"/>
      <c r="P275" s="175"/>
      <c r="Q275" s="175"/>
      <c r="R275" s="175"/>
      <c r="S275" s="175"/>
      <c r="T275" s="175"/>
      <c r="U275" s="175"/>
      <c r="V275" s="175"/>
    </row>
    <row r="276" spans="1:22">
      <c r="A276" s="63" t="s">
        <v>379</v>
      </c>
      <c r="B276" s="175">
        <f>SUM(B260:B262,B265:B267,B270:B272)*B274</f>
        <v>0</v>
      </c>
      <c r="C276" s="175">
        <f t="shared" ref="C276:V276" si="84">SUM(C260:C262,C265:C267,C270:C272)*C274</f>
        <v>0</v>
      </c>
      <c r="D276" s="175">
        <f t="shared" si="84"/>
        <v>106515.26000154759</v>
      </c>
      <c r="E276" s="175">
        <f t="shared" si="84"/>
        <v>555470.72506349394</v>
      </c>
      <c r="F276" s="175">
        <f t="shared" si="84"/>
        <v>1390614.7182262137</v>
      </c>
      <c r="G276" s="175">
        <f t="shared" si="84"/>
        <v>2297038.4335935619</v>
      </c>
      <c r="H276" s="175">
        <f t="shared" si="84"/>
        <v>2522830.2309863828</v>
      </c>
      <c r="I276" s="175">
        <f t="shared" si="84"/>
        <v>2632602.41135544</v>
      </c>
      <c r="J276" s="175">
        <f t="shared" si="84"/>
        <v>2747489.140933034</v>
      </c>
      <c r="K276" s="175">
        <f t="shared" si="84"/>
        <v>2867739.7061588732</v>
      </c>
      <c r="L276" s="175">
        <f t="shared" si="84"/>
        <v>2993615.8772095414</v>
      </c>
      <c r="M276" s="175">
        <f t="shared" si="84"/>
        <v>3125392.5428257734</v>
      </c>
      <c r="N276" s="175">
        <f t="shared" si="84"/>
        <v>3263358.3776950911</v>
      </c>
      <c r="O276" s="175">
        <f t="shared" si="84"/>
        <v>3407816.5440669148</v>
      </c>
      <c r="P276" s="175">
        <f t="shared" si="84"/>
        <v>3559085.4293638449</v>
      </c>
      <c r="Q276" s="175">
        <f t="shared" si="84"/>
        <v>3717499.4216439035</v>
      </c>
      <c r="R276" s="175">
        <f t="shared" si="84"/>
        <v>3883409.724864319</v>
      </c>
      <c r="S276" s="175">
        <f t="shared" si="84"/>
        <v>4057185.2159981821</v>
      </c>
      <c r="T276" s="175">
        <f t="shared" si="84"/>
        <v>4239213.34616125</v>
      </c>
      <c r="U276" s="175">
        <f t="shared" si="84"/>
        <v>4429901.0880176285</v>
      </c>
      <c r="V276" s="175">
        <f t="shared" si="84"/>
        <v>4629675.9318502406</v>
      </c>
    </row>
    <row r="277" spans="1:22">
      <c r="A277" s="63" t="s">
        <v>380</v>
      </c>
      <c r="B277" s="174">
        <f>NPV(0.1,C276:V276)</f>
        <v>18080868.746165644</v>
      </c>
    </row>
    <row r="278" spans="1:22">
      <c r="C278" s="49">
        <f t="shared" ref="C278:H278" si="85">$F40*C274</f>
        <v>0</v>
      </c>
      <c r="D278" s="49">
        <f t="shared" si="85"/>
        <v>7764</v>
      </c>
      <c r="E278" s="49">
        <f t="shared" si="85"/>
        <v>38820</v>
      </c>
      <c r="F278" s="49">
        <f t="shared" si="85"/>
        <v>93168</v>
      </c>
      <c r="G278" s="49">
        <f t="shared" si="85"/>
        <v>147516</v>
      </c>
      <c r="H278" s="49">
        <f t="shared" si="85"/>
        <v>155280</v>
      </c>
    </row>
    <row r="280" spans="1:22">
      <c r="A280" t="s">
        <v>385</v>
      </c>
    </row>
    <row r="281" spans="1:22">
      <c r="A281" t="s">
        <v>386</v>
      </c>
    </row>
    <row r="282" spans="1:22">
      <c r="A282" t="s">
        <v>68</v>
      </c>
      <c r="C282" t="s">
        <v>368</v>
      </c>
      <c r="D282">
        <v>620.33188805850591</v>
      </c>
    </row>
    <row r="283" spans="1:22">
      <c r="A283" t="s">
        <v>15</v>
      </c>
      <c r="C283" t="s">
        <v>368</v>
      </c>
      <c r="D283">
        <v>1432.9134678751534</v>
      </c>
    </row>
    <row r="284" spans="1:22">
      <c r="A284" t="s">
        <v>22</v>
      </c>
      <c r="C284" t="s">
        <v>368</v>
      </c>
      <c r="D284">
        <v>436.38041324980236</v>
      </c>
    </row>
    <row r="285" spans="1:22">
      <c r="A285" t="s">
        <v>387</v>
      </c>
    </row>
    <row r="286" spans="1:22">
      <c r="A286" t="s">
        <v>68</v>
      </c>
      <c r="C286" t="s">
        <v>368</v>
      </c>
      <c r="D286">
        <v>308.80736513938217</v>
      </c>
    </row>
    <row r="287" spans="1:22">
      <c r="A287" t="s">
        <v>15</v>
      </c>
      <c r="C287" t="s">
        <v>368</v>
      </c>
      <c r="D287">
        <v>713.31853320029143</v>
      </c>
    </row>
    <row r="288" spans="1:22">
      <c r="A288" t="s">
        <v>22</v>
      </c>
      <c r="C288" t="s">
        <v>368</v>
      </c>
      <c r="D288">
        <v>217.23449690111161</v>
      </c>
    </row>
    <row r="289" spans="1:4">
      <c r="A289" t="s">
        <v>13</v>
      </c>
    </row>
    <row r="290" spans="1:4">
      <c r="A290" t="s">
        <v>68</v>
      </c>
      <c r="C290" t="s">
        <v>368</v>
      </c>
      <c r="D290">
        <v>393.55307450869412</v>
      </c>
    </row>
    <row r="291" spans="1:4">
      <c r="A291" t="s">
        <v>17</v>
      </c>
      <c r="C291" t="s">
        <v>368</v>
      </c>
      <c r="D291">
        <v>9123.1699919566418</v>
      </c>
    </row>
    <row r="292" spans="1:4">
      <c r="A292" t="s">
        <v>178</v>
      </c>
      <c r="C292" t="s">
        <v>368</v>
      </c>
      <c r="D292">
        <v>652.24059158730347</v>
      </c>
    </row>
    <row r="294" spans="1:4">
      <c r="A294" t="s">
        <v>388</v>
      </c>
    </row>
    <row r="295" spans="1:4">
      <c r="A295" t="s">
        <v>386</v>
      </c>
    </row>
    <row r="296" spans="1:4">
      <c r="A296" t="s">
        <v>68</v>
      </c>
      <c r="C296" t="s">
        <v>368</v>
      </c>
      <c r="D296">
        <v>430.81557771786538</v>
      </c>
    </row>
    <row r="297" spans="1:4">
      <c r="A297" t="s">
        <v>15</v>
      </c>
      <c r="C297" t="s">
        <v>368</v>
      </c>
      <c r="D297">
        <v>1298.8654672688472</v>
      </c>
    </row>
    <row r="298" spans="1:4">
      <c r="A298" t="s">
        <v>22</v>
      </c>
      <c r="C298" t="s">
        <v>368</v>
      </c>
      <c r="D298">
        <v>247.47688520222428</v>
      </c>
    </row>
    <row r="299" spans="1:4">
      <c r="A299" t="s">
        <v>387</v>
      </c>
    </row>
    <row r="300" spans="1:4">
      <c r="A300" t="s">
        <v>68</v>
      </c>
      <c r="C300" t="s">
        <v>368</v>
      </c>
      <c r="D300">
        <v>229.47339590629738</v>
      </c>
    </row>
    <row r="301" spans="1:4">
      <c r="A301" t="s">
        <v>15</v>
      </c>
      <c r="C301" t="s">
        <v>368</v>
      </c>
      <c r="D301">
        <v>646.58810926707656</v>
      </c>
    </row>
    <row r="302" spans="1:4">
      <c r="A302" t="s">
        <v>22</v>
      </c>
      <c r="C302" t="s">
        <v>368</v>
      </c>
      <c r="D302">
        <v>123.19644745554734</v>
      </c>
    </row>
    <row r="303" spans="1:4">
      <c r="A303" t="s">
        <v>13</v>
      </c>
    </row>
    <row r="304" spans="1:4">
      <c r="A304" t="s">
        <v>68</v>
      </c>
      <c r="B304">
        <v>292.44756010308294</v>
      </c>
      <c r="C304" t="s">
        <v>368</v>
      </c>
      <c r="D304">
        <v>299.41536743310684</v>
      </c>
    </row>
    <row r="305" spans="1:6">
      <c r="A305" t="s">
        <v>17</v>
      </c>
      <c r="B305">
        <v>7298.5359935653123</v>
      </c>
      <c r="C305" t="s">
        <v>368</v>
      </c>
      <c r="D305">
        <v>7472.4297083102138</v>
      </c>
    </row>
    <row r="306" spans="1:6">
      <c r="A306" t="s">
        <v>178</v>
      </c>
      <c r="B306">
        <v>521.79247326984284</v>
      </c>
      <c r="C306" t="s">
        <v>368</v>
      </c>
      <c r="D306">
        <v>534.22461467228572</v>
      </c>
    </row>
    <row r="308" spans="1:6">
      <c r="A308" t="s">
        <v>389</v>
      </c>
    </row>
    <row r="309" spans="1:6">
      <c r="A309" s="1" t="s">
        <v>386</v>
      </c>
      <c r="D309" t="s">
        <v>390</v>
      </c>
      <c r="E309" t="s">
        <v>391</v>
      </c>
      <c r="F309" t="s">
        <v>392</v>
      </c>
    </row>
    <row r="310" spans="1:6">
      <c r="A310" s="1" t="s">
        <v>68</v>
      </c>
      <c r="D310" s="108">
        <f>D282-D296</f>
        <v>189.51631034064053</v>
      </c>
      <c r="E310" s="108">
        <f>D238</f>
        <v>87.619654320889381</v>
      </c>
      <c r="F310" s="108">
        <f>E310-D310</f>
        <v>-101.89665601975115</v>
      </c>
    </row>
    <row r="311" spans="1:6">
      <c r="A311" s="1" t="s">
        <v>15</v>
      </c>
      <c r="D311" s="108">
        <f t="shared" ref="D311:D320" si="86">D283-D297</f>
        <v>134.04800060630623</v>
      </c>
      <c r="E311" s="108">
        <f>D239</f>
        <v>48.238053665787135</v>
      </c>
      <c r="F311" s="108">
        <f t="shared" ref="F311:F320" si="87">E311-D311</f>
        <v>-85.809946940519097</v>
      </c>
    </row>
    <row r="312" spans="1:6">
      <c r="A312" s="1" t="s">
        <v>22</v>
      </c>
      <c r="D312" s="108">
        <f t="shared" si="86"/>
        <v>188.90352804757808</v>
      </c>
      <c r="E312" s="108">
        <f>D240</f>
        <v>69.090293827373102</v>
      </c>
      <c r="F312" s="108">
        <f t="shared" si="87"/>
        <v>-119.81323422020498</v>
      </c>
    </row>
    <row r="313" spans="1:6">
      <c r="A313" s="1" t="s">
        <v>387</v>
      </c>
      <c r="D313" s="108"/>
      <c r="E313" s="108"/>
      <c r="F313" s="108"/>
    </row>
    <row r="314" spans="1:6">
      <c r="A314" s="1" t="s">
        <v>68</v>
      </c>
      <c r="D314" s="108">
        <f t="shared" si="86"/>
        <v>79.333969233084787</v>
      </c>
      <c r="E314" s="108">
        <f>D243</f>
        <v>22.220237581944676</v>
      </c>
      <c r="F314" s="108">
        <f t="shared" si="87"/>
        <v>-57.113731651140114</v>
      </c>
    </row>
    <row r="315" spans="1:6">
      <c r="A315" s="1" t="s">
        <v>15</v>
      </c>
      <c r="D315" s="108">
        <f t="shared" si="86"/>
        <v>66.730423933214865</v>
      </c>
      <c r="E315" s="108">
        <f>D244</f>
        <v>14.008577706819445</v>
      </c>
      <c r="F315" s="108">
        <f t="shared" si="87"/>
        <v>-52.721846226395421</v>
      </c>
    </row>
    <row r="316" spans="1:6">
      <c r="A316" s="1" t="s">
        <v>22</v>
      </c>
      <c r="D316" s="108">
        <f t="shared" si="86"/>
        <v>94.038049445564269</v>
      </c>
      <c r="E316" s="108">
        <f>D245</f>
        <v>20.064174988764201</v>
      </c>
      <c r="F316" s="108">
        <f t="shared" si="87"/>
        <v>-73.973874456800075</v>
      </c>
    </row>
    <row r="317" spans="1:6">
      <c r="A317" s="1" t="s">
        <v>13</v>
      </c>
      <c r="D317" s="108"/>
      <c r="E317" s="108"/>
      <c r="F317" s="108"/>
    </row>
    <row r="318" spans="1:6">
      <c r="A318" s="1" t="s">
        <v>68</v>
      </c>
      <c r="D318" s="108">
        <f t="shared" si="86"/>
        <v>94.137707075587286</v>
      </c>
      <c r="E318" s="108">
        <f>D248</f>
        <v>161.32429989477222</v>
      </c>
      <c r="F318" s="108">
        <f t="shared" si="87"/>
        <v>67.186592819184938</v>
      </c>
    </row>
    <row r="319" spans="1:6">
      <c r="A319" s="1" t="s">
        <v>17</v>
      </c>
      <c r="D319" s="108">
        <f t="shared" si="86"/>
        <v>1650.740283646428</v>
      </c>
      <c r="E319" s="108">
        <f>D249</f>
        <v>103.39623314859202</v>
      </c>
      <c r="F319" s="108">
        <f t="shared" si="87"/>
        <v>-1547.344050497836</v>
      </c>
    </row>
    <row r="320" spans="1:6">
      <c r="A320" s="1" t="s">
        <v>178</v>
      </c>
      <c r="D320" s="108">
        <f t="shared" si="86"/>
        <v>118.01597691501775</v>
      </c>
      <c r="E320" s="108">
        <f>D250</f>
        <v>179.95474724870928</v>
      </c>
      <c r="F320" s="108">
        <f t="shared" si="87"/>
        <v>61.938770333691537</v>
      </c>
    </row>
    <row r="321" spans="1:25">
      <c r="F321" s="108">
        <f>SUM(F310:F320)</f>
        <v>-1909.5479768597702</v>
      </c>
    </row>
    <row r="323" spans="1:25">
      <c r="A323" t="s">
        <v>1338</v>
      </c>
    </row>
    <row r="324" spans="1:25" s="879" customFormat="1">
      <c r="B324" s="879" t="s">
        <v>376</v>
      </c>
    </row>
    <row r="325" spans="1:25" s="879" customFormat="1">
      <c r="A325" s="879" t="s">
        <v>375</v>
      </c>
      <c r="B325" s="879">
        <v>0</v>
      </c>
      <c r="C325" s="879">
        <v>1</v>
      </c>
      <c r="D325" s="879">
        <v>2</v>
      </c>
      <c r="E325" s="879">
        <v>3</v>
      </c>
      <c r="F325" s="879">
        <v>4</v>
      </c>
      <c r="G325" s="879">
        <v>5</v>
      </c>
      <c r="H325" s="879">
        <v>6</v>
      </c>
      <c r="I325" s="879">
        <v>7</v>
      </c>
      <c r="J325" s="879">
        <v>8</v>
      </c>
      <c r="K325" s="879">
        <v>9</v>
      </c>
      <c r="L325" s="879">
        <v>10</v>
      </c>
      <c r="M325" s="879">
        <v>11</v>
      </c>
      <c r="N325" s="879">
        <v>12</v>
      </c>
      <c r="O325" s="879">
        <v>13</v>
      </c>
      <c r="P325" s="879">
        <v>14</v>
      </c>
      <c r="Q325" s="879">
        <v>15</v>
      </c>
      <c r="R325" s="879">
        <v>16</v>
      </c>
      <c r="S325" s="879">
        <v>17</v>
      </c>
      <c r="T325" s="879">
        <v>18</v>
      </c>
      <c r="U325" s="879">
        <v>19</v>
      </c>
      <c r="V325" s="879">
        <v>20</v>
      </c>
    </row>
    <row r="326" spans="1:25" s="879" customFormat="1">
      <c r="A326" s="141" t="s">
        <v>377</v>
      </c>
      <c r="X326" s="879">
        <v>1164.8023993836923</v>
      </c>
    </row>
    <row r="327" spans="1:25" s="879" customFormat="1">
      <c r="A327" s="63" t="s">
        <v>68</v>
      </c>
      <c r="B327" s="175">
        <f>$B238*B$256</f>
        <v>240140.87897366931</v>
      </c>
      <c r="C327" s="175">
        <f t="shared" ref="C327:V327" si="88">$B238*C$256</f>
        <v>246696.72496965053</v>
      </c>
      <c r="D327" s="175">
        <f t="shared" si="88"/>
        <v>253431.54556132201</v>
      </c>
      <c r="E327" s="175">
        <f t="shared" si="88"/>
        <v>260350.22675514614</v>
      </c>
      <c r="F327" s="175">
        <f t="shared" si="88"/>
        <v>267457.78794556169</v>
      </c>
      <c r="G327" s="175">
        <f t="shared" si="88"/>
        <v>274759.38555647555</v>
      </c>
      <c r="H327" s="175">
        <f t="shared" si="88"/>
        <v>282260.31678216736</v>
      </c>
      <c r="I327" s="175">
        <f t="shared" si="88"/>
        <v>289966.02343032055</v>
      </c>
      <c r="J327" s="175">
        <f t="shared" si="88"/>
        <v>297882.09586996835</v>
      </c>
      <c r="K327" s="175">
        <f t="shared" si="88"/>
        <v>306014.27708721848</v>
      </c>
      <c r="L327" s="175">
        <f t="shared" si="88"/>
        <v>314368.46685169957</v>
      </c>
      <c r="M327" s="175">
        <f t="shared" si="88"/>
        <v>322950.72599675099</v>
      </c>
      <c r="N327" s="175">
        <f t="shared" si="88"/>
        <v>331767.28081646236</v>
      </c>
      <c r="O327" s="175">
        <f t="shared" si="88"/>
        <v>340824.52758275182</v>
      </c>
      <c r="P327" s="175">
        <f t="shared" si="88"/>
        <v>350129.03718576097</v>
      </c>
      <c r="Q327" s="175">
        <f t="shared" si="88"/>
        <v>359687.55990093231</v>
      </c>
      <c r="R327" s="175">
        <f t="shared" si="88"/>
        <v>369507.03028622782</v>
      </c>
      <c r="S327" s="175">
        <f t="shared" si="88"/>
        <v>379594.57221304189</v>
      </c>
      <c r="T327" s="175">
        <f t="shared" si="88"/>
        <v>389957.5040344579</v>
      </c>
      <c r="U327" s="175">
        <f t="shared" si="88"/>
        <v>400603.34389459871</v>
      </c>
      <c r="V327" s="175">
        <f t="shared" si="88"/>
        <v>411539.8151829213</v>
      </c>
      <c r="W327" s="182">
        <v>0.38865403415502409</v>
      </c>
      <c r="X327" s="183">
        <f>W327*$B$19/$X$259</f>
        <v>0.90138488287003804</v>
      </c>
      <c r="Y327" s="180">
        <f>X327*1000000-V327</f>
        <v>489845.06768711674</v>
      </c>
    </row>
    <row r="328" spans="1:25" s="879" customFormat="1">
      <c r="A328" s="63" t="s">
        <v>15</v>
      </c>
      <c r="B328" s="175">
        <f>$B239*B$256</f>
        <v>2136.7024627505807</v>
      </c>
      <c r="C328" s="175">
        <f t="shared" ref="C328:V328" si="89">$B239*C$256</f>
        <v>2195.0344399836717</v>
      </c>
      <c r="D328" s="175">
        <f t="shared" si="89"/>
        <v>2254.9588801952259</v>
      </c>
      <c r="E328" s="175">
        <f t="shared" si="89"/>
        <v>2316.5192576245563</v>
      </c>
      <c r="F328" s="175">
        <f t="shared" si="89"/>
        <v>2379.760233357707</v>
      </c>
      <c r="G328" s="175">
        <f t="shared" si="89"/>
        <v>2444.7276877283725</v>
      </c>
      <c r="H328" s="175">
        <f t="shared" si="89"/>
        <v>2511.4687536033575</v>
      </c>
      <c r="I328" s="175">
        <f t="shared" si="89"/>
        <v>2580.0318505767295</v>
      </c>
      <c r="J328" s="175">
        <f t="shared" si="89"/>
        <v>2650.4667200974745</v>
      </c>
      <c r="K328" s="175">
        <f t="shared" si="89"/>
        <v>2722.8244615561357</v>
      </c>
      <c r="L328" s="175">
        <f t="shared" si="89"/>
        <v>2797.1575693566183</v>
      </c>
      <c r="M328" s="175">
        <f t="shared" si="89"/>
        <v>2873.5199710000543</v>
      </c>
      <c r="N328" s="175">
        <f t="shared" si="89"/>
        <v>2951.9670662083558</v>
      </c>
      <c r="O328" s="175">
        <f t="shared" si="89"/>
        <v>3032.5557671158444</v>
      </c>
      <c r="P328" s="175">
        <f t="shared" si="89"/>
        <v>3115.344539558107</v>
      </c>
      <c r="Q328" s="175">
        <f t="shared" si="89"/>
        <v>3200.3934454880441</v>
      </c>
      <c r="R328" s="175">
        <f t="shared" si="89"/>
        <v>3287.7641865498681</v>
      </c>
      <c r="S328" s="175">
        <f t="shared" si="89"/>
        <v>3377.5201488426801</v>
      </c>
      <c r="T328" s="175">
        <f t="shared" si="89"/>
        <v>3469.7264489060854</v>
      </c>
      <c r="U328" s="175">
        <f t="shared" si="89"/>
        <v>3564.4499809612221</v>
      </c>
      <c r="V328" s="175">
        <f t="shared" si="89"/>
        <v>3661.7594654414643</v>
      </c>
      <c r="W328" s="182">
        <v>0.27490138507030604</v>
      </c>
      <c r="X328" s="183">
        <f>W328*$B$19/$X$259</f>
        <v>0.63756434002064466</v>
      </c>
      <c r="Y328" s="180">
        <f>X328*1000000-V328</f>
        <v>633902.58055520325</v>
      </c>
    </row>
    <row r="329" spans="1:25" s="879" customFormat="1">
      <c r="A329" s="63" t="s">
        <v>22</v>
      </c>
      <c r="B329" s="175">
        <f>$B240*B$256</f>
        <v>51161.05216125858</v>
      </c>
      <c r="C329" s="175">
        <f t="shared" ref="C329:V329" si="90">$B240*C$256</f>
        <v>52557.748885260946</v>
      </c>
      <c r="D329" s="175">
        <f t="shared" si="90"/>
        <v>53992.575429828576</v>
      </c>
      <c r="E329" s="175">
        <f t="shared" si="90"/>
        <v>55466.572739062904</v>
      </c>
      <c r="F329" s="175">
        <f t="shared" si="90"/>
        <v>56980.810174839324</v>
      </c>
      <c r="G329" s="175">
        <f t="shared" si="90"/>
        <v>58536.386292612449</v>
      </c>
      <c r="H329" s="175">
        <f t="shared" si="90"/>
        <v>60134.429638400776</v>
      </c>
      <c r="I329" s="175">
        <f t="shared" si="90"/>
        <v>61776.099567529127</v>
      </c>
      <c r="J329" s="175">
        <f t="shared" si="90"/>
        <v>63462.587085722676</v>
      </c>
      <c r="K329" s="175">
        <f t="shared" si="90"/>
        <v>65195.115713162908</v>
      </c>
      <c r="L329" s="175">
        <f t="shared" si="90"/>
        <v>66974.942372132253</v>
      </c>
      <c r="M329" s="175">
        <f t="shared" si="90"/>
        <v>68803.358298891486</v>
      </c>
      <c r="N329" s="175">
        <f t="shared" si="90"/>
        <v>70681.689980451221</v>
      </c>
      <c r="O329" s="175">
        <f t="shared" si="90"/>
        <v>72611.300116917555</v>
      </c>
      <c r="P329" s="175">
        <f t="shared" si="90"/>
        <v>74593.588610109407</v>
      </c>
      <c r="Q329" s="175">
        <f t="shared" si="90"/>
        <v>76629.993579165399</v>
      </c>
      <c r="R329" s="175">
        <f t="shared" si="90"/>
        <v>78721.992403876633</v>
      </c>
      <c r="S329" s="175">
        <f t="shared" si="90"/>
        <v>80871.10279650247</v>
      </c>
      <c r="T329" s="175">
        <f t="shared" si="90"/>
        <v>83078.883902846996</v>
      </c>
      <c r="U329" s="175">
        <f t="shared" si="90"/>
        <v>85346.937433394734</v>
      </c>
      <c r="V329" s="175">
        <f t="shared" si="90"/>
        <v>87676.90882532642</v>
      </c>
      <c r="W329" s="182">
        <v>0.38739735967761679</v>
      </c>
      <c r="X329" s="183">
        <f>W329*$B$19/$X$259</f>
        <v>0.89847034377594037</v>
      </c>
      <c r="Y329" s="180">
        <f>X329*1000000-V329</f>
        <v>810793.43495061388</v>
      </c>
    </row>
    <row r="330" spans="1:25" s="879" customFormat="1">
      <c r="B330" s="175"/>
      <c r="C330" s="175"/>
      <c r="D330" s="175"/>
      <c r="E330" s="175"/>
      <c r="F330" s="175"/>
      <c r="G330" s="175"/>
      <c r="H330" s="175"/>
      <c r="I330" s="175"/>
      <c r="J330" s="175"/>
      <c r="K330" s="175"/>
      <c r="L330" s="175"/>
      <c r="M330" s="175"/>
      <c r="N330" s="175"/>
      <c r="O330" s="175"/>
      <c r="P330" s="175"/>
      <c r="Q330" s="175"/>
      <c r="R330" s="175"/>
      <c r="S330" s="175"/>
      <c r="T330" s="175"/>
      <c r="U330" s="175"/>
      <c r="V330" s="175"/>
    </row>
    <row r="331" spans="1:25" s="879" customFormat="1">
      <c r="A331" s="141" t="s">
        <v>371</v>
      </c>
      <c r="B331" s="175"/>
      <c r="C331" s="175"/>
      <c r="D331" s="175"/>
      <c r="E331" s="175"/>
      <c r="F331" s="175"/>
      <c r="G331" s="175"/>
      <c r="H331" s="175"/>
      <c r="I331" s="175"/>
      <c r="J331" s="175"/>
      <c r="K331" s="175"/>
      <c r="L331" s="175"/>
      <c r="M331" s="175"/>
      <c r="N331" s="175"/>
      <c r="O331" s="175"/>
      <c r="P331" s="175"/>
      <c r="Q331" s="175"/>
      <c r="R331" s="175"/>
      <c r="S331" s="175"/>
      <c r="T331" s="175"/>
      <c r="U331" s="175"/>
      <c r="V331" s="175"/>
    </row>
    <row r="332" spans="1:25" s="879" customFormat="1">
      <c r="A332" s="63" t="s">
        <v>68</v>
      </c>
      <c r="B332" s="175">
        <f>$B243*B$256</f>
        <v>58643.436324235437</v>
      </c>
      <c r="C332" s="175">
        <f t="shared" ref="C332:V334" si="91">$B243*C$256</f>
        <v>60244.402135887067</v>
      </c>
      <c r="D332" s="175">
        <f t="shared" si="91"/>
        <v>61889.074314196791</v>
      </c>
      <c r="E332" s="175">
        <f t="shared" si="91"/>
        <v>63578.646042974375</v>
      </c>
      <c r="F332" s="175">
        <f t="shared" si="91"/>
        <v>65314.343079947583</v>
      </c>
      <c r="G332" s="175">
        <f t="shared" si="91"/>
        <v>67097.424646030166</v>
      </c>
      <c r="H332" s="175">
        <f t="shared" si="91"/>
        <v>68929.184338866791</v>
      </c>
      <c r="I332" s="175">
        <f t="shared" si="91"/>
        <v>70810.951071317861</v>
      </c>
      <c r="J332" s="175">
        <f t="shared" si="91"/>
        <v>72744.090035564848</v>
      </c>
      <c r="K332" s="175">
        <f t="shared" si="91"/>
        <v>74730.003693535778</v>
      </c>
      <c r="L332" s="175">
        <f t="shared" si="91"/>
        <v>76770.132794369303</v>
      </c>
      <c r="M332" s="175">
        <f t="shared" si="91"/>
        <v>78865.957419655591</v>
      </c>
      <c r="N332" s="175">
        <f t="shared" si="91"/>
        <v>81018.9980572122</v>
      </c>
      <c r="O332" s="175">
        <f t="shared" si="91"/>
        <v>83230.816704174111</v>
      </c>
      <c r="P332" s="175">
        <f t="shared" si="91"/>
        <v>85503.018000198063</v>
      </c>
      <c r="Q332" s="175">
        <f t="shared" si="91"/>
        <v>87837.250391603491</v>
      </c>
      <c r="R332" s="175">
        <f t="shared" si="91"/>
        <v>90235.20732729428</v>
      </c>
      <c r="S332" s="175">
        <f t="shared" si="91"/>
        <v>92698.628487329421</v>
      </c>
      <c r="T332" s="175">
        <f t="shared" si="91"/>
        <v>95229.301045033513</v>
      </c>
      <c r="U332" s="175">
        <f t="shared" si="91"/>
        <v>97829.060963562952</v>
      </c>
      <c r="V332" s="175">
        <f t="shared" si="91"/>
        <v>100499.79432786824</v>
      </c>
      <c r="W332" s="182">
        <v>0.16269558610838433</v>
      </c>
      <c r="X332" s="183">
        <f>W332*$B$19/$X$259</f>
        <v>0.37733132539486969</v>
      </c>
      <c r="Y332" s="180">
        <f>X332*1000000-V332</f>
        <v>276831.5310670014</v>
      </c>
    </row>
    <row r="333" spans="1:25" s="879" customFormat="1">
      <c r="A333" s="63" t="s">
        <v>15</v>
      </c>
      <c r="B333" s="175">
        <f t="shared" ref="B333:Q334" si="92">$B244*B$256</f>
        <v>620.50933259406111</v>
      </c>
      <c r="C333" s="175">
        <f t="shared" si="92"/>
        <v>637.4492373738791</v>
      </c>
      <c r="D333" s="175">
        <f t="shared" si="92"/>
        <v>654.851601554186</v>
      </c>
      <c r="E333" s="175">
        <f t="shared" si="92"/>
        <v>672.72905027661545</v>
      </c>
      <c r="F333" s="175">
        <f t="shared" si="92"/>
        <v>691.09455334916709</v>
      </c>
      <c r="G333" s="175">
        <f t="shared" si="92"/>
        <v>709.96143465559942</v>
      </c>
      <c r="H333" s="175">
        <f t="shared" si="92"/>
        <v>729.34338182169733</v>
      </c>
      <c r="I333" s="175">
        <f t="shared" si="92"/>
        <v>749.2544561454298</v>
      </c>
      <c r="J333" s="175">
        <f t="shared" si="92"/>
        <v>769.70910279820021</v>
      </c>
      <c r="K333" s="175">
        <f t="shared" si="92"/>
        <v>790.72216130459105</v>
      </c>
      <c r="L333" s="175">
        <f t="shared" si="92"/>
        <v>812.30887630820644</v>
      </c>
      <c r="M333" s="175">
        <f t="shared" si="92"/>
        <v>834.48490863142058</v>
      </c>
      <c r="N333" s="175">
        <f t="shared" si="92"/>
        <v>857.2663466370584</v>
      </c>
      <c r="O333" s="175">
        <f t="shared" si="92"/>
        <v>880.66971790025025</v>
      </c>
      <c r="P333" s="175">
        <f t="shared" si="92"/>
        <v>904.71200119892717</v>
      </c>
      <c r="Q333" s="175">
        <f t="shared" si="92"/>
        <v>929.41063883165805</v>
      </c>
      <c r="R333" s="175">
        <f t="shared" si="91"/>
        <v>954.78354927176247</v>
      </c>
      <c r="S333" s="175">
        <f t="shared" si="91"/>
        <v>980.84914016688163</v>
      </c>
      <c r="T333" s="175">
        <f t="shared" si="91"/>
        <v>1007.6263216934376</v>
      </c>
      <c r="U333" s="175">
        <f t="shared" si="91"/>
        <v>1035.1345202756686</v>
      </c>
      <c r="V333" s="175">
        <f t="shared" si="91"/>
        <v>1063.3936926791946</v>
      </c>
      <c r="W333" s="182">
        <v>0.13684863543355574</v>
      </c>
      <c r="X333" s="183">
        <f>W333*$B$19/$X$259</f>
        <v>0.31738585060459634</v>
      </c>
      <c r="Y333" s="180">
        <f>X333*1000000-V333</f>
        <v>316322.45691191714</v>
      </c>
    </row>
    <row r="334" spans="1:25" s="879" customFormat="1">
      <c r="A334" s="63" t="s">
        <v>22</v>
      </c>
      <c r="B334" s="175">
        <f t="shared" si="92"/>
        <v>14857.431432229507</v>
      </c>
      <c r="C334" s="175">
        <f t="shared" si="91"/>
        <v>15263.039310329374</v>
      </c>
      <c r="D334" s="175">
        <f t="shared" si="91"/>
        <v>15679.720283501367</v>
      </c>
      <c r="E334" s="175">
        <f t="shared" si="91"/>
        <v>16107.776647240957</v>
      </c>
      <c r="F334" s="175">
        <f t="shared" si="91"/>
        <v>16547.518949710637</v>
      </c>
      <c r="G334" s="175">
        <f t="shared" si="91"/>
        <v>16999.266217037741</v>
      </c>
      <c r="H334" s="175">
        <f t="shared" si="91"/>
        <v>17463.346184762871</v>
      </c>
      <c r="I334" s="175">
        <f t="shared" si="91"/>
        <v>17940.095535606903</v>
      </c>
      <c r="J334" s="175">
        <f t="shared" si="91"/>
        <v>18429.860143728973</v>
      </c>
      <c r="K334" s="175">
        <f t="shared" si="91"/>
        <v>18932.995325652773</v>
      </c>
      <c r="L334" s="175">
        <f t="shared" si="91"/>
        <v>19449.866098043094</v>
      </c>
      <c r="M334" s="175">
        <f t="shared" si="91"/>
        <v>19980.847442519673</v>
      </c>
      <c r="N334" s="175">
        <f t="shared" si="91"/>
        <v>20526.324577700463</v>
      </c>
      <c r="O334" s="175">
        <f t="shared" si="91"/>
        <v>21086.693238671687</v>
      </c>
      <c r="P334" s="175">
        <f t="shared" si="91"/>
        <v>21662.359964087427</v>
      </c>
      <c r="Q334" s="175">
        <f t="shared" si="91"/>
        <v>22253.742391107018</v>
      </c>
      <c r="R334" s="175">
        <f t="shared" si="91"/>
        <v>22861.269558384243</v>
      </c>
      <c r="S334" s="175">
        <f t="shared" si="91"/>
        <v>23485.382217328137</v>
      </c>
      <c r="T334" s="175">
        <f t="shared" si="91"/>
        <v>24126.533151861193</v>
      </c>
      <c r="U334" s="175">
        <f t="shared" si="91"/>
        <v>24785.187506907008</v>
      </c>
      <c r="V334" s="175">
        <f t="shared" si="91"/>
        <v>25461.823125845574</v>
      </c>
      <c r="W334" s="182">
        <v>0.19285024711274493</v>
      </c>
      <c r="X334" s="183">
        <f>W334*$B$19/$X$259</f>
        <v>0.44726744644014738</v>
      </c>
      <c r="Y334" s="180">
        <f>X334*1000000-V334</f>
        <v>421805.62331430177</v>
      </c>
    </row>
    <row r="335" spans="1:25" s="879" customFormat="1">
      <c r="B335" s="175"/>
      <c r="C335" s="175"/>
      <c r="D335" s="175"/>
      <c r="E335" s="175"/>
      <c r="F335" s="175"/>
      <c r="G335" s="175"/>
      <c r="H335" s="175"/>
      <c r="I335" s="175"/>
      <c r="J335" s="175"/>
      <c r="K335" s="175"/>
      <c r="L335" s="175"/>
      <c r="M335" s="175"/>
      <c r="N335" s="175"/>
      <c r="O335" s="175"/>
      <c r="P335" s="175"/>
      <c r="Q335" s="175"/>
      <c r="R335" s="175"/>
      <c r="S335" s="175"/>
      <c r="T335" s="175"/>
      <c r="U335" s="175"/>
      <c r="V335" s="175"/>
    </row>
    <row r="336" spans="1:25" s="879" customFormat="1">
      <c r="A336" s="141" t="s">
        <v>372</v>
      </c>
      <c r="B336" s="175"/>
      <c r="C336" s="175"/>
      <c r="D336" s="175"/>
      <c r="E336" s="175"/>
      <c r="F336" s="175"/>
      <c r="G336" s="175"/>
      <c r="H336" s="175"/>
      <c r="I336" s="175"/>
      <c r="J336" s="175"/>
      <c r="K336" s="175"/>
      <c r="L336" s="175"/>
      <c r="M336" s="175"/>
      <c r="N336" s="175"/>
      <c r="O336" s="175"/>
      <c r="P336" s="175"/>
      <c r="Q336" s="175"/>
      <c r="R336" s="175"/>
      <c r="S336" s="175"/>
      <c r="T336" s="175"/>
      <c r="U336" s="175"/>
      <c r="V336" s="175"/>
    </row>
    <row r="337" spans="1:25" s="879" customFormat="1">
      <c r="A337" s="63" t="s">
        <v>68</v>
      </c>
      <c r="B337" s="175">
        <f>$B248*B$256</f>
        <v>425765.53349358746</v>
      </c>
      <c r="C337" s="175">
        <f>$B248*C$256*(1.02383)^C325</f>
        <v>447811.91082081868</v>
      </c>
      <c r="D337" s="175">
        <f t="shared" ref="D337:V337" si="93">$B248*D$256*(1.02383)^D325</f>
        <v>470999.86188997887</v>
      </c>
      <c r="E337" s="175">
        <f t="shared" si="93"/>
        <v>495388.49802756484</v>
      </c>
      <c r="F337" s="175">
        <f t="shared" si="93"/>
        <v>521039.99137760262</v>
      </c>
      <c r="G337" s="175">
        <f t="shared" si="93"/>
        <v>548019.73339249007</v>
      </c>
      <c r="H337" s="175">
        <f t="shared" si="93"/>
        <v>576396.50153058418</v>
      </c>
      <c r="I337" s="175">
        <f t="shared" si="93"/>
        <v>606242.6345854823</v>
      </c>
      <c r="J337" s="175">
        <f t="shared" si="93"/>
        <v>637634.2170939513</v>
      </c>
      <c r="K337" s="175">
        <f t="shared" si="93"/>
        <v>670651.27329260367</v>
      </c>
      <c r="L337" s="175">
        <f t="shared" si="93"/>
        <v>705377.97111775621</v>
      </c>
      <c r="M337" s="175">
        <f t="shared" si="93"/>
        <v>741902.83676851972</v>
      </c>
      <c r="N337" s="175">
        <f t="shared" si="93"/>
        <v>780318.98038007936</v>
      </c>
      <c r="O337" s="175">
        <f t="shared" si="93"/>
        <v>820724.33338247018</v>
      </c>
      <c r="P337" s="175">
        <f t="shared" si="93"/>
        <v>863221.89814991679</v>
      </c>
      <c r="Q337" s="175">
        <f t="shared" si="93"/>
        <v>907920.01057716075</v>
      </c>
      <c r="R337" s="175">
        <f t="shared" si="93"/>
        <v>954932.61625213199</v>
      </c>
      <c r="S337" s="175">
        <f t="shared" si="93"/>
        <v>1004379.560929</v>
      </c>
      <c r="T337" s="175">
        <f t="shared" si="93"/>
        <v>1056386.8960420785</v>
      </c>
      <c r="U337" s="175">
        <f t="shared" si="93"/>
        <v>1111087.2000394124</v>
      </c>
      <c r="V337" s="175">
        <f t="shared" si="93"/>
        <v>1168619.916355198</v>
      </c>
      <c r="W337" s="182">
        <v>0.30917323394617646</v>
      </c>
      <c r="X337" s="183">
        <f>W337*$B$19/$X$259</f>
        <v>0.71704923859343039</v>
      </c>
      <c r="Y337" s="180">
        <f>X337*1000000-V337</f>
        <v>-451570.67776176764</v>
      </c>
    </row>
    <row r="338" spans="1:25" s="879" customFormat="1">
      <c r="A338" s="63" t="s">
        <v>17</v>
      </c>
      <c r="B338" s="175">
        <f>$B249*B$256</f>
        <v>80571.118267346494</v>
      </c>
      <c r="C338" s="175">
        <f>$B249*C$256*(1.02383)^C325</f>
        <v>84743.135810484819</v>
      </c>
      <c r="D338" s="175">
        <f t="shared" ref="D338:V338" si="94">$B249*D$256*(1.02383)^D325</f>
        <v>89131.182754164634</v>
      </c>
      <c r="E338" s="175">
        <f t="shared" si="94"/>
        <v>93746.445221506467</v>
      </c>
      <c r="F338" s="175">
        <f t="shared" si="94"/>
        <v>98600.68855933896</v>
      </c>
      <c r="G338" s="175">
        <f t="shared" si="94"/>
        <v>103706.28733072645</v>
      </c>
      <c r="H338" s="175">
        <f t="shared" si="94"/>
        <v>109076.25686052607</v>
      </c>
      <c r="I338" s="175">
        <f t="shared" si="94"/>
        <v>114724.28641439172</v>
      </c>
      <c r="J338" s="175">
        <f t="shared" si="94"/>
        <v>120664.77409580504</v>
      </c>
      <c r="K338" s="175">
        <f t="shared" si="94"/>
        <v>126912.86355009457</v>
      </c>
      <c r="L338" s="175">
        <f t="shared" si="94"/>
        <v>133484.48256900915</v>
      </c>
      <c r="M338" s="175">
        <f t="shared" si="94"/>
        <v>140396.38369425823</v>
      </c>
      <c r="N338" s="175">
        <f t="shared" si="94"/>
        <v>147666.18692352541</v>
      </c>
      <c r="O338" s="175">
        <f t="shared" si="94"/>
        <v>155312.4246278241</v>
      </c>
      <c r="P338" s="175">
        <f t="shared" si="94"/>
        <v>163354.58879469818</v>
      </c>
      <c r="Q338" s="175">
        <f t="shared" si="94"/>
        <v>171813.18071770281</v>
      </c>
      <c r="R338" s="175">
        <f t="shared" si="94"/>
        <v>180709.76325883353</v>
      </c>
      <c r="S338" s="175">
        <f t="shared" si="94"/>
        <v>190067.01581713359</v>
      </c>
      <c r="T338" s="175">
        <f t="shared" si="94"/>
        <v>199908.79214360664</v>
      </c>
      <c r="U338" s="175">
        <f t="shared" si="94"/>
        <v>210260.18114981745</v>
      </c>
      <c r="V338" s="175">
        <f t="shared" si="94"/>
        <v>221147.57086519629</v>
      </c>
      <c r="W338" s="182">
        <v>5.4214695445088772</v>
      </c>
      <c r="X338" s="183">
        <f>W338*$B$19/$X$259</f>
        <v>12.573729489223265</v>
      </c>
      <c r="Y338" s="180">
        <f>X338*1000000-V338</f>
        <v>12352581.918358067</v>
      </c>
    </row>
    <row r="339" spans="1:25" s="879" customFormat="1">
      <c r="A339" s="63" t="s">
        <v>178</v>
      </c>
      <c r="B339" s="175">
        <f>$B250*B$256</f>
        <v>0</v>
      </c>
      <c r="C339" s="175">
        <f t="shared" ref="C339:V339" si="95">$B250*C$256</f>
        <v>0</v>
      </c>
      <c r="D339" s="175">
        <f t="shared" si="95"/>
        <v>0</v>
      </c>
      <c r="E339" s="175">
        <f t="shared" si="95"/>
        <v>0</v>
      </c>
      <c r="F339" s="175">
        <f t="shared" si="95"/>
        <v>0</v>
      </c>
      <c r="G339" s="175">
        <f t="shared" si="95"/>
        <v>0</v>
      </c>
      <c r="H339" s="175">
        <f t="shared" si="95"/>
        <v>0</v>
      </c>
      <c r="I339" s="175">
        <f t="shared" si="95"/>
        <v>0</v>
      </c>
      <c r="J339" s="175">
        <f t="shared" si="95"/>
        <v>0</v>
      </c>
      <c r="K339" s="175">
        <f t="shared" si="95"/>
        <v>0</v>
      </c>
      <c r="L339" s="175">
        <f t="shared" si="95"/>
        <v>0</v>
      </c>
      <c r="M339" s="175">
        <f t="shared" si="95"/>
        <v>0</v>
      </c>
      <c r="N339" s="175">
        <f t="shared" si="95"/>
        <v>0</v>
      </c>
      <c r="O339" s="175">
        <f t="shared" si="95"/>
        <v>0</v>
      </c>
      <c r="P339" s="175">
        <f t="shared" si="95"/>
        <v>0</v>
      </c>
      <c r="Q339" s="175">
        <f t="shared" si="95"/>
        <v>0</v>
      </c>
      <c r="R339" s="175">
        <f t="shared" si="95"/>
        <v>0</v>
      </c>
      <c r="S339" s="175">
        <f t="shared" si="95"/>
        <v>0</v>
      </c>
      <c r="T339" s="175">
        <f t="shared" si="95"/>
        <v>0</v>
      </c>
      <c r="U339" s="175">
        <f t="shared" si="95"/>
        <v>0</v>
      </c>
      <c r="V339" s="175">
        <f t="shared" si="95"/>
        <v>0</v>
      </c>
      <c r="W339" s="182">
        <v>0.38759581440448809</v>
      </c>
      <c r="X339" s="183">
        <f>W339*$B$19/$X$259</f>
        <v>0.89893060939784453</v>
      </c>
      <c r="Y339" s="180">
        <f>X339*1000000-V339</f>
        <v>898930.60939784453</v>
      </c>
    </row>
    <row r="340" spans="1:25" s="879" customFormat="1">
      <c r="A340" s="63"/>
      <c r="B340" s="175"/>
      <c r="C340" s="175"/>
      <c r="D340" s="175"/>
      <c r="E340" s="175"/>
      <c r="F340" s="175"/>
      <c r="G340" s="175"/>
      <c r="H340" s="175"/>
      <c r="I340" s="175"/>
      <c r="J340" s="175"/>
      <c r="K340" s="175"/>
      <c r="L340" s="175"/>
      <c r="M340" s="175"/>
      <c r="N340" s="175"/>
      <c r="O340" s="175"/>
      <c r="P340" s="175"/>
      <c r="Q340" s="175"/>
      <c r="R340" s="175"/>
      <c r="S340" s="175"/>
      <c r="T340" s="175"/>
      <c r="U340" s="175"/>
      <c r="V340" s="175"/>
    </row>
    <row r="341" spans="1:25" s="879" customFormat="1" ht="15" thickBot="1">
      <c r="A341" s="176" t="s">
        <v>382</v>
      </c>
      <c r="B341" s="177">
        <v>0</v>
      </c>
      <c r="C341" s="178">
        <v>0</v>
      </c>
      <c r="D341" s="178">
        <v>0.05</v>
      </c>
      <c r="E341" s="178">
        <v>0.25</v>
      </c>
      <c r="F341" s="178">
        <v>0.6</v>
      </c>
      <c r="G341" s="178">
        <v>0.95</v>
      </c>
      <c r="H341" s="178">
        <v>1</v>
      </c>
      <c r="I341" s="172">
        <f t="shared" ref="I341:V341" si="96">H341</f>
        <v>1</v>
      </c>
      <c r="J341" s="172">
        <f t="shared" si="96"/>
        <v>1</v>
      </c>
      <c r="K341" s="172">
        <f t="shared" si="96"/>
        <v>1</v>
      </c>
      <c r="L341" s="172">
        <f t="shared" si="96"/>
        <v>1</v>
      </c>
      <c r="M341" s="172">
        <f t="shared" si="96"/>
        <v>1</v>
      </c>
      <c r="N341" s="172">
        <f t="shared" si="96"/>
        <v>1</v>
      </c>
      <c r="O341" s="172">
        <f t="shared" si="96"/>
        <v>1</v>
      </c>
      <c r="P341" s="172">
        <f t="shared" si="96"/>
        <v>1</v>
      </c>
      <c r="Q341" s="172">
        <f t="shared" si="96"/>
        <v>1</v>
      </c>
      <c r="R341" s="172">
        <f t="shared" si="96"/>
        <v>1</v>
      </c>
      <c r="S341" s="172">
        <f t="shared" si="96"/>
        <v>1</v>
      </c>
      <c r="T341" s="172">
        <f t="shared" si="96"/>
        <v>1</v>
      </c>
      <c r="U341" s="172">
        <f t="shared" si="96"/>
        <v>1</v>
      </c>
      <c r="V341" s="172">
        <f t="shared" si="96"/>
        <v>1</v>
      </c>
    </row>
    <row r="342" spans="1:25" s="879" customFormat="1">
      <c r="B342" s="175"/>
      <c r="C342" s="175"/>
      <c r="D342" s="175"/>
      <c r="E342" s="175"/>
      <c r="F342" s="175"/>
      <c r="G342" s="175"/>
      <c r="H342" s="175"/>
      <c r="I342" s="175"/>
      <c r="J342" s="175"/>
      <c r="K342" s="175"/>
      <c r="L342" s="175"/>
      <c r="M342" s="175"/>
      <c r="N342" s="175"/>
      <c r="O342" s="175"/>
      <c r="P342" s="175"/>
      <c r="Q342" s="175"/>
      <c r="R342" s="175"/>
      <c r="S342" s="175"/>
      <c r="T342" s="175"/>
      <c r="U342" s="175"/>
      <c r="V342" s="175"/>
    </row>
    <row r="343" spans="1:25" s="879" customFormat="1">
      <c r="A343" s="63" t="s">
        <v>379</v>
      </c>
      <c r="B343" s="175">
        <f>SUM(B327:B329,B332:B334,B337:B339)*B341</f>
        <v>0</v>
      </c>
      <c r="C343" s="175">
        <f t="shared" ref="C343:V343" si="97">SUM(C327:C329,C332:C334,C337:C339)*C341</f>
        <v>0</v>
      </c>
      <c r="D343" s="175">
        <f t="shared" si="97"/>
        <v>47401.688535737085</v>
      </c>
      <c r="E343" s="175">
        <f t="shared" si="97"/>
        <v>246906.85343534924</v>
      </c>
      <c r="F343" s="175">
        <f t="shared" si="97"/>
        <v>617407.19692422461</v>
      </c>
      <c r="G343" s="175">
        <f t="shared" si="97"/>
        <v>1018659.5139298685</v>
      </c>
      <c r="H343" s="175">
        <f t="shared" si="97"/>
        <v>1117500.8474707331</v>
      </c>
      <c r="I343" s="175">
        <f t="shared" si="97"/>
        <v>1164789.3769113708</v>
      </c>
      <c r="J343" s="175">
        <f t="shared" si="97"/>
        <v>1214237.800147637</v>
      </c>
      <c r="K343" s="175">
        <f t="shared" si="97"/>
        <v>1265950.075285129</v>
      </c>
      <c r="L343" s="175">
        <f t="shared" si="97"/>
        <v>1320035.3282486743</v>
      </c>
      <c r="M343" s="175">
        <f t="shared" si="97"/>
        <v>1376608.1145002272</v>
      </c>
      <c r="N343" s="175">
        <f t="shared" si="97"/>
        <v>1435788.6941482765</v>
      </c>
      <c r="O343" s="175">
        <f t="shared" si="97"/>
        <v>1497703.3211378255</v>
      </c>
      <c r="P343" s="175">
        <f t="shared" si="97"/>
        <v>1562484.5472455279</v>
      </c>
      <c r="Q343" s="175">
        <f t="shared" si="97"/>
        <v>1630271.5416419914</v>
      </c>
      <c r="R343" s="175">
        <f t="shared" si="97"/>
        <v>1701210.4268225702</v>
      </c>
      <c r="S343" s="175">
        <f t="shared" si="97"/>
        <v>1775454.631749345</v>
      </c>
      <c r="T343" s="175">
        <f t="shared" si="97"/>
        <v>1853165.2630904843</v>
      </c>
      <c r="U343" s="175">
        <f t="shared" si="97"/>
        <v>1934511.49548893</v>
      </c>
      <c r="V343" s="175">
        <f t="shared" si="97"/>
        <v>2019670.9818404764</v>
      </c>
    </row>
    <row r="344" spans="1:25" s="879" customFormat="1">
      <c r="A344" s="63" t="s">
        <v>380</v>
      </c>
      <c r="B344" s="174">
        <f>NPV(0.1,C343:V343)</f>
        <v>7966534.045191654</v>
      </c>
    </row>
    <row r="346" spans="1:25">
      <c r="A346" t="s">
        <v>1339</v>
      </c>
    </row>
    <row r="347" spans="1:25" s="879" customFormat="1">
      <c r="B347" s="879" t="s">
        <v>376</v>
      </c>
    </row>
    <row r="348" spans="1:25" s="879" customFormat="1">
      <c r="A348" s="879" t="s">
        <v>375</v>
      </c>
      <c r="B348" s="879">
        <v>0</v>
      </c>
      <c r="C348" s="879">
        <v>1</v>
      </c>
      <c r="D348" s="879">
        <v>2</v>
      </c>
      <c r="E348" s="879">
        <v>3</v>
      </c>
      <c r="F348" s="879">
        <v>4</v>
      </c>
      <c r="G348" s="879">
        <v>5</v>
      </c>
      <c r="H348" s="879">
        <v>6</v>
      </c>
      <c r="I348" s="879">
        <v>7</v>
      </c>
      <c r="J348" s="879">
        <v>8</v>
      </c>
      <c r="K348" s="879">
        <v>9</v>
      </c>
      <c r="L348" s="879">
        <v>10</v>
      </c>
      <c r="M348" s="879">
        <v>11</v>
      </c>
      <c r="N348" s="879">
        <v>12</v>
      </c>
      <c r="O348" s="879">
        <v>13</v>
      </c>
      <c r="P348" s="879">
        <v>14</v>
      </c>
      <c r="Q348" s="879">
        <v>15</v>
      </c>
      <c r="R348" s="879">
        <v>16</v>
      </c>
      <c r="S348" s="879">
        <v>17</v>
      </c>
      <c r="T348" s="879">
        <v>18</v>
      </c>
      <c r="U348" s="879">
        <v>19</v>
      </c>
      <c r="V348" s="879">
        <v>20</v>
      </c>
    </row>
    <row r="349" spans="1:25" s="879" customFormat="1">
      <c r="A349" s="141" t="s">
        <v>377</v>
      </c>
      <c r="X349" s="879">
        <v>1164.8023993836923</v>
      </c>
    </row>
    <row r="350" spans="1:25" s="879" customFormat="1">
      <c r="A350" s="63" t="s">
        <v>68</v>
      </c>
      <c r="B350" s="175">
        <f>$C238*B$256</f>
        <v>3022.500426913567</v>
      </c>
      <c r="C350" s="175">
        <f t="shared" ref="C350:V352" si="98">$C238*C$256</f>
        <v>3105.014688568308</v>
      </c>
      <c r="D350" s="175">
        <f t="shared" si="98"/>
        <v>3189.7815895662229</v>
      </c>
      <c r="E350" s="175">
        <f t="shared" si="98"/>
        <v>3276.8626269613815</v>
      </c>
      <c r="F350" s="175">
        <f t="shared" si="98"/>
        <v>3366.3209766774276</v>
      </c>
      <c r="G350" s="175">
        <f t="shared" si="98"/>
        <v>3458.2215393407214</v>
      </c>
      <c r="H350" s="175">
        <f t="shared" si="98"/>
        <v>3552.6309873647238</v>
      </c>
      <c r="I350" s="175">
        <f t="shared" si="98"/>
        <v>3649.6178133197814</v>
      </c>
      <c r="J350" s="175">
        <f t="shared" si="98"/>
        <v>3749.2523796234118</v>
      </c>
      <c r="K350" s="175">
        <f t="shared" si="98"/>
        <v>3851.6069695871311</v>
      </c>
      <c r="L350" s="175">
        <f t="shared" si="98"/>
        <v>3956.7558398568599</v>
      </c>
      <c r="M350" s="175">
        <f t="shared" si="98"/>
        <v>4064.7752742849525</v>
      </c>
      <c r="N350" s="175">
        <f t="shared" si="98"/>
        <v>4175.7436392729323</v>
      </c>
      <c r="O350" s="175">
        <f t="shared" si="98"/>
        <v>4289.7414406250837</v>
      </c>
      <c r="P350" s="175">
        <f t="shared" si="98"/>
        <v>4406.8513819541486</v>
      </c>
      <c r="Q350" s="175">
        <f t="shared" si="98"/>
        <v>4527.1584246814982</v>
      </c>
      <c r="R350" s="175">
        <f t="shared" si="98"/>
        <v>4650.7498496753033</v>
      </c>
      <c r="S350" s="175">
        <f t="shared" si="98"/>
        <v>4777.7153205714403</v>
      </c>
      <c r="T350" s="175">
        <f t="shared" si="98"/>
        <v>4908.1469488230405</v>
      </c>
      <c r="U350" s="175">
        <f t="shared" si="98"/>
        <v>5042.13936052591</v>
      </c>
      <c r="V350" s="175">
        <f t="shared" si="98"/>
        <v>5179.7897650682689</v>
      </c>
      <c r="W350" s="182">
        <v>0.38865403415502409</v>
      </c>
      <c r="X350" s="183">
        <f>W350*$B$19/$X$259</f>
        <v>0.90138488287003804</v>
      </c>
      <c r="Y350" s="180">
        <f>X350*1000000-V350</f>
        <v>896205.09310496983</v>
      </c>
    </row>
    <row r="351" spans="1:25" s="879" customFormat="1">
      <c r="A351" s="63" t="s">
        <v>15</v>
      </c>
      <c r="B351" s="175">
        <f t="shared" ref="B351:Q352" si="99">$C239*B$256</f>
        <v>131734.26788052084</v>
      </c>
      <c r="C351" s="175">
        <f t="shared" si="99"/>
        <v>135330.61339365906</v>
      </c>
      <c r="D351" s="175">
        <f t="shared" si="99"/>
        <v>139025.13913930597</v>
      </c>
      <c r="E351" s="175">
        <f t="shared" si="99"/>
        <v>142820.52543780903</v>
      </c>
      <c r="F351" s="175">
        <f t="shared" si="99"/>
        <v>146719.52578226125</v>
      </c>
      <c r="G351" s="175">
        <f t="shared" si="99"/>
        <v>150724.96883611698</v>
      </c>
      <c r="H351" s="175">
        <f t="shared" si="99"/>
        <v>154839.76048534299</v>
      </c>
      <c r="I351" s="175">
        <f t="shared" si="99"/>
        <v>159066.8859465929</v>
      </c>
      <c r="J351" s="175">
        <f t="shared" si="99"/>
        <v>163409.41193293489</v>
      </c>
      <c r="K351" s="175">
        <f t="shared" si="99"/>
        <v>167870.48887870403</v>
      </c>
      <c r="L351" s="175">
        <f t="shared" si="99"/>
        <v>172453.35322509267</v>
      </c>
      <c r="M351" s="175">
        <f t="shared" si="99"/>
        <v>177161.32976813772</v>
      </c>
      <c r="N351" s="175">
        <f t="shared" si="99"/>
        <v>181997.83407080788</v>
      </c>
      <c r="O351" s="175">
        <f t="shared" si="99"/>
        <v>186966.37494094096</v>
      </c>
      <c r="P351" s="175">
        <f t="shared" si="99"/>
        <v>192070.55697682867</v>
      </c>
      <c r="Q351" s="175">
        <f t="shared" si="99"/>
        <v>197314.08318229613</v>
      </c>
      <c r="R351" s="175">
        <f t="shared" si="98"/>
        <v>202700.75765317283</v>
      </c>
      <c r="S351" s="175">
        <f t="shared" si="98"/>
        <v>208234.48833710447</v>
      </c>
      <c r="T351" s="175">
        <f t="shared" si="98"/>
        <v>213919.28986870745</v>
      </c>
      <c r="U351" s="175">
        <f t="shared" si="98"/>
        <v>219759.28648212319</v>
      </c>
      <c r="V351" s="175">
        <f t="shared" si="98"/>
        <v>225758.71500308521</v>
      </c>
      <c r="W351" s="182">
        <v>0.27490138507030604</v>
      </c>
      <c r="X351" s="183">
        <f>W351*$B$19/$X$259</f>
        <v>0.63756434002064466</v>
      </c>
      <c r="Y351" s="180">
        <f>X351*1000000-V351</f>
        <v>411805.62501755951</v>
      </c>
    </row>
    <row r="352" spans="1:25" s="879" customFormat="1">
      <c r="A352" s="63" t="s">
        <v>22</v>
      </c>
      <c r="B352" s="175">
        <f t="shared" si="99"/>
        <v>140579.36796543826</v>
      </c>
      <c r="C352" s="175">
        <f t="shared" si="98"/>
        <v>144417.18471089471</v>
      </c>
      <c r="D352" s="175">
        <f t="shared" si="98"/>
        <v>148359.77385350218</v>
      </c>
      <c r="E352" s="175">
        <f t="shared" si="98"/>
        <v>152409.99567970278</v>
      </c>
      <c r="F352" s="175">
        <f t="shared" si="98"/>
        <v>156570.7885617587</v>
      </c>
      <c r="G352" s="175">
        <f t="shared" si="98"/>
        <v>160845.17108949475</v>
      </c>
      <c r="H352" s="175">
        <f t="shared" si="98"/>
        <v>165236.24426023796</v>
      </c>
      <c r="I352" s="175">
        <f t="shared" si="98"/>
        <v>169747.19372854248</v>
      </c>
      <c r="J352" s="175">
        <f t="shared" si="98"/>
        <v>174381.2921173317</v>
      </c>
      <c r="K352" s="175">
        <f t="shared" si="98"/>
        <v>179141.90139213487</v>
      </c>
      <c r="L352" s="175">
        <f t="shared" si="98"/>
        <v>184032.47530014016</v>
      </c>
      <c r="M352" s="175">
        <f t="shared" si="98"/>
        <v>189056.56187583401</v>
      </c>
      <c r="N352" s="175">
        <f t="shared" si="98"/>
        <v>194217.80601504431</v>
      </c>
      <c r="O352" s="175">
        <f t="shared" si="98"/>
        <v>199519.95211925503</v>
      </c>
      <c r="P352" s="175">
        <f t="shared" si="98"/>
        <v>204966.84681211071</v>
      </c>
      <c r="Q352" s="175">
        <f t="shared" si="98"/>
        <v>210562.44173008137</v>
      </c>
      <c r="R352" s="175">
        <f t="shared" si="98"/>
        <v>216310.79638931263</v>
      </c>
      <c r="S352" s="175">
        <f t="shared" si="98"/>
        <v>222216.0811307409</v>
      </c>
      <c r="T352" s="175">
        <f t="shared" si="98"/>
        <v>228282.58014561012</v>
      </c>
      <c r="U352" s="175">
        <f t="shared" si="98"/>
        <v>234514.69458358534</v>
      </c>
      <c r="V352" s="175">
        <f>$C240*V$256</f>
        <v>240916.94574571724</v>
      </c>
      <c r="W352" s="182">
        <v>0.38739735967761679</v>
      </c>
      <c r="X352" s="183">
        <f>W352*$B$19/$X$259</f>
        <v>0.89847034377594037</v>
      </c>
      <c r="Y352" s="180">
        <f>X352*1000000-V352</f>
        <v>657553.39803022309</v>
      </c>
    </row>
    <row r="353" spans="1:25" s="879" customFormat="1">
      <c r="B353" s="175"/>
      <c r="C353" s="175"/>
      <c r="D353" s="175"/>
      <c r="E353" s="175"/>
      <c r="F353" s="175"/>
      <c r="G353" s="175"/>
      <c r="H353" s="175"/>
      <c r="I353" s="175"/>
      <c r="J353" s="175"/>
      <c r="K353" s="175"/>
      <c r="L353" s="175"/>
      <c r="M353" s="175"/>
      <c r="N353" s="175"/>
      <c r="O353" s="175"/>
      <c r="P353" s="175"/>
      <c r="Q353" s="175"/>
      <c r="R353" s="175"/>
      <c r="S353" s="175"/>
      <c r="T353" s="175"/>
      <c r="U353" s="175"/>
      <c r="V353" s="175"/>
    </row>
    <row r="354" spans="1:25" s="879" customFormat="1">
      <c r="A354" s="141" t="s">
        <v>371</v>
      </c>
      <c r="B354" s="175"/>
      <c r="C354" s="175"/>
      <c r="D354" s="175"/>
      <c r="E354" s="175"/>
      <c r="F354" s="175"/>
      <c r="G354" s="175"/>
      <c r="H354" s="175"/>
      <c r="I354" s="175"/>
      <c r="J354" s="175"/>
      <c r="K354" s="175"/>
      <c r="L354" s="175"/>
      <c r="M354" s="175"/>
      <c r="N354" s="175"/>
      <c r="O354" s="175"/>
      <c r="P354" s="175"/>
      <c r="Q354" s="175"/>
      <c r="R354" s="175"/>
      <c r="S354" s="175"/>
      <c r="T354" s="175"/>
      <c r="U354" s="175"/>
      <c r="V354" s="175"/>
    </row>
    <row r="355" spans="1:25" s="879" customFormat="1">
      <c r="A355" s="63" t="s">
        <v>68</v>
      </c>
      <c r="B355" s="175">
        <f>$C243*B$256</f>
        <v>3022.500426913567</v>
      </c>
      <c r="C355" s="175">
        <f t="shared" ref="C355:V357" si="100">$C243*C$256</f>
        <v>3105.014688568308</v>
      </c>
      <c r="D355" s="175">
        <f t="shared" si="100"/>
        <v>3189.7815895662229</v>
      </c>
      <c r="E355" s="175">
        <f t="shared" si="100"/>
        <v>3276.8626269613815</v>
      </c>
      <c r="F355" s="175">
        <f t="shared" si="100"/>
        <v>3366.3209766774276</v>
      </c>
      <c r="G355" s="175">
        <f t="shared" si="100"/>
        <v>3458.2215393407214</v>
      </c>
      <c r="H355" s="175">
        <f t="shared" si="100"/>
        <v>3552.6309873647238</v>
      </c>
      <c r="I355" s="175">
        <f t="shared" si="100"/>
        <v>3649.6178133197814</v>
      </c>
      <c r="J355" s="175">
        <f t="shared" si="100"/>
        <v>3749.2523796234118</v>
      </c>
      <c r="K355" s="175">
        <f t="shared" si="100"/>
        <v>3851.6069695871311</v>
      </c>
      <c r="L355" s="175">
        <f t="shared" si="100"/>
        <v>3956.7558398568599</v>
      </c>
      <c r="M355" s="175">
        <f t="shared" si="100"/>
        <v>4064.7752742849525</v>
      </c>
      <c r="N355" s="175">
        <f t="shared" si="100"/>
        <v>4175.7436392729323</v>
      </c>
      <c r="O355" s="175">
        <f t="shared" si="100"/>
        <v>4289.7414406250837</v>
      </c>
      <c r="P355" s="175">
        <f t="shared" si="100"/>
        <v>4406.8513819541486</v>
      </c>
      <c r="Q355" s="175">
        <f t="shared" si="100"/>
        <v>4527.1584246814982</v>
      </c>
      <c r="R355" s="175">
        <f t="shared" si="100"/>
        <v>4650.7498496753033</v>
      </c>
      <c r="S355" s="175">
        <f t="shared" si="100"/>
        <v>4777.7153205714403</v>
      </c>
      <c r="T355" s="175">
        <f t="shared" si="100"/>
        <v>4908.1469488230405</v>
      </c>
      <c r="U355" s="175">
        <f t="shared" si="100"/>
        <v>5042.13936052591</v>
      </c>
      <c r="V355" s="175">
        <f t="shared" si="100"/>
        <v>5179.7897650682689</v>
      </c>
      <c r="W355" s="182">
        <v>0.16269558610838433</v>
      </c>
      <c r="X355" s="183">
        <f>W355*$B$19/$X$259</f>
        <v>0.37733132539486969</v>
      </c>
      <c r="Y355" s="180">
        <f>X355*1000000-V355</f>
        <v>372151.53562980139</v>
      </c>
    </row>
    <row r="356" spans="1:25" s="879" customFormat="1">
      <c r="A356" s="63" t="s">
        <v>15</v>
      </c>
      <c r="B356" s="175">
        <f t="shared" ref="B356:Q357" si="101">$C244*B$256</f>
        <v>38256.305717494208</v>
      </c>
      <c r="C356" s="175">
        <f t="shared" si="101"/>
        <v>39300.702863581799</v>
      </c>
      <c r="D356" s="175">
        <f t="shared" si="101"/>
        <v>40373.612051757591</v>
      </c>
      <c r="E356" s="175">
        <f t="shared" si="101"/>
        <v>41475.811660770574</v>
      </c>
      <c r="F356" s="175">
        <f t="shared" si="101"/>
        <v>42608.101319109621</v>
      </c>
      <c r="G356" s="175">
        <f t="shared" si="101"/>
        <v>43771.302485121319</v>
      </c>
      <c r="H356" s="175">
        <f t="shared" si="101"/>
        <v>44966.259042965132</v>
      </c>
      <c r="I356" s="175">
        <f t="shared" si="101"/>
        <v>46193.837914838092</v>
      </c>
      <c r="J356" s="175">
        <f t="shared" si="101"/>
        <v>47454.929689913173</v>
      </c>
      <c r="K356" s="175">
        <f t="shared" si="101"/>
        <v>48750.449270447811</v>
      </c>
      <c r="L356" s="175">
        <f t="shared" si="101"/>
        <v>50081.336535531038</v>
      </c>
      <c r="M356" s="175">
        <f t="shared" si="101"/>
        <v>51448.557022951041</v>
      </c>
      <c r="N356" s="175">
        <f t="shared" si="101"/>
        <v>52853.102629677604</v>
      </c>
      <c r="O356" s="175">
        <f t="shared" si="101"/>
        <v>54295.992331467816</v>
      </c>
      <c r="P356" s="175">
        <f t="shared" si="101"/>
        <v>55778.272922116885</v>
      </c>
      <c r="Q356" s="175">
        <f t="shared" si="101"/>
        <v>57301.019772890686</v>
      </c>
      <c r="R356" s="175">
        <f t="shared" si="100"/>
        <v>58865.337612690615</v>
      </c>
      <c r="S356" s="175">
        <f t="shared" si="100"/>
        <v>60472.361329517073</v>
      </c>
      <c r="T356" s="175">
        <f t="shared" si="100"/>
        <v>62123.256793812892</v>
      </c>
      <c r="U356" s="175">
        <f t="shared" si="100"/>
        <v>63819.221704283998</v>
      </c>
      <c r="V356" s="175">
        <f t="shared" si="100"/>
        <v>65561.486456810962</v>
      </c>
      <c r="W356" s="182">
        <v>0.13684863543355574</v>
      </c>
      <c r="X356" s="183">
        <f>W356*$B$19/$X$259</f>
        <v>0.31738585060459634</v>
      </c>
      <c r="Y356" s="180">
        <f>X356*1000000-V356</f>
        <v>251824.36414778535</v>
      </c>
    </row>
    <row r="357" spans="1:25" s="879" customFormat="1">
      <c r="A357" s="63" t="s">
        <v>22</v>
      </c>
      <c r="B357" s="175">
        <f t="shared" si="101"/>
        <v>40824.968058695944</v>
      </c>
      <c r="C357" s="175">
        <f t="shared" si="100"/>
        <v>41939.489686698347</v>
      </c>
      <c r="D357" s="175">
        <f t="shared" si="100"/>
        <v>43084.437755145213</v>
      </c>
      <c r="E357" s="175">
        <f t="shared" si="100"/>
        <v>44260.642905860688</v>
      </c>
      <c r="F357" s="175">
        <f t="shared" si="100"/>
        <v>45468.958457190689</v>
      </c>
      <c r="G357" s="175">
        <f t="shared" si="100"/>
        <v>46710.261023072002</v>
      </c>
      <c r="H357" s="175">
        <f t="shared" si="100"/>
        <v>47985.45114900187</v>
      </c>
      <c r="I357" s="175">
        <f t="shared" si="100"/>
        <v>49295.453965369627</v>
      </c>
      <c r="J357" s="175">
        <f t="shared" si="100"/>
        <v>50641.219858624223</v>
      </c>
      <c r="K357" s="175">
        <f t="shared" si="100"/>
        <v>52023.725160764669</v>
      </c>
      <c r="L357" s="175">
        <f t="shared" si="100"/>
        <v>53443.972857653549</v>
      </c>
      <c r="M357" s="175">
        <f t="shared" si="100"/>
        <v>54902.993316667496</v>
      </c>
      <c r="N357" s="175">
        <f t="shared" si="100"/>
        <v>56401.845034212522</v>
      </c>
      <c r="O357" s="175">
        <f t="shared" si="100"/>
        <v>57941.61540364653</v>
      </c>
      <c r="P357" s="175">
        <f t="shared" si="100"/>
        <v>59523.421504166086</v>
      </c>
      <c r="Q357" s="175">
        <f t="shared" si="100"/>
        <v>61148.410911229832</v>
      </c>
      <c r="R357" s="175">
        <f t="shared" si="100"/>
        <v>62817.762529106418</v>
      </c>
      <c r="S357" s="175">
        <f t="shared" si="100"/>
        <v>64532.687446151031</v>
      </c>
      <c r="T357" s="175">
        <f t="shared" si="100"/>
        <v>66294.42981343095</v>
      </c>
      <c r="U357" s="175">
        <f t="shared" si="100"/>
        <v>68104.267747337639</v>
      </c>
      <c r="V357" s="175">
        <f t="shared" si="100"/>
        <v>69963.514256839961</v>
      </c>
      <c r="W357" s="182">
        <v>0.19285024711274493</v>
      </c>
      <c r="X357" s="183">
        <f>W357*$B$19/$X$259</f>
        <v>0.44726744644014738</v>
      </c>
      <c r="Y357" s="180">
        <f>X357*1000000-V357</f>
        <v>377303.93218330736</v>
      </c>
    </row>
    <row r="358" spans="1:25" s="879" customFormat="1">
      <c r="B358" s="175"/>
      <c r="C358" s="175"/>
      <c r="D358" s="175"/>
      <c r="E358" s="175"/>
      <c r="F358" s="175"/>
      <c r="G358" s="175"/>
      <c r="H358" s="175"/>
      <c r="I358" s="175"/>
      <c r="J358" s="175"/>
      <c r="K358" s="175"/>
      <c r="L358" s="175"/>
      <c r="M358" s="175"/>
      <c r="N358" s="175"/>
      <c r="O358" s="175"/>
      <c r="P358" s="175"/>
      <c r="Q358" s="175"/>
      <c r="R358" s="175"/>
      <c r="S358" s="175"/>
      <c r="T358" s="175"/>
      <c r="U358" s="175"/>
      <c r="V358" s="175"/>
    </row>
    <row r="359" spans="1:25" s="879" customFormat="1">
      <c r="A359" s="141" t="s">
        <v>372</v>
      </c>
      <c r="B359" s="175"/>
      <c r="C359" s="175"/>
      <c r="D359" s="175"/>
      <c r="E359" s="175"/>
      <c r="F359" s="175"/>
      <c r="G359" s="175"/>
      <c r="H359" s="175"/>
      <c r="I359" s="175"/>
      <c r="J359" s="175"/>
      <c r="K359" s="175"/>
      <c r="L359" s="175"/>
      <c r="M359" s="175"/>
      <c r="N359" s="175"/>
      <c r="O359" s="175"/>
      <c r="P359" s="175"/>
      <c r="Q359" s="175"/>
      <c r="R359" s="175"/>
      <c r="S359" s="175"/>
      <c r="T359" s="175"/>
      <c r="U359" s="175"/>
      <c r="V359" s="175"/>
    </row>
    <row r="360" spans="1:25" s="879" customFormat="1">
      <c r="A360" s="63" t="s">
        <v>68</v>
      </c>
      <c r="B360" s="175">
        <f>$C248*B$256</f>
        <v>21944.084238761156</v>
      </c>
      <c r="C360" s="175">
        <f>$C248*C$256*(1.02383)^C348</f>
        <v>23080.361187387301</v>
      </c>
      <c r="D360" s="175">
        <f t="shared" ref="D360:V360" si="102">$C248*D$256*(1.02383)^D348</f>
        <v>24275.475191592119</v>
      </c>
      <c r="E360" s="175">
        <f t="shared" si="102"/>
        <v>25532.472867003398</v>
      </c>
      <c r="F360" s="175">
        <f t="shared" si="102"/>
        <v>26854.558584709168</v>
      </c>
      <c r="G360" s="175">
        <f t="shared" si="102"/>
        <v>28245.102639923658</v>
      </c>
      <c r="H360" s="175">
        <f t="shared" si="102"/>
        <v>29707.649843631283</v>
      </c>
      <c r="I360" s="175">
        <f t="shared" si="102"/>
        <v>31245.92855911078</v>
      </c>
      <c r="J360" s="175">
        <f t="shared" si="102"/>
        <v>32863.860206375597</v>
      </c>
      <c r="K360" s="175">
        <f t="shared" si="102"/>
        <v>34565.569258759591</v>
      </c>
      <c r="L360" s="175">
        <f t="shared" si="102"/>
        <v>36355.393757131373</v>
      </c>
      <c r="M360" s="175">
        <f t="shared" si="102"/>
        <v>38237.896368540751</v>
      </c>
      <c r="N360" s="175">
        <f t="shared" si="102"/>
        <v>40217.876017487855</v>
      </c>
      <c r="O360" s="175">
        <f t="shared" si="102"/>
        <v>42300.380119466085</v>
      </c>
      <c r="P360" s="175">
        <f t="shared" si="102"/>
        <v>44490.717447964525</v>
      </c>
      <c r="Q360" s="175">
        <f t="shared" si="102"/>
        <v>46794.471667731195</v>
      </c>
      <c r="R360" s="175">
        <f t="shared" si="102"/>
        <v>49217.51556879597</v>
      </c>
      <c r="S360" s="175">
        <f t="shared" si="102"/>
        <v>51766.026037539443</v>
      </c>
      <c r="T360" s="175">
        <f t="shared" si="102"/>
        <v>54446.499802971797</v>
      </c>
      <c r="U360" s="175">
        <f t="shared" si="102"/>
        <v>57265.769998363074</v>
      </c>
      <c r="V360" s="175">
        <f t="shared" si="102"/>
        <v>60231.023580443754</v>
      </c>
      <c r="W360" s="182">
        <v>0.30917323394617646</v>
      </c>
      <c r="X360" s="183">
        <f>W360*$B$19/$X$259</f>
        <v>0.71704923859343039</v>
      </c>
      <c r="Y360" s="180">
        <f>X360*1000000-V360</f>
        <v>656818.21501298668</v>
      </c>
    </row>
    <row r="361" spans="1:25" s="879" customFormat="1">
      <c r="A361" s="63" t="s">
        <v>17</v>
      </c>
      <c r="B361" s="175">
        <f>$C249*B$256</f>
        <v>206375.6594227826</v>
      </c>
      <c r="C361" s="175">
        <f>$C249*C$256*(1.02383)^C348</f>
        <v>217061.90643168794</v>
      </c>
      <c r="D361" s="175">
        <f t="shared" ref="D361:V361" si="103">$C249*D$256*(1.02383)^D348</f>
        <v>228301.49328432645</v>
      </c>
      <c r="E361" s="175">
        <f t="shared" si="103"/>
        <v>240123.07222712366</v>
      </c>
      <c r="F361" s="175">
        <f t="shared" si="103"/>
        <v>252556.77913584153</v>
      </c>
      <c r="G361" s="175">
        <f t="shared" si="103"/>
        <v>265634.310338735</v>
      </c>
      <c r="H361" s="175">
        <f t="shared" si="103"/>
        <v>279389.00341765414</v>
      </c>
      <c r="I361" s="175">
        <f t="shared" si="103"/>
        <v>293855.9221930732</v>
      </c>
      <c r="J361" s="175">
        <f t="shared" si="103"/>
        <v>309071.94610969105</v>
      </c>
      <c r="K361" s="175">
        <f t="shared" si="103"/>
        <v>325075.86425046879</v>
      </c>
      <c r="L361" s="175">
        <f t="shared" si="103"/>
        <v>341908.47421876615</v>
      </c>
      <c r="M361" s="175">
        <f t="shared" si="103"/>
        <v>359612.686140651</v>
      </c>
      <c r="N361" s="175">
        <f t="shared" si="103"/>
        <v>378233.63205250545</v>
      </c>
      <c r="O361" s="175">
        <f t="shared" si="103"/>
        <v>397818.78095278464</v>
      </c>
      <c r="P361" s="175">
        <f t="shared" si="103"/>
        <v>418418.05981121835</v>
      </c>
      <c r="Q361" s="175">
        <f t="shared" si="103"/>
        <v>440083.98084393877</v>
      </c>
      <c r="R361" s="175">
        <f t="shared" si="103"/>
        <v>462871.77537898323</v>
      </c>
      <c r="S361" s="175">
        <f t="shared" si="103"/>
        <v>486839.53465342947</v>
      </c>
      <c r="T361" s="175">
        <f t="shared" si="103"/>
        <v>512048.35790108395</v>
      </c>
      <c r="U361" s="175">
        <f t="shared" si="103"/>
        <v>538562.50810823427</v>
      </c>
      <c r="V361" s="175">
        <f t="shared" si="103"/>
        <v>566449.57583452074</v>
      </c>
      <c r="W361" s="182">
        <v>5.4214695445088772</v>
      </c>
      <c r="X361" s="183">
        <f>W361*$B$19/$X$259</f>
        <v>12.573729489223265</v>
      </c>
      <c r="Y361" s="180">
        <f>X361*1000000-V361</f>
        <v>12007279.913388744</v>
      </c>
    </row>
    <row r="362" spans="1:25" s="879" customFormat="1">
      <c r="A362" s="63" t="s">
        <v>178</v>
      </c>
      <c r="B362" s="175">
        <f>$C250*B$256</f>
        <v>499413.11477807851</v>
      </c>
      <c r="C362" s="175">
        <f>$C250*C$256*(1.02383)^C348</f>
        <v>525273.00503321865</v>
      </c>
      <c r="D362" s="175">
        <f t="shared" ref="D362:V362" si="104">$C250*D$256*(1.02383)^D348</f>
        <v>552471.93486144859</v>
      </c>
      <c r="E362" s="175">
        <f t="shared" si="104"/>
        <v>581079.24048038607</v>
      </c>
      <c r="F362" s="175">
        <f t="shared" si="104"/>
        <v>611167.84837575594</v>
      </c>
      <c r="G362" s="175">
        <f t="shared" si="104"/>
        <v>642814.46120747994</v>
      </c>
      <c r="H362" s="175">
        <f t="shared" si="104"/>
        <v>676099.75334208715</v>
      </c>
      <c r="I362" s="175">
        <f t="shared" si="104"/>
        <v>711108.5765099026</v>
      </c>
      <c r="J362" s="175">
        <f t="shared" si="104"/>
        <v>747930.17611127964</v>
      </c>
      <c r="K362" s="175">
        <f t="shared" si="104"/>
        <v>786658.4187232902</v>
      </c>
      <c r="L362" s="175">
        <f t="shared" si="104"/>
        <v>827392.03138683818</v>
      </c>
      <c r="M362" s="175">
        <f t="shared" si="104"/>
        <v>870234.85328419437</v>
      </c>
      <c r="N362" s="175">
        <f t="shared" si="104"/>
        <v>915296.10044853284</v>
      </c>
      <c r="O362" s="175">
        <f t="shared" si="104"/>
        <v>962690.64418027829</v>
      </c>
      <c r="P362" s="175">
        <f t="shared" si="104"/>
        <v>1012539.303880003</v>
      </c>
      <c r="Q362" s="175">
        <f t="shared" si="104"/>
        <v>1064969.1550443808</v>
      </c>
      <c r="R362" s="175">
        <f t="shared" si="104"/>
        <v>1120113.8532103365</v>
      </c>
      <c r="S362" s="175">
        <f t="shared" si="104"/>
        <v>1178113.9746732118</v>
      </c>
      <c r="T362" s="175">
        <f t="shared" si="104"/>
        <v>1239117.3748475027</v>
      </c>
      <c r="U362" s="175">
        <f t="shared" si="104"/>
        <v>1303279.5651837192</v>
      </c>
      <c r="V362" s="175">
        <f t="shared" si="104"/>
        <v>1370764.1096022094</v>
      </c>
      <c r="W362" s="182">
        <v>0.38759581440448809</v>
      </c>
      <c r="X362" s="183">
        <f>W362*$B$19/$X$259</f>
        <v>0.89893060939784453</v>
      </c>
      <c r="Y362" s="180">
        <f>X362*1000000-V362</f>
        <v>-471833.50020436489</v>
      </c>
    </row>
    <row r="363" spans="1:25" s="879" customFormat="1">
      <c r="A363" s="63"/>
      <c r="B363" s="175"/>
      <c r="C363" s="175"/>
      <c r="D363" s="175"/>
      <c r="E363" s="175"/>
      <c r="F363" s="175"/>
      <c r="G363" s="175"/>
      <c r="H363" s="175"/>
      <c r="I363" s="175"/>
      <c r="J363" s="175"/>
      <c r="K363" s="175"/>
      <c r="L363" s="175"/>
      <c r="M363" s="175"/>
      <c r="N363" s="175"/>
      <c r="O363" s="175"/>
      <c r="P363" s="175"/>
      <c r="Q363" s="175"/>
      <c r="R363" s="175"/>
      <c r="S363" s="175"/>
      <c r="T363" s="175"/>
      <c r="U363" s="175"/>
      <c r="V363" s="175"/>
    </row>
    <row r="364" spans="1:25" s="879" customFormat="1" ht="15" thickBot="1">
      <c r="A364" s="176" t="s">
        <v>382</v>
      </c>
      <c r="B364" s="177">
        <v>0</v>
      </c>
      <c r="C364" s="178">
        <v>0</v>
      </c>
      <c r="D364" s="178">
        <v>0.05</v>
      </c>
      <c r="E364" s="178">
        <v>0.25</v>
      </c>
      <c r="F364" s="178">
        <v>0.6</v>
      </c>
      <c r="G364" s="178">
        <v>0.95</v>
      </c>
      <c r="H364" s="178">
        <v>1</v>
      </c>
      <c r="I364" s="172">
        <f t="shared" ref="I364:V364" si="105">H364</f>
        <v>1</v>
      </c>
      <c r="J364" s="172">
        <f t="shared" si="105"/>
        <v>1</v>
      </c>
      <c r="K364" s="172">
        <f t="shared" si="105"/>
        <v>1</v>
      </c>
      <c r="L364" s="172">
        <f t="shared" si="105"/>
        <v>1</v>
      </c>
      <c r="M364" s="172">
        <f t="shared" si="105"/>
        <v>1</v>
      </c>
      <c r="N364" s="172">
        <f t="shared" si="105"/>
        <v>1</v>
      </c>
      <c r="O364" s="172">
        <f t="shared" si="105"/>
        <v>1</v>
      </c>
      <c r="P364" s="172">
        <f t="shared" si="105"/>
        <v>1</v>
      </c>
      <c r="Q364" s="172">
        <f t="shared" si="105"/>
        <v>1</v>
      </c>
      <c r="R364" s="172">
        <f t="shared" si="105"/>
        <v>1</v>
      </c>
      <c r="S364" s="172">
        <f t="shared" si="105"/>
        <v>1</v>
      </c>
      <c r="T364" s="172">
        <f t="shared" si="105"/>
        <v>1</v>
      </c>
      <c r="U364" s="172">
        <f t="shared" si="105"/>
        <v>1</v>
      </c>
      <c r="V364" s="172">
        <f t="shared" si="105"/>
        <v>1</v>
      </c>
    </row>
    <row r="365" spans="1:25" s="879" customFormat="1">
      <c r="B365" s="175"/>
      <c r="C365" s="175"/>
      <c r="D365" s="175"/>
      <c r="E365" s="175"/>
      <c r="F365" s="175"/>
      <c r="G365" s="175"/>
      <c r="H365" s="175"/>
      <c r="I365" s="175"/>
      <c r="J365" s="175"/>
      <c r="K365" s="175"/>
      <c r="L365" s="175"/>
      <c r="M365" s="175"/>
      <c r="N365" s="175"/>
      <c r="O365" s="175"/>
      <c r="P365" s="175"/>
      <c r="Q365" s="175"/>
      <c r="R365" s="175"/>
      <c r="S365" s="175"/>
      <c r="T365" s="175"/>
      <c r="U365" s="175"/>
      <c r="V365" s="175"/>
    </row>
    <row r="366" spans="1:25" s="879" customFormat="1">
      <c r="A366" s="63" t="s">
        <v>379</v>
      </c>
      <c r="B366" s="175">
        <f>SUM(B350:B352,B355:B357,B360:B362)*B364</f>
        <v>0</v>
      </c>
      <c r="C366" s="175">
        <f t="shared" ref="C366:V366" si="106">SUM(C350:C352,C355:C357,C360:C362)*C364</f>
        <v>0</v>
      </c>
      <c r="D366" s="175">
        <f t="shared" si="106"/>
        <v>59113.571465810528</v>
      </c>
      <c r="E366" s="175">
        <f t="shared" si="106"/>
        <v>308563.87162814476</v>
      </c>
      <c r="F366" s="175">
        <f t="shared" si="106"/>
        <v>773207.52130198909</v>
      </c>
      <c r="G366" s="175">
        <f t="shared" si="106"/>
        <v>1278378.9196636938</v>
      </c>
      <c r="H366" s="175">
        <f t="shared" si="106"/>
        <v>1405329.3835156499</v>
      </c>
      <c r="I366" s="175">
        <f t="shared" si="106"/>
        <v>1467813.0344440693</v>
      </c>
      <c r="J366" s="175">
        <f t="shared" si="106"/>
        <v>1533251.3407853972</v>
      </c>
      <c r="K366" s="175">
        <f t="shared" si="106"/>
        <v>1601789.6308737444</v>
      </c>
      <c r="L366" s="175">
        <f t="shared" si="106"/>
        <v>1673580.5489608669</v>
      </c>
      <c r="M366" s="175">
        <f t="shared" si="106"/>
        <v>1748784.4283255462</v>
      </c>
      <c r="N366" s="175">
        <f t="shared" si="106"/>
        <v>1827569.6835468141</v>
      </c>
      <c r="O366" s="175">
        <f t="shared" si="106"/>
        <v>1910113.2229290896</v>
      </c>
      <c r="P366" s="175">
        <f t="shared" si="106"/>
        <v>1996600.8821183166</v>
      </c>
      <c r="Q366" s="175">
        <f t="shared" si="106"/>
        <v>2087227.8800019119</v>
      </c>
      <c r="R366" s="175">
        <f t="shared" si="106"/>
        <v>2182199.2980417488</v>
      </c>
      <c r="S366" s="175">
        <f t="shared" si="106"/>
        <v>2281730.5842488371</v>
      </c>
      <c r="T366" s="175">
        <f t="shared" si="106"/>
        <v>2386048.0830707662</v>
      </c>
      <c r="U366" s="175">
        <f t="shared" si="106"/>
        <v>2495389.5925286985</v>
      </c>
      <c r="V366" s="175">
        <f t="shared" si="106"/>
        <v>2610004.9500097642</v>
      </c>
    </row>
    <row r="367" spans="1:25" s="879" customFormat="1">
      <c r="A367" s="63" t="s">
        <v>380</v>
      </c>
      <c r="B367" s="174">
        <f>NPV(0.1,C366:V366)</f>
        <v>10114334.700973989</v>
      </c>
    </row>
    <row r="369" spans="1:22">
      <c r="B369" s="181">
        <f>B366+B343</f>
        <v>0</v>
      </c>
      <c r="C369" s="181">
        <f t="shared" ref="C369:V369" si="107">C366+C343</f>
        <v>0</v>
      </c>
      <c r="D369" s="181">
        <f t="shared" si="107"/>
        <v>106515.26000154761</v>
      </c>
      <c r="E369" s="181">
        <f t="shared" si="107"/>
        <v>555470.72506349394</v>
      </c>
      <c r="F369" s="181">
        <f t="shared" si="107"/>
        <v>1390614.7182262137</v>
      </c>
      <c r="G369" s="181">
        <f t="shared" si="107"/>
        <v>2297038.4335935623</v>
      </c>
      <c r="H369" s="181">
        <f t="shared" si="107"/>
        <v>2522830.2309863828</v>
      </c>
      <c r="I369" s="181">
        <f t="shared" si="107"/>
        <v>2632602.41135544</v>
      </c>
      <c r="J369" s="181">
        <f t="shared" si="107"/>
        <v>2747489.140933034</v>
      </c>
      <c r="K369" s="181">
        <f t="shared" si="107"/>
        <v>2867739.7061588736</v>
      </c>
      <c r="L369" s="181">
        <f t="shared" si="107"/>
        <v>2993615.8772095414</v>
      </c>
      <c r="M369" s="181">
        <f t="shared" si="107"/>
        <v>3125392.5428257734</v>
      </c>
      <c r="N369" s="181">
        <f t="shared" si="107"/>
        <v>3263358.3776950906</v>
      </c>
      <c r="O369" s="181">
        <f t="shared" si="107"/>
        <v>3407816.5440669153</v>
      </c>
      <c r="P369" s="181">
        <f t="shared" si="107"/>
        <v>3559085.4293638445</v>
      </c>
      <c r="Q369" s="181">
        <f t="shared" si="107"/>
        <v>3717499.4216439035</v>
      </c>
      <c r="R369" s="181">
        <f t="shared" si="107"/>
        <v>3883409.724864319</v>
      </c>
      <c r="S369" s="181">
        <f t="shared" si="107"/>
        <v>4057185.2159981821</v>
      </c>
      <c r="T369" s="181">
        <f t="shared" si="107"/>
        <v>4239213.34616125</v>
      </c>
      <c r="U369" s="181">
        <f t="shared" si="107"/>
        <v>4429901.0880176285</v>
      </c>
      <c r="V369" s="181">
        <f t="shared" si="107"/>
        <v>4629675.9318502406</v>
      </c>
    </row>
    <row r="370" spans="1:22">
      <c r="B370" s="181">
        <f>B369-B276</f>
        <v>0</v>
      </c>
      <c r="C370" s="181">
        <f t="shared" ref="C370:V370" si="108">C369-C276</f>
        <v>0</v>
      </c>
      <c r="D370" s="181">
        <f t="shared" si="108"/>
        <v>0</v>
      </c>
      <c r="E370" s="181">
        <f t="shared" si="108"/>
        <v>0</v>
      </c>
      <c r="F370" s="181">
        <f t="shared" si="108"/>
        <v>0</v>
      </c>
      <c r="G370" s="181">
        <f t="shared" si="108"/>
        <v>0</v>
      </c>
      <c r="H370" s="181">
        <f t="shared" si="108"/>
        <v>0</v>
      </c>
      <c r="I370" s="181">
        <f t="shared" si="108"/>
        <v>0</v>
      </c>
      <c r="J370" s="181">
        <f t="shared" si="108"/>
        <v>0</v>
      </c>
      <c r="K370" s="181">
        <f t="shared" si="108"/>
        <v>0</v>
      </c>
      <c r="L370" s="181">
        <f t="shared" si="108"/>
        <v>0</v>
      </c>
      <c r="M370" s="181">
        <f t="shared" si="108"/>
        <v>0</v>
      </c>
      <c r="N370" s="181">
        <f t="shared" si="108"/>
        <v>0</v>
      </c>
      <c r="O370" s="181">
        <f t="shared" si="108"/>
        <v>0</v>
      </c>
      <c r="P370" s="181">
        <f t="shared" si="108"/>
        <v>0</v>
      </c>
      <c r="Q370" s="181">
        <f t="shared" si="108"/>
        <v>0</v>
      </c>
      <c r="R370" s="181">
        <f t="shared" si="108"/>
        <v>0</v>
      </c>
      <c r="S370" s="181">
        <f t="shared" si="108"/>
        <v>0</v>
      </c>
      <c r="T370" s="181">
        <f t="shared" si="108"/>
        <v>0</v>
      </c>
      <c r="U370" s="181">
        <f t="shared" si="108"/>
        <v>0</v>
      </c>
      <c r="V370" s="181">
        <f t="shared" si="108"/>
        <v>0</v>
      </c>
    </row>
    <row r="372" spans="1:22">
      <c r="A372" t="s">
        <v>1484</v>
      </c>
      <c r="B372" s="181">
        <f>(B350+B355+B360+B327+B332+B337)*B364</f>
        <v>0</v>
      </c>
      <c r="C372" s="181">
        <f t="shared" ref="C372:V372" si="109">(C350+C355+C360+C327+C332+C337)*C364</f>
        <v>0</v>
      </c>
      <c r="D372" s="181">
        <f t="shared" si="109"/>
        <v>40848.776006811117</v>
      </c>
      <c r="E372" s="181">
        <f t="shared" si="109"/>
        <v>212850.8922366529</v>
      </c>
      <c r="F372" s="181">
        <f t="shared" si="109"/>
        <v>532439.59376470547</v>
      </c>
      <c r="G372" s="181">
        <f t="shared" si="109"/>
        <v>878786.18484792078</v>
      </c>
      <c r="H372" s="181">
        <f t="shared" si="109"/>
        <v>964398.914469979</v>
      </c>
      <c r="I372" s="181">
        <f t="shared" si="109"/>
        <v>1005564.773272871</v>
      </c>
      <c r="J372" s="181">
        <f t="shared" si="109"/>
        <v>1048622.767965107</v>
      </c>
      <c r="K372" s="181">
        <f t="shared" si="109"/>
        <v>1093664.3372712918</v>
      </c>
      <c r="L372" s="181">
        <f t="shared" si="109"/>
        <v>1140785.4762006702</v>
      </c>
      <c r="M372" s="181">
        <f t="shared" si="109"/>
        <v>1190086.9671020368</v>
      </c>
      <c r="N372" s="181">
        <f t="shared" si="109"/>
        <v>1241674.6225497876</v>
      </c>
      <c r="O372" s="181">
        <f t="shared" si="109"/>
        <v>1295659.5406701122</v>
      </c>
      <c r="P372" s="181">
        <f t="shared" si="109"/>
        <v>1352158.3735477487</v>
      </c>
      <c r="Q372" s="181">
        <f t="shared" si="109"/>
        <v>1411293.6093867908</v>
      </c>
      <c r="R372" s="181">
        <f t="shared" si="109"/>
        <v>1473193.8691338007</v>
      </c>
      <c r="S372" s="181">
        <f t="shared" si="109"/>
        <v>1537994.2183080537</v>
      </c>
      <c r="T372" s="181">
        <f t="shared" si="109"/>
        <v>1605836.4948221878</v>
      </c>
      <c r="U372" s="181">
        <f t="shared" si="109"/>
        <v>1676869.653616989</v>
      </c>
      <c r="V372" s="181">
        <f t="shared" si="109"/>
        <v>1751250.1289765679</v>
      </c>
    </row>
    <row r="373" spans="1:22">
      <c r="A373" t="s">
        <v>1485</v>
      </c>
      <c r="B373" s="181">
        <f t="shared" ref="B373:U373" si="110">(B361+B338)*B364</f>
        <v>0</v>
      </c>
      <c r="C373" s="181">
        <f t="shared" si="110"/>
        <v>0</v>
      </c>
      <c r="D373" s="181">
        <f t="shared" si="110"/>
        <v>15871.633801924554</v>
      </c>
      <c r="E373" s="181">
        <f t="shared" si="110"/>
        <v>83467.379362157531</v>
      </c>
      <c r="F373" s="181">
        <f t="shared" si="110"/>
        <v>210694.48061710829</v>
      </c>
      <c r="G373" s="181">
        <f t="shared" si="110"/>
        <v>350873.56778598839</v>
      </c>
      <c r="H373" s="181">
        <f t="shared" si="110"/>
        <v>388465.26027818024</v>
      </c>
      <c r="I373" s="181">
        <f t="shared" si="110"/>
        <v>408580.20860746491</v>
      </c>
      <c r="J373" s="181">
        <f t="shared" si="110"/>
        <v>429736.72020549607</v>
      </c>
      <c r="K373" s="181">
        <f t="shared" si="110"/>
        <v>451988.72780056333</v>
      </c>
      <c r="L373" s="181">
        <f t="shared" si="110"/>
        <v>475392.95678777527</v>
      </c>
      <c r="M373" s="181">
        <f t="shared" si="110"/>
        <v>500009.06983490923</v>
      </c>
      <c r="N373" s="181">
        <f t="shared" si="110"/>
        <v>525899.81897603092</v>
      </c>
      <c r="O373" s="181">
        <f t="shared" si="110"/>
        <v>553131.20558060869</v>
      </c>
      <c r="P373" s="181">
        <f t="shared" si="110"/>
        <v>581772.64860591653</v>
      </c>
      <c r="Q373" s="181">
        <f t="shared" si="110"/>
        <v>611897.16156164161</v>
      </c>
      <c r="R373" s="181">
        <f t="shared" si="110"/>
        <v>643581.53863781679</v>
      </c>
      <c r="S373" s="181">
        <f t="shared" si="110"/>
        <v>676906.55047056312</v>
      </c>
      <c r="T373" s="181">
        <f t="shared" si="110"/>
        <v>711957.15004469058</v>
      </c>
      <c r="U373" s="181">
        <f t="shared" si="110"/>
        <v>748822.68925805169</v>
      </c>
      <c r="V373" s="181">
        <f>(V361+V338)*V364</f>
        <v>787597.14669971704</v>
      </c>
    </row>
    <row r="374" spans="1:22" s="879" customFormat="1">
      <c r="A374" s="879" t="s">
        <v>1488</v>
      </c>
      <c r="B374" s="181">
        <f>(B329+B334+B352+B357)*B341</f>
        <v>0</v>
      </c>
      <c r="C374" s="181">
        <f t="shared" ref="C374:V374" si="111">(C329+C334+C352+C357)*C341</f>
        <v>0</v>
      </c>
      <c r="D374" s="181">
        <f t="shared" si="111"/>
        <v>13055.825366098868</v>
      </c>
      <c r="E374" s="181">
        <f t="shared" si="111"/>
        <v>67061.24699296683</v>
      </c>
      <c r="F374" s="181">
        <f t="shared" si="111"/>
        <v>165340.84568609961</v>
      </c>
      <c r="G374" s="181">
        <f t="shared" si="111"/>
        <v>268936.53039110609</v>
      </c>
      <c r="H374" s="181">
        <f t="shared" si="111"/>
        <v>290819.47123240348</v>
      </c>
      <c r="I374" s="181">
        <f t="shared" si="111"/>
        <v>298758.84279704816</v>
      </c>
      <c r="J374" s="181">
        <f t="shared" si="111"/>
        <v>306914.95920540759</v>
      </c>
      <c r="K374" s="181">
        <f t="shared" si="111"/>
        <v>315293.73759171518</v>
      </c>
      <c r="L374" s="181">
        <f t="shared" si="111"/>
        <v>323901.25662796904</v>
      </c>
      <c r="M374" s="181">
        <f t="shared" si="111"/>
        <v>332743.76093391271</v>
      </c>
      <c r="N374" s="181">
        <f t="shared" si="111"/>
        <v>341827.6656074085</v>
      </c>
      <c r="O374" s="181">
        <f t="shared" si="111"/>
        <v>351159.56087849085</v>
      </c>
      <c r="P374" s="181">
        <f t="shared" si="111"/>
        <v>360746.21689047362</v>
      </c>
      <c r="Q374" s="181">
        <f t="shared" si="111"/>
        <v>370594.58861158363</v>
      </c>
      <c r="R374" s="181">
        <f t="shared" si="111"/>
        <v>380711.82088067994</v>
      </c>
      <c r="S374" s="181">
        <f t="shared" si="111"/>
        <v>391105.25359072257</v>
      </c>
      <c r="T374" s="181">
        <f t="shared" si="111"/>
        <v>401782.42701374926</v>
      </c>
      <c r="U374" s="181">
        <f t="shared" si="111"/>
        <v>412751.08727122471</v>
      </c>
      <c r="V374" s="181">
        <f t="shared" si="111"/>
        <v>424019.19195372926</v>
      </c>
    </row>
    <row r="375" spans="1:22">
      <c r="A375" t="s">
        <v>1486</v>
      </c>
      <c r="B375" s="181">
        <f>B343+B366-B372-B373-B374</f>
        <v>0</v>
      </c>
      <c r="C375" s="181">
        <f t="shared" ref="C375:V375" si="112">C343+C366-C372-C373-C374</f>
        <v>0</v>
      </c>
      <c r="D375" s="181">
        <f t="shared" si="112"/>
        <v>36739.024826713059</v>
      </c>
      <c r="E375" s="181">
        <f t="shared" si="112"/>
        <v>192091.20647171666</v>
      </c>
      <c r="F375" s="181">
        <f t="shared" si="112"/>
        <v>482139.79815830034</v>
      </c>
      <c r="G375" s="181">
        <f t="shared" si="112"/>
        <v>798442.15056854719</v>
      </c>
      <c r="H375" s="181">
        <f t="shared" si="112"/>
        <v>879146.58500582003</v>
      </c>
      <c r="I375" s="181">
        <f t="shared" si="112"/>
        <v>919698.58667805581</v>
      </c>
      <c r="J375" s="181">
        <f t="shared" si="112"/>
        <v>962214.6935570233</v>
      </c>
      <c r="K375" s="181">
        <f t="shared" si="112"/>
        <v>1006792.9034953032</v>
      </c>
      <c r="L375" s="181">
        <f t="shared" si="112"/>
        <v>1053536.1875931269</v>
      </c>
      <c r="M375" s="181">
        <f t="shared" si="112"/>
        <v>1102552.7449549148</v>
      </c>
      <c r="N375" s="181">
        <f t="shared" si="112"/>
        <v>1153956.2705618637</v>
      </c>
      <c r="O375" s="181">
        <f t="shared" si="112"/>
        <v>1207866.2369377036</v>
      </c>
      <c r="P375" s="181">
        <f t="shared" si="112"/>
        <v>1264408.1903197055</v>
      </c>
      <c r="Q375" s="181">
        <f t="shared" si="112"/>
        <v>1323714.0620838876</v>
      </c>
      <c r="R375" s="181">
        <f t="shared" si="112"/>
        <v>1385922.4962120214</v>
      </c>
      <c r="S375" s="181">
        <f t="shared" si="112"/>
        <v>1451179.1936288425</v>
      </c>
      <c r="T375" s="181">
        <f t="shared" si="112"/>
        <v>1519637.2742806224</v>
      </c>
      <c r="U375" s="181">
        <f t="shared" si="112"/>
        <v>1591457.6578713632</v>
      </c>
      <c r="V375" s="181">
        <f t="shared" si="112"/>
        <v>1666809.4642202267</v>
      </c>
    </row>
    <row r="377" spans="1:22">
      <c r="A377" t="s">
        <v>1487</v>
      </c>
    </row>
    <row r="378" spans="1:22">
      <c r="A378" s="879" t="s">
        <v>1484</v>
      </c>
      <c r="B378" s="445">
        <f>NPV(0.1,B372:V372)</f>
        <v>6260374.9040923072</v>
      </c>
      <c r="C378" s="174">
        <f>B378+Benefits!C63*1000000</f>
        <v>22347405.799281672</v>
      </c>
    </row>
    <row r="379" spans="1:22">
      <c r="A379" s="879" t="s">
        <v>1485</v>
      </c>
      <c r="B379" s="445">
        <f>NPV(0.1,B373:V373)</f>
        <v>2623872.7712656325</v>
      </c>
    </row>
    <row r="380" spans="1:22" s="879" customFormat="1">
      <c r="A380" s="879" t="s">
        <v>1488</v>
      </c>
      <c r="B380" s="445">
        <f>NPV(0.1,B374:V374)</f>
        <v>1758472.2588545051</v>
      </c>
    </row>
    <row r="381" spans="1:22">
      <c r="A381" s="879" t="s">
        <v>1486</v>
      </c>
      <c r="B381" s="174">
        <f>NPV(0.1,B375:V375)</f>
        <v>5794433.4713926865</v>
      </c>
    </row>
  </sheetData>
  <mergeCells count="28">
    <mergeCell ref="J71:L71"/>
    <mergeCell ref="N71:P71"/>
    <mergeCell ref="H112:H113"/>
    <mergeCell ref="I112:I113"/>
    <mergeCell ref="I35:I37"/>
    <mergeCell ref="J35:J37"/>
    <mergeCell ref="E35:E37"/>
    <mergeCell ref="F35:F37"/>
    <mergeCell ref="G35:G37"/>
    <mergeCell ref="H35:H37"/>
    <mergeCell ref="K17:N17"/>
    <mergeCell ref="I34:J34"/>
    <mergeCell ref="M122:M124"/>
    <mergeCell ref="N122:N124"/>
    <mergeCell ref="A7:P7"/>
    <mergeCell ref="A3:P3"/>
    <mergeCell ref="A6:P6"/>
    <mergeCell ref="A8:P8"/>
    <mergeCell ref="A4:P4"/>
    <mergeCell ref="A5:P5"/>
    <mergeCell ref="B39:D39"/>
    <mergeCell ref="B40:D40"/>
    <mergeCell ref="A52:C52"/>
    <mergeCell ref="A9:P9"/>
    <mergeCell ref="A34:A38"/>
    <mergeCell ref="B34:F34"/>
    <mergeCell ref="G34:H34"/>
    <mergeCell ref="B35:D37"/>
  </mergeCells>
  <hyperlinks>
    <hyperlink ref="C14" r:id="rId1" xr:uid="{00000000-0004-0000-08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5E1C2781CC2A4F8D2BC4AB2385FE8E" ma:contentTypeVersion="8" ma:contentTypeDescription="Create a new document." ma:contentTypeScope="" ma:versionID="e24d0d527a66bf59b4b9127fdf155af4">
  <xsd:schema xmlns:xsd="http://www.w3.org/2001/XMLSchema" xmlns:xs="http://www.w3.org/2001/XMLSchema" xmlns:p="http://schemas.microsoft.com/office/2006/metadata/properties" xmlns:ns3="b4d0c57f-8252-4a51-ae02-644348da95a4" targetNamespace="http://schemas.microsoft.com/office/2006/metadata/properties" ma:root="true" ma:fieldsID="a5c021e6ea4024031aecbec353365bcf" ns3:_="">
    <xsd:import namespace="b4d0c57f-8252-4a51-ae02-644348da95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d0c57f-8252-4a51-ae02-644348da95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4A72C1-B885-48A9-8781-C195BEEDA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d0c57f-8252-4a51-ae02-644348da9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30EC68-8955-42ED-9104-F6E25F2B95C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4d0c57f-8252-4a51-ae02-644348da95a4"/>
    <ds:schemaRef ds:uri="http://www.w3.org/XML/1998/namespace"/>
    <ds:schemaRef ds:uri="http://purl.org/dc/dcmitype/"/>
  </ds:schemaRefs>
</ds:datastoreItem>
</file>

<file path=customXml/itemProps3.xml><?xml version="1.0" encoding="utf-8"?>
<ds:datastoreItem xmlns:ds="http://schemas.openxmlformats.org/officeDocument/2006/customXml" ds:itemID="{F6FD308C-0469-40CB-9274-C73986834C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21</vt:i4>
      </vt:variant>
      <vt:variant>
        <vt:lpstr>Charts</vt:lpstr>
      </vt:variant>
      <vt:variant>
        <vt:i4>1</vt:i4>
      </vt:variant>
      <vt:variant>
        <vt:lpstr>Named Ranges</vt:lpstr>
      </vt:variant>
      <vt:variant>
        <vt:i4>2</vt:i4>
      </vt:variant>
    </vt:vector>
  </HeadingPairs>
  <TitlesOfParts>
    <vt:vector size="24" baseType="lpstr">
      <vt:lpstr>Cover Page</vt:lpstr>
      <vt:lpstr>Project Description</vt:lpstr>
      <vt:lpstr>ERR &amp; Sensitivity Analysis</vt:lpstr>
      <vt:lpstr>Cost-Benefit Summary</vt:lpstr>
      <vt:lpstr>Depreciation of benefits</vt:lpstr>
      <vt:lpstr>ERR</vt:lpstr>
      <vt:lpstr>Costs</vt:lpstr>
      <vt:lpstr>Benefits</vt:lpstr>
      <vt:lpstr>Health</vt:lpstr>
      <vt:lpstr>Health-Stunting</vt:lpstr>
      <vt:lpstr>Drainage</vt:lpstr>
      <vt:lpstr>Time Savings</vt:lpstr>
      <vt:lpstr>NRW</vt:lpstr>
      <vt:lpstr>Travel Time Analysis</vt:lpstr>
      <vt:lpstr>Sources</vt:lpstr>
      <vt:lpstr>Assumptions</vt:lpstr>
      <vt:lpstr>BA Inputs</vt:lpstr>
      <vt:lpstr>Barchart Data</vt:lpstr>
      <vt:lpstr>Poverty Scorecard</vt:lpstr>
      <vt:lpstr>Core Water Network Benefits</vt:lpstr>
      <vt:lpstr>Institutional Strengthening</vt:lpstr>
      <vt:lpstr>Barchart</vt:lpstr>
      <vt:lpstr>'BA Inputs'!_Ref264385662</vt:lpstr>
      <vt:lpstr>NRW!Print_Area</vt:lpstr>
    </vt:vector>
  </TitlesOfParts>
  <Company>MCC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Stefan R (DPE/EE-EA)</dc:creator>
  <cp:lastModifiedBy>Fiore, Peter N (DPE/EE-EA/PSC)</cp:lastModifiedBy>
  <dcterms:created xsi:type="dcterms:W3CDTF">2012-12-14T15:46:45Z</dcterms:created>
  <dcterms:modified xsi:type="dcterms:W3CDTF">2020-05-15T13:19:15Z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0x010100385E1C2781CC2A4F8D2BC4AB2385FE8E</vt:lpwstr>
  </property>
</Properties>
</file>