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6395" windowHeight="5250" tabRatio="803" firstSheet="3" activeTab="3"/>
  </bookViews>
  <sheets>
    <sheet name="Cover Page" sheetId="21" r:id="rId1"/>
    <sheet name="Activity Description" sheetId="22" r:id="rId2"/>
    <sheet name="CB_DATA_" sheetId="27" state="veryHidden" r:id="rId3"/>
    <sheet name="ERR &amp; Sensitivity Analysis" sheetId="23" r:id="rId4"/>
    <sheet name="Assumptions" sheetId="10" r:id="rId5"/>
    <sheet name="ERR Calculations" sheetId="18" r:id="rId6"/>
    <sheet name="LRMC" sheetId="2" r:id="rId7"/>
    <sheet name="WTP" sheetId="20" r:id="rId8"/>
    <sheet name="Sensitivity" sheetId="28" r:id="rId9"/>
    <sheet name="Poverty Scorecard" sheetId="24" r:id="rId10"/>
    <sheet name="Beneficiaries" sheetId="25" r:id="rId11"/>
  </sheets>
  <externalReferences>
    <externalReference r:id="rId12"/>
    <externalReference r:id="rId13"/>
    <externalReference r:id="rId14"/>
    <externalReference r:id="rId15"/>
  </externalReferences>
  <definedNames>
    <definedName name="_LF0913">Assumptions!#REF!</definedName>
    <definedName name="_LF1423">Assumptions!#REF!</definedName>
    <definedName name="_LF2433">Assumptions!#REF!</definedName>
    <definedName name="_LF2434">Assumptions!#REF!</definedName>
    <definedName name="cable_loss">Assumptions!$C$29</definedName>
    <definedName name="cablife">Assumptions!#REF!</definedName>
    <definedName name="CB_2c9240d62ac445c087f0a1060a691b9f" localSheetId="3" hidden="1">'ERR &amp; Sensitivity Analysis'!$D$14</definedName>
    <definedName name="CB_3f7bf11a6c564f7f9a5a0022b6cca87d" localSheetId="5" hidden="1">'ERR Calculations'!$F$7</definedName>
    <definedName name="CB_72117c9f75594463bbd66e200998ada1" localSheetId="3" hidden="1">'ERR &amp; Sensitivity Analysis'!$D$13</definedName>
    <definedName name="CB_Block_00000000000000000000000000000000" localSheetId="3" hidden="1">"'7.0.0.0"</definedName>
    <definedName name="CB_Block_00000000000000000000000000000000" localSheetId="5" hidden="1">"'7.0.0.0"</definedName>
    <definedName name="CB_Block_00000000000000000000000000000001" localSheetId="2" hidden="1">"'636431457094512977"</definedName>
    <definedName name="CB_Block_00000000000000000000000000000001" localSheetId="3" hidden="1">"'636431457094512977"</definedName>
    <definedName name="CB_Block_00000000000000000000000000000001" localSheetId="5" hidden="1">"'636431457094512977"</definedName>
    <definedName name="CB_Block_00000000000000000000000000000003" localSheetId="3" hidden="1">"'11.1.1448.0"</definedName>
    <definedName name="CB_Block_00000000000000000000000000000003" localSheetId="5" hidden="1">"'11.1.1448.0"</definedName>
    <definedName name="CB_BlockExt_00000000000000000000000000000003" localSheetId="3" hidden="1">"'11.1.2.0.00"</definedName>
    <definedName name="CB_BlockExt_00000000000000000000000000000003" localSheetId="5" hidden="1">"'11.1.2.0.00"</definedName>
    <definedName name="CB_f6fac18fddc340b6bcbc8c0135378f08" localSheetId="3" hidden="1">'ERR &amp; Sensitivity Analysis'!$D$12</definedName>
    <definedName name="CBWorkbookPriority" localSheetId="2" hidden="1">-2038463145</definedName>
    <definedName name="CBx_6e3bdac3c3a64e2fb60fca3837449bce" localSheetId="2" hidden="1">"'ERR Calculations'!$A$1"</definedName>
    <definedName name="CBx_c25e5774dff644f895547611c8793387" localSheetId="2" hidden="1">"'CB_DATA_'!$A$1"</definedName>
    <definedName name="CBx_fbe090af68894dfba6a6d1237bb257f0" localSheetId="2" hidden="1">"'ERR &amp; Sensitivity Analysis'!$A$1"</definedName>
    <definedName name="CBx_Sheet_Guid" localSheetId="2" hidden="1">"'c25e5774-dff6-44f8-9554-7611c8793387"</definedName>
    <definedName name="CBx_Sheet_Guid" localSheetId="3" hidden="1">"'fbe090af-6889-4dfb-a6a6-d1237bb257f0"</definedName>
    <definedName name="CBx_Sheet_Guid" localSheetId="5" hidden="1">"'6e3bdac3-c3a6-4e2f-b60f-ca3837449bce"</definedName>
    <definedName name="CBx_SheetRef" localSheetId="2" hidden="1">CB_DATA_!$A$14</definedName>
    <definedName name="CBx_SheetRef" localSheetId="3" hidden="1">CB_DATA_!$B$14</definedName>
    <definedName name="CBx_SheetRef" localSheetId="5" hidden="1">CB_DATA_!$C$14</definedName>
    <definedName name="CBx_StorageType" localSheetId="2" hidden="1">2</definedName>
    <definedName name="CBx_StorageType" localSheetId="3" hidden="1">2</definedName>
    <definedName name="CBx_StorageType" localSheetId="5" hidden="1">2</definedName>
    <definedName name="Costs">#REF!</definedName>
    <definedName name="Costs2">Assumptions!$P$6:$U$12</definedName>
    <definedName name="custnopa">[1]Assumptions!$C$76</definedName>
    <definedName name="debt">[2]Inputs!$C$13</definedName>
    <definedName name="debt_cost">[1]Assumptions!#REF!</definedName>
    <definedName name="Demand_scalar">Assumptions!$C$6</definedName>
    <definedName name="discount">[1]Assumptions!$C$8</definedName>
    <definedName name="energy_growth">Assumptions!$C$7</definedName>
    <definedName name="equity">[1]Assumptions!#REF!</definedName>
    <definedName name="ex_rate">Assumptions!#REF!</definedName>
    <definedName name="exch">[3]Assumptions!$F$7</definedName>
    <definedName name="exch2">[4]Basics!$G$8</definedName>
    <definedName name="gasswitch">Assumptions!#REF!</definedName>
    <definedName name="grow">Assumptions!#REF!</definedName>
    <definedName name="hydro_cap">[1]Assumptions!$D$72</definedName>
    <definedName name="loadshed">Assumptions!#REF!</definedName>
    <definedName name="LRMC_energy">[1]Assumptions!$J$65</definedName>
    <definedName name="model_start">[1]Assumptions!#REF!</definedName>
    <definedName name="mvacap">Assumptions!#REF!</definedName>
    <definedName name="pfactor">Assumptions!#REF!</definedName>
    <definedName name="Phasing">#REF!</definedName>
    <definedName name="Phasing2">#REF!</definedName>
    <definedName name="pow_importprice">Assumptions!#REF!</definedName>
    <definedName name="ppatable">Assumptions!$H$8:$I$35</definedName>
    <definedName name="residcapex">Assumptions!#REF!</definedName>
    <definedName name="selected_cap">Assumptions!$C$58</definedName>
    <definedName name="ss_growth">[1]Assumptions!$C$69</definedName>
    <definedName name="startyear">Assumptions!#REF!</definedName>
    <definedName name="sub_cap">[1]Assumptions!#REF!</definedName>
    <definedName name="tax_dep">[1]Assumptions!#REF!</definedName>
    <definedName name="tax_rate">[1]Assumptions!#REF!</definedName>
    <definedName name="td_cap">'[1]ERR calcs (redundant)'!$Z$102</definedName>
    <definedName name="unitconspa">[1]Assumptions!$C$75</definedName>
    <definedName name="unserved">Assumptions!#REF!</definedName>
    <definedName name="voll">Assumptions!#REF!</definedName>
    <definedName name="Year1">[3]Assumptions!$F$5</definedName>
    <definedName name="zanz_loss">Assumptions!$C$30</definedName>
  </definedNames>
  <calcPr calcId="152511"/>
</workbook>
</file>

<file path=xl/calcChain.xml><?xml version="1.0" encoding="utf-8"?>
<calcChain xmlns="http://schemas.openxmlformats.org/spreadsheetml/2006/main">
  <c r="C11" i="27" l="1"/>
  <c r="C38" i="24"/>
  <c r="P2" i="27"/>
  <c r="U26" i="24" l="1"/>
  <c r="T27" i="24"/>
  <c r="T28" i="24"/>
  <c r="T29" i="24"/>
  <c r="T30" i="24"/>
  <c r="T26" i="24"/>
  <c r="N27" i="24"/>
  <c r="N28" i="24"/>
  <c r="N29" i="24"/>
  <c r="N26" i="24"/>
  <c r="N30" i="24" s="1"/>
  <c r="N18" i="24"/>
  <c r="L30" i="24"/>
  <c r="F23" i="10"/>
  <c r="I7" i="10"/>
  <c r="D29" i="10"/>
  <c r="D18" i="10"/>
  <c r="D6" i="10"/>
  <c r="A30" i="10"/>
  <c r="A29" i="10"/>
  <c r="A15" i="10"/>
  <c r="A10" i="10"/>
  <c r="A8" i="10"/>
  <c r="A7" i="10"/>
  <c r="G31" i="10"/>
  <c r="H31" i="10"/>
  <c r="I31" i="10"/>
  <c r="J31" i="10"/>
  <c r="K31" i="10"/>
  <c r="G32" i="10"/>
  <c r="H32" i="10"/>
  <c r="I32" i="10"/>
  <c r="J32" i="10"/>
  <c r="K32" i="10"/>
  <c r="G33" i="10"/>
  <c r="H33" i="10"/>
  <c r="I33" i="10"/>
  <c r="J33" i="10"/>
  <c r="K33" i="10"/>
  <c r="F32" i="10"/>
  <c r="F33" i="10"/>
  <c r="F31" i="10"/>
  <c r="A23" i="10"/>
  <c r="A20" i="10"/>
  <c r="F34" i="10" l="1"/>
  <c r="H34" i="10"/>
  <c r="J34" i="10"/>
  <c r="I34" i="10"/>
  <c r="K34" i="10"/>
  <c r="L41" i="18" s="1"/>
  <c r="G34" i="10"/>
  <c r="A12" i="2"/>
  <c r="A11" i="2"/>
  <c r="A9" i="2"/>
  <c r="A8" i="2"/>
  <c r="A4" i="2"/>
  <c r="A2" i="2"/>
  <c r="L26" i="2"/>
  <c r="M26" i="2"/>
  <c r="K26" i="2"/>
  <c r="G13" i="20"/>
  <c r="G9" i="20"/>
  <c r="E14" i="20"/>
  <c r="D14" i="20"/>
  <c r="G10" i="20"/>
  <c r="G11" i="20"/>
  <c r="D9" i="20"/>
  <c r="D10" i="20"/>
  <c r="D11" i="20"/>
  <c r="H47" i="18"/>
  <c r="I47" i="18" s="1"/>
  <c r="J47" i="18" s="1"/>
  <c r="K47" i="18" s="1"/>
  <c r="L47" i="18" s="1"/>
  <c r="M47" i="18" s="1"/>
  <c r="N47" i="18" s="1"/>
  <c r="O47" i="18" s="1"/>
  <c r="P47" i="18" s="1"/>
  <c r="Q47" i="18" s="1"/>
  <c r="R47" i="18" s="1"/>
  <c r="S47" i="18" s="1"/>
  <c r="T47" i="18" s="1"/>
  <c r="U47" i="18" s="1"/>
  <c r="V47" i="18" s="1"/>
  <c r="W47" i="18" s="1"/>
  <c r="X47" i="18" s="1"/>
  <c r="Y47" i="18" s="1"/>
  <c r="Z47" i="18" s="1"/>
  <c r="AA47" i="18" s="1"/>
  <c r="G23" i="2" l="1"/>
  <c r="G39" i="18"/>
  <c r="H39" i="18"/>
  <c r="I39" i="18"/>
  <c r="J39" i="18"/>
  <c r="K39" i="18"/>
  <c r="L39" i="18"/>
  <c r="M39" i="18"/>
  <c r="N39" i="18"/>
  <c r="O39" i="18"/>
  <c r="P39" i="18"/>
  <c r="Q39" i="18"/>
  <c r="R39" i="18"/>
  <c r="S39" i="18"/>
  <c r="T39" i="18"/>
  <c r="U39" i="18"/>
  <c r="V39" i="18"/>
  <c r="W39" i="18"/>
  <c r="X39" i="18"/>
  <c r="Y39" i="18"/>
  <c r="Z39" i="18"/>
  <c r="AA39" i="18"/>
  <c r="F39" i="18"/>
  <c r="F40" i="18"/>
  <c r="G40" i="18"/>
  <c r="H40" i="18"/>
  <c r="I40" i="18"/>
  <c r="J40" i="18"/>
  <c r="K40" i="18"/>
  <c r="L83" i="18" l="1"/>
  <c r="M83" i="18"/>
  <c r="N83" i="18"/>
  <c r="O83" i="18"/>
  <c r="P83" i="18"/>
  <c r="Q83" i="18"/>
  <c r="R83" i="18"/>
  <c r="S83" i="18"/>
  <c r="T83" i="18"/>
  <c r="U83" i="18"/>
  <c r="V83" i="18"/>
  <c r="W83" i="18"/>
  <c r="X83" i="18"/>
  <c r="Y83" i="18"/>
  <c r="Z83" i="18"/>
  <c r="AA83" i="18"/>
  <c r="L84" i="18"/>
  <c r="M84" i="18"/>
  <c r="N84" i="18"/>
  <c r="O84" i="18"/>
  <c r="P84" i="18"/>
  <c r="Q84" i="18"/>
  <c r="R84" i="18"/>
  <c r="S84" i="18"/>
  <c r="T84" i="18"/>
  <c r="U84" i="18"/>
  <c r="V84" i="18"/>
  <c r="W84" i="18"/>
  <c r="X84" i="18"/>
  <c r="Y84" i="18"/>
  <c r="Z84" i="18"/>
  <c r="AA84" i="18"/>
  <c r="L85" i="18"/>
  <c r="M85" i="18"/>
  <c r="N85" i="18"/>
  <c r="O85" i="18"/>
  <c r="P85" i="18"/>
  <c r="Q85" i="18"/>
  <c r="R85" i="18"/>
  <c r="S85" i="18"/>
  <c r="T85" i="18"/>
  <c r="U85" i="18"/>
  <c r="V85" i="18"/>
  <c r="W85" i="18"/>
  <c r="X85" i="18"/>
  <c r="Y85" i="18"/>
  <c r="Z85" i="18"/>
  <c r="AA85" i="18"/>
  <c r="K85" i="18"/>
  <c r="K84" i="18"/>
  <c r="K83" i="18"/>
  <c r="L67" i="18" l="1"/>
  <c r="C24" i="10" l="1"/>
  <c r="G21" i="2"/>
  <c r="B11" i="27" l="1"/>
  <c r="A11" i="27"/>
  <c r="C39" i="24" l="1"/>
  <c r="K31" i="25"/>
  <c r="K32" i="25"/>
  <c r="K33" i="25"/>
  <c r="K34" i="25"/>
  <c r="K35" i="25"/>
  <c r="K30" i="25"/>
  <c r="D36" i="25" l="1"/>
  <c r="C13" i="2" l="1"/>
  <c r="M12" i="2"/>
  <c r="J12" i="2"/>
  <c r="H12" i="2"/>
  <c r="M11" i="2"/>
  <c r="J11" i="2"/>
  <c r="H11" i="2"/>
  <c r="M10" i="2"/>
  <c r="J10" i="2"/>
  <c r="H10" i="2"/>
  <c r="M9" i="2"/>
  <c r="J9" i="2"/>
  <c r="H9" i="2"/>
  <c r="L8" i="2"/>
  <c r="M8" i="2" s="1"/>
  <c r="J8" i="2"/>
  <c r="H8" i="2"/>
  <c r="J7" i="2"/>
  <c r="H7" i="2"/>
  <c r="O12" i="2" l="1"/>
  <c r="P12" i="2" s="1"/>
  <c r="O9" i="2"/>
  <c r="P9" i="2" s="1"/>
  <c r="O7" i="2"/>
  <c r="P7" i="2" s="1"/>
  <c r="O11" i="2"/>
  <c r="P11" i="2" s="1"/>
  <c r="O8" i="2"/>
  <c r="P8" i="2" s="1"/>
  <c r="O10" i="2"/>
  <c r="P10" i="2" s="1"/>
  <c r="P13" i="2" l="1"/>
  <c r="I13" i="23"/>
  <c r="G10" i="23"/>
  <c r="H95" i="18" s="1"/>
  <c r="I9" i="23"/>
  <c r="G14" i="23" s="1"/>
  <c r="C27" i="10" s="1"/>
  <c r="G9" i="23"/>
  <c r="D20" i="2" l="1"/>
  <c r="G20" i="2" s="1"/>
  <c r="G24" i="2" s="1"/>
  <c r="L72" i="18" s="1"/>
  <c r="G12" i="23"/>
  <c r="G13" i="23"/>
  <c r="B16" i="23"/>
  <c r="L19" i="25"/>
  <c r="M19" i="25"/>
  <c r="N19" i="25"/>
  <c r="O19" i="25"/>
  <c r="P19" i="25"/>
  <c r="L20" i="25"/>
  <c r="M20" i="25"/>
  <c r="N20" i="25"/>
  <c r="O20" i="25"/>
  <c r="P20" i="25"/>
  <c r="L21" i="25"/>
  <c r="M21" i="25"/>
  <c r="N21" i="25"/>
  <c r="O21" i="25"/>
  <c r="P21" i="25"/>
  <c r="K20" i="25"/>
  <c r="K21" i="25"/>
  <c r="K19" i="25"/>
  <c r="G23" i="10"/>
  <c r="G25" i="10" s="1"/>
  <c r="G26" i="10" s="1"/>
  <c r="H23" i="10"/>
  <c r="I23" i="10"/>
  <c r="J23" i="10"/>
  <c r="K23" i="10"/>
  <c r="L21" i="10"/>
  <c r="K22" i="25" l="1"/>
  <c r="K26" i="25" s="1"/>
  <c r="L22" i="10"/>
  <c r="D21" i="25" s="1"/>
  <c r="L20" i="10"/>
  <c r="C23" i="10"/>
  <c r="E7" i="20"/>
  <c r="D7" i="20"/>
  <c r="P22" i="25"/>
  <c r="P26" i="25" s="1"/>
  <c r="L22" i="25"/>
  <c r="L26" i="25" s="1"/>
  <c r="O22" i="25"/>
  <c r="O26" i="25" s="1"/>
  <c r="N22" i="25"/>
  <c r="N26" i="25" s="1"/>
  <c r="M22" i="25"/>
  <c r="M26" i="25" s="1"/>
  <c r="D20" i="25"/>
  <c r="L70" i="18"/>
  <c r="M70" i="18" s="1"/>
  <c r="H70" i="18"/>
  <c r="I70" i="18"/>
  <c r="J70" i="18"/>
  <c r="N18" i="25" s="1"/>
  <c r="K70" i="18"/>
  <c r="G70" i="18"/>
  <c r="K18" i="25" s="1"/>
  <c r="K25" i="10"/>
  <c r="K26" i="10" s="1"/>
  <c r="H25" i="10"/>
  <c r="H26" i="10" s="1"/>
  <c r="I25" i="10"/>
  <c r="I26" i="10" s="1"/>
  <c r="J25" i="10"/>
  <c r="J26" i="10" s="1"/>
  <c r="F14" i="20" l="1"/>
  <c r="F15" i="20" s="1"/>
  <c r="D19" i="25"/>
  <c r="N70" i="18"/>
  <c r="Q18" i="25"/>
  <c r="L26" i="10"/>
  <c r="M18" i="25"/>
  <c r="P18" i="25"/>
  <c r="L18" i="25"/>
  <c r="O18" i="25"/>
  <c r="C7" i="10" l="1"/>
  <c r="Q21" i="25"/>
  <c r="Q20" i="25"/>
  <c r="Q19" i="25"/>
  <c r="O70" i="18"/>
  <c r="R18" i="25"/>
  <c r="N27" i="18" l="1"/>
  <c r="R27" i="18"/>
  <c r="V27" i="18"/>
  <c r="Z27" i="18"/>
  <c r="O27" i="18"/>
  <c r="W27" i="18"/>
  <c r="P27" i="18"/>
  <c r="T27" i="18"/>
  <c r="X27" i="18"/>
  <c r="M27" i="18"/>
  <c r="M41" i="18" s="1"/>
  <c r="M72" i="18" s="1"/>
  <c r="M74" i="18" s="1"/>
  <c r="Q27" i="18"/>
  <c r="U27" i="18"/>
  <c r="Y27" i="18"/>
  <c r="S27" i="18"/>
  <c r="AA27" i="18"/>
  <c r="Q22" i="25"/>
  <c r="Q26" i="25" s="1"/>
  <c r="R20" i="25"/>
  <c r="R19" i="25"/>
  <c r="R21" i="25"/>
  <c r="S18" i="25"/>
  <c r="P70" i="18"/>
  <c r="M67" i="18" l="1"/>
  <c r="N41" i="18"/>
  <c r="O41" i="18" s="1"/>
  <c r="R22" i="25"/>
  <c r="R26" i="25" s="1"/>
  <c r="S21" i="25"/>
  <c r="S20" i="25"/>
  <c r="S19" i="25"/>
  <c r="T18" i="25"/>
  <c r="Q70" i="18"/>
  <c r="O67" i="18" l="1"/>
  <c r="O72" i="18"/>
  <c r="O74" i="18" s="1"/>
  <c r="P41" i="18"/>
  <c r="N67" i="18"/>
  <c r="N72" i="18"/>
  <c r="N74" i="18" s="1"/>
  <c r="S22" i="25"/>
  <c r="S26" i="25" s="1"/>
  <c r="T19" i="25"/>
  <c r="T21" i="25"/>
  <c r="T20" i="25"/>
  <c r="R70" i="18"/>
  <c r="U18" i="25"/>
  <c r="P67" i="18" l="1"/>
  <c r="P72" i="18"/>
  <c r="P74" i="18" s="1"/>
  <c r="Q41" i="18"/>
  <c r="T22" i="25"/>
  <c r="T26" i="25" s="1"/>
  <c r="U19" i="25"/>
  <c r="U21" i="25"/>
  <c r="U20" i="25"/>
  <c r="S70" i="18"/>
  <c r="V18" i="25"/>
  <c r="Q67" i="18" l="1"/>
  <c r="Q72" i="18"/>
  <c r="Q74" i="18" s="1"/>
  <c r="R41" i="18"/>
  <c r="U22" i="25"/>
  <c r="U26" i="25" s="1"/>
  <c r="V20" i="25"/>
  <c r="V19" i="25"/>
  <c r="V21" i="25"/>
  <c r="T70" i="18"/>
  <c r="W18" i="25"/>
  <c r="R67" i="18" l="1"/>
  <c r="R72" i="18"/>
  <c r="R74" i="18" s="1"/>
  <c r="S41" i="18"/>
  <c r="V22" i="25"/>
  <c r="V26" i="25" s="1"/>
  <c r="W21" i="25"/>
  <c r="W20" i="25"/>
  <c r="W19" i="25"/>
  <c r="U70" i="18"/>
  <c r="X18" i="25"/>
  <c r="S67" i="18" l="1"/>
  <c r="S72" i="18"/>
  <c r="S74" i="18" s="1"/>
  <c r="T41" i="18"/>
  <c r="W22" i="25"/>
  <c r="W26" i="25" s="1"/>
  <c r="X20" i="25"/>
  <c r="X21" i="25"/>
  <c r="X19" i="25"/>
  <c r="V70" i="18"/>
  <c r="Y18" i="25"/>
  <c r="T67" i="18" l="1"/>
  <c r="T72" i="18"/>
  <c r="T74" i="18" s="1"/>
  <c r="U41" i="18"/>
  <c r="X22" i="25"/>
  <c r="X26" i="25" s="1"/>
  <c r="Y19" i="25"/>
  <c r="Y21" i="25"/>
  <c r="Y20" i="25"/>
  <c r="W70" i="18"/>
  <c r="Z18" i="25"/>
  <c r="U67" i="18" l="1"/>
  <c r="U72" i="18"/>
  <c r="U74" i="18" s="1"/>
  <c r="V41" i="18"/>
  <c r="Y22" i="25"/>
  <c r="Y26" i="25" s="1"/>
  <c r="Z20" i="25"/>
  <c r="Z19" i="25"/>
  <c r="Z21" i="25"/>
  <c r="X70" i="18"/>
  <c r="AA18" i="25"/>
  <c r="V67" i="18" l="1"/>
  <c r="V72" i="18"/>
  <c r="V74" i="18" s="1"/>
  <c r="W41" i="18"/>
  <c r="Z22" i="25"/>
  <c r="Z26" i="25" s="1"/>
  <c r="AA21" i="25"/>
  <c r="AA19" i="25"/>
  <c r="AA20" i="25"/>
  <c r="Y70" i="18"/>
  <c r="AB18" i="25"/>
  <c r="W67" i="18" l="1"/>
  <c r="W72" i="18"/>
  <c r="W74" i="18" s="1"/>
  <c r="X41" i="18"/>
  <c r="AA22" i="25"/>
  <c r="AA26" i="25" s="1"/>
  <c r="AB20" i="25"/>
  <c r="AB19" i="25"/>
  <c r="AB21" i="25"/>
  <c r="Z70" i="18"/>
  <c r="AC18" i="25"/>
  <c r="X67" i="18" l="1"/>
  <c r="X72" i="18"/>
  <c r="X74" i="18" s="1"/>
  <c r="Y41" i="18"/>
  <c r="AB22" i="25"/>
  <c r="AB26" i="25" s="1"/>
  <c r="AC19" i="25"/>
  <c r="AC20" i="25"/>
  <c r="AC21" i="25"/>
  <c r="AA70" i="18"/>
  <c r="AD18" i="25"/>
  <c r="Y67" i="18" l="1"/>
  <c r="Y72" i="18"/>
  <c r="Y74" i="18" s="1"/>
  <c r="Z41" i="18"/>
  <c r="AC22" i="25"/>
  <c r="AC26" i="25" s="1"/>
  <c r="AD20" i="25"/>
  <c r="AD21" i="25"/>
  <c r="AD19" i="25"/>
  <c r="AE18" i="25"/>
  <c r="Z67" i="18" l="1"/>
  <c r="Z72" i="18"/>
  <c r="Z74" i="18" s="1"/>
  <c r="AA41" i="18"/>
  <c r="AD22" i="25"/>
  <c r="AD26" i="25" s="1"/>
  <c r="AE21" i="25"/>
  <c r="AE19" i="25"/>
  <c r="AE20" i="25"/>
  <c r="AA72" i="18" l="1"/>
  <c r="AA74" i="18" s="1"/>
  <c r="AA67" i="18"/>
  <c r="AE22" i="25"/>
  <c r="C17" i="24" l="1"/>
  <c r="AE26" i="25"/>
  <c r="C18" i="24" s="1"/>
  <c r="L28" i="18"/>
  <c r="O28" i="24" l="1"/>
  <c r="O29" i="24"/>
  <c r="O30" i="24"/>
  <c r="O27" i="24"/>
  <c r="O26" i="24"/>
  <c r="I95" i="18" l="1"/>
  <c r="J95" i="18"/>
  <c r="G95" i="18"/>
  <c r="G29" i="18"/>
  <c r="P8" i="25" l="1"/>
  <c r="Q8" i="25" s="1"/>
  <c r="R8" i="25" s="1"/>
  <c r="S8" i="25" s="1"/>
  <c r="T8" i="25" s="1"/>
  <c r="U8" i="25" s="1"/>
  <c r="V8" i="25" s="1"/>
  <c r="W8" i="25" s="1"/>
  <c r="X8" i="25" s="1"/>
  <c r="Y8" i="25" s="1"/>
  <c r="Z8" i="25" s="1"/>
  <c r="AA8" i="25" s="1"/>
  <c r="AB8" i="25" s="1"/>
  <c r="AC8" i="25" s="1"/>
  <c r="AD8" i="25" s="1"/>
  <c r="AE8" i="25" s="1"/>
  <c r="P9" i="25"/>
  <c r="Q9" i="25" s="1"/>
  <c r="R9" i="25" s="1"/>
  <c r="S9" i="25" s="1"/>
  <c r="T9" i="25" s="1"/>
  <c r="U9" i="25" s="1"/>
  <c r="V9" i="25" s="1"/>
  <c r="W9" i="25" s="1"/>
  <c r="X9" i="25" s="1"/>
  <c r="Y9" i="25" s="1"/>
  <c r="Z9" i="25" s="1"/>
  <c r="AA9" i="25" s="1"/>
  <c r="AB9" i="25" s="1"/>
  <c r="AC9" i="25" s="1"/>
  <c r="AD9" i="25" s="1"/>
  <c r="AE9" i="25" s="1"/>
  <c r="P10" i="25"/>
  <c r="Q10" i="25" s="1"/>
  <c r="R10" i="25" s="1"/>
  <c r="S10" i="25" s="1"/>
  <c r="T10" i="25" s="1"/>
  <c r="U10" i="25" s="1"/>
  <c r="V10" i="25" s="1"/>
  <c r="W10" i="25" s="1"/>
  <c r="X10" i="25" s="1"/>
  <c r="Y10" i="25" s="1"/>
  <c r="Z10" i="25" s="1"/>
  <c r="AA10" i="25" s="1"/>
  <c r="AB10" i="25" s="1"/>
  <c r="AC10" i="25" s="1"/>
  <c r="AD10" i="25" s="1"/>
  <c r="AE10" i="25" s="1"/>
  <c r="P12" i="25"/>
  <c r="Q12" i="25" s="1"/>
  <c r="R12" i="25" s="1"/>
  <c r="S12" i="25" s="1"/>
  <c r="T12" i="25" s="1"/>
  <c r="U12" i="25" s="1"/>
  <c r="V12" i="25" s="1"/>
  <c r="W12" i="25" s="1"/>
  <c r="X12" i="25" s="1"/>
  <c r="Y12" i="25" s="1"/>
  <c r="Z12" i="25" s="1"/>
  <c r="AA12" i="25" s="1"/>
  <c r="AB12" i="25" s="1"/>
  <c r="AC12" i="25" s="1"/>
  <c r="AD12" i="25" s="1"/>
  <c r="AE12" i="25" s="1"/>
  <c r="P13" i="25"/>
  <c r="Q13" i="25" s="1"/>
  <c r="R13" i="25" s="1"/>
  <c r="S13" i="25" s="1"/>
  <c r="T13" i="25" s="1"/>
  <c r="U13" i="25" s="1"/>
  <c r="V13" i="25" s="1"/>
  <c r="W13" i="25" s="1"/>
  <c r="X13" i="25" s="1"/>
  <c r="Y13" i="25" s="1"/>
  <c r="Z13" i="25" s="1"/>
  <c r="AA13" i="25" s="1"/>
  <c r="AB13" i="25" s="1"/>
  <c r="AC13" i="25" s="1"/>
  <c r="AD13" i="25" s="1"/>
  <c r="AE13" i="25" s="1"/>
  <c r="P14" i="25"/>
  <c r="Q14" i="25" s="1"/>
  <c r="R14" i="25" s="1"/>
  <c r="S14" i="25" s="1"/>
  <c r="T14" i="25" s="1"/>
  <c r="U14" i="25" s="1"/>
  <c r="V14" i="25" s="1"/>
  <c r="W14" i="25" s="1"/>
  <c r="X14" i="25" s="1"/>
  <c r="Y14" i="25" s="1"/>
  <c r="Z14" i="25" s="1"/>
  <c r="AA14" i="25" s="1"/>
  <c r="AB14" i="25" s="1"/>
  <c r="AC14" i="25" s="1"/>
  <c r="AD14" i="25" s="1"/>
  <c r="AE14" i="25" s="1"/>
  <c r="O11" i="25"/>
  <c r="F8" i="25"/>
  <c r="G8" i="25" s="1"/>
  <c r="H8" i="25" s="1"/>
  <c r="I8" i="25" s="1"/>
  <c r="J8" i="25" s="1"/>
  <c r="K8" i="25" s="1"/>
  <c r="L8" i="25" s="1"/>
  <c r="M8" i="25" s="1"/>
  <c r="N8" i="25" s="1"/>
  <c r="F9" i="25"/>
  <c r="G9" i="25" s="1"/>
  <c r="H9" i="25" s="1"/>
  <c r="I9" i="25" s="1"/>
  <c r="J9" i="25" s="1"/>
  <c r="K9" i="25" s="1"/>
  <c r="L9" i="25" s="1"/>
  <c r="M9" i="25" s="1"/>
  <c r="N9" i="25" s="1"/>
  <c r="F10" i="25"/>
  <c r="G10" i="25" s="1"/>
  <c r="H10" i="25" s="1"/>
  <c r="I10" i="25" s="1"/>
  <c r="J10" i="25" s="1"/>
  <c r="K10" i="25" s="1"/>
  <c r="L10" i="25" s="1"/>
  <c r="M10" i="25" s="1"/>
  <c r="N10" i="25" s="1"/>
  <c r="F12" i="25"/>
  <c r="G12" i="25" s="1"/>
  <c r="H12" i="25" s="1"/>
  <c r="I12" i="25" s="1"/>
  <c r="J12" i="25" s="1"/>
  <c r="K12" i="25" s="1"/>
  <c r="L12" i="25" s="1"/>
  <c r="M12" i="25" s="1"/>
  <c r="N12" i="25" s="1"/>
  <c r="F13" i="25"/>
  <c r="G13" i="25" s="1"/>
  <c r="H13" i="25" s="1"/>
  <c r="I13" i="25" s="1"/>
  <c r="J13" i="25" s="1"/>
  <c r="K13" i="25" s="1"/>
  <c r="L13" i="25" s="1"/>
  <c r="M13" i="25" s="1"/>
  <c r="N13" i="25" s="1"/>
  <c r="F14" i="25"/>
  <c r="G14" i="25" s="1"/>
  <c r="H14" i="25" s="1"/>
  <c r="I14" i="25" s="1"/>
  <c r="J14" i="25" s="1"/>
  <c r="K14" i="25" s="1"/>
  <c r="L14" i="25" s="1"/>
  <c r="M14" i="25" s="1"/>
  <c r="N14" i="25" s="1"/>
  <c r="D11" i="25"/>
  <c r="E11" i="25"/>
  <c r="E7" i="25"/>
  <c r="L50" i="18"/>
  <c r="K50" i="18"/>
  <c r="J50" i="18"/>
  <c r="I50" i="18"/>
  <c r="H50" i="18"/>
  <c r="H10" i="10"/>
  <c r="H14" i="10"/>
  <c r="H13" i="10"/>
  <c r="H11" i="10"/>
  <c r="H9" i="10"/>
  <c r="O7" i="25"/>
  <c r="P7" i="25" s="1"/>
  <c r="Q7" i="25" s="1"/>
  <c r="R7" i="25" s="1"/>
  <c r="S7" i="25" s="1"/>
  <c r="T7" i="25" s="1"/>
  <c r="U7" i="25" s="1"/>
  <c r="V7" i="25" s="1"/>
  <c r="W7" i="25" s="1"/>
  <c r="X7" i="25" s="1"/>
  <c r="Y7" i="25" s="1"/>
  <c r="Z7" i="25" s="1"/>
  <c r="AA7" i="25" s="1"/>
  <c r="AB7" i="25" s="1"/>
  <c r="AC7" i="25" s="1"/>
  <c r="AD7" i="25" s="1"/>
  <c r="AE7" i="25" s="1"/>
  <c r="P6" i="25"/>
  <c r="Q6" i="25" s="1"/>
  <c r="R6" i="25" s="1"/>
  <c r="S6" i="25" s="1"/>
  <c r="T6" i="25" s="1"/>
  <c r="U6" i="25" s="1"/>
  <c r="V6" i="25" s="1"/>
  <c r="W6" i="25" s="1"/>
  <c r="X6" i="25" s="1"/>
  <c r="Y6" i="25" s="1"/>
  <c r="Z6" i="25" s="1"/>
  <c r="AA6" i="25" s="1"/>
  <c r="AB6" i="25" s="1"/>
  <c r="AC6" i="25" s="1"/>
  <c r="AD6" i="25" s="1"/>
  <c r="AE6" i="25" s="1"/>
  <c r="C36" i="24"/>
  <c r="L23" i="24"/>
  <c r="L22" i="24"/>
  <c r="N21" i="24"/>
  <c r="N20" i="24"/>
  <c r="N19" i="24"/>
  <c r="N23" i="24"/>
  <c r="D24" i="2"/>
  <c r="M30" i="18"/>
  <c r="N30" i="18" s="1"/>
  <c r="O30" i="18" s="1"/>
  <c r="P30" i="18" s="1"/>
  <c r="Q30" i="18" s="1"/>
  <c r="R30" i="18" s="1"/>
  <c r="S30" i="18" s="1"/>
  <c r="L40" i="18"/>
  <c r="M40" i="18" s="1"/>
  <c r="N40" i="18" s="1"/>
  <c r="O40" i="18" s="1"/>
  <c r="P40" i="18" s="1"/>
  <c r="Q40" i="18" s="1"/>
  <c r="R40" i="18" s="1"/>
  <c r="S40" i="18" s="1"/>
  <c r="T40" i="18" s="1"/>
  <c r="U40" i="18" s="1"/>
  <c r="V40" i="18" s="1"/>
  <c r="W40" i="18" s="1"/>
  <c r="X40" i="18" s="1"/>
  <c r="Y40" i="18" s="1"/>
  <c r="Z40" i="18" s="1"/>
  <c r="AA40" i="18" s="1"/>
  <c r="F11" i="20"/>
  <c r="C18" i="10" s="1"/>
  <c r="K90" i="18" s="1"/>
  <c r="F10" i="20"/>
  <c r="K66" i="18"/>
  <c r="K67" i="18" s="1"/>
  <c r="G96" i="18"/>
  <c r="I29" i="18"/>
  <c r="I37" i="18" s="1"/>
  <c r="I38" i="18" s="1"/>
  <c r="J29" i="18"/>
  <c r="J37" i="18" s="1"/>
  <c r="J38" i="18" s="1"/>
  <c r="K29" i="18"/>
  <c r="K37" i="18" s="1"/>
  <c r="K38" i="18" s="1"/>
  <c r="L81" i="18"/>
  <c r="M81" i="18" s="1"/>
  <c r="N81" i="18" s="1"/>
  <c r="O81" i="18" s="1"/>
  <c r="P81" i="18" s="1"/>
  <c r="Q81" i="18" s="1"/>
  <c r="R81" i="18" s="1"/>
  <c r="S81" i="18" s="1"/>
  <c r="T81" i="18" s="1"/>
  <c r="U81" i="18" s="1"/>
  <c r="V81" i="18" s="1"/>
  <c r="W81" i="18" s="1"/>
  <c r="X81" i="18" s="1"/>
  <c r="Y81" i="18" s="1"/>
  <c r="Z81" i="18" s="1"/>
  <c r="AA81" i="18" s="1"/>
  <c r="H24" i="18"/>
  <c r="I24" i="18" s="1"/>
  <c r="J24" i="18" s="1"/>
  <c r="K24" i="18" s="1"/>
  <c r="L24" i="18" s="1"/>
  <c r="M24" i="18" s="1"/>
  <c r="N24" i="18" s="1"/>
  <c r="O24" i="18" s="1"/>
  <c r="P24" i="18" s="1"/>
  <c r="Q24" i="18" s="1"/>
  <c r="R24" i="18" s="1"/>
  <c r="S24" i="18" s="1"/>
  <c r="T24" i="18" s="1"/>
  <c r="U24" i="18" s="1"/>
  <c r="V24" i="18" s="1"/>
  <c r="W24" i="18" s="1"/>
  <c r="X24" i="18" s="1"/>
  <c r="Y24" i="18" s="1"/>
  <c r="Z24" i="18" s="1"/>
  <c r="AA24" i="18" s="1"/>
  <c r="H29" i="18"/>
  <c r="H37" i="18" s="1"/>
  <c r="H38" i="18" s="1"/>
  <c r="G37" i="18"/>
  <c r="G38" i="18" s="1"/>
  <c r="F29" i="18"/>
  <c r="F37" i="18" s="1"/>
  <c r="F38" i="18" s="1"/>
  <c r="C17" i="10" l="1"/>
  <c r="K89" i="18" s="1"/>
  <c r="E6" i="25"/>
  <c r="O18" i="24"/>
  <c r="O22" i="24"/>
  <c r="C19" i="24"/>
  <c r="O21" i="24"/>
  <c r="Q21" i="24" s="1"/>
  <c r="O20" i="24"/>
  <c r="Q20" i="24" s="1"/>
  <c r="O19" i="24"/>
  <c r="Q19" i="24" s="1"/>
  <c r="P11" i="25"/>
  <c r="Q11" i="25" s="1"/>
  <c r="R11" i="25" s="1"/>
  <c r="S11" i="25" s="1"/>
  <c r="T11" i="25" s="1"/>
  <c r="U11" i="25" s="1"/>
  <c r="V11" i="25" s="1"/>
  <c r="W11" i="25" s="1"/>
  <c r="X11" i="25" s="1"/>
  <c r="Y11" i="25" s="1"/>
  <c r="Z11" i="25" s="1"/>
  <c r="AA11" i="25" s="1"/>
  <c r="AB11" i="25" s="1"/>
  <c r="AC11" i="25" s="1"/>
  <c r="AD11" i="25" s="1"/>
  <c r="AE11" i="25" s="1"/>
  <c r="L57" i="18"/>
  <c r="I57" i="18"/>
  <c r="K57" i="18"/>
  <c r="F9" i="20"/>
  <c r="C16" i="10" s="1"/>
  <c r="K88" i="18" s="1"/>
  <c r="H57" i="18"/>
  <c r="J62" i="18"/>
  <c r="J55" i="18"/>
  <c r="J57" i="18"/>
  <c r="L90" i="18"/>
  <c r="M90" i="18" s="1"/>
  <c r="N90" i="18" s="1"/>
  <c r="O90" i="18" s="1"/>
  <c r="P90" i="18" s="1"/>
  <c r="Q90" i="18" s="1"/>
  <c r="R90" i="18" s="1"/>
  <c r="S90" i="18" s="1"/>
  <c r="T90" i="18" s="1"/>
  <c r="U90" i="18" s="1"/>
  <c r="V90" i="18" s="1"/>
  <c r="W90" i="18" s="1"/>
  <c r="X90" i="18" s="1"/>
  <c r="Y90" i="18" s="1"/>
  <c r="Z90" i="18" s="1"/>
  <c r="AA90" i="18" s="1"/>
  <c r="K62" i="18"/>
  <c r="H62" i="18"/>
  <c r="L61" i="18"/>
  <c r="L62" i="18"/>
  <c r="I61" i="18"/>
  <c r="I62" i="18"/>
  <c r="F11" i="25"/>
  <c r="G11" i="25" s="1"/>
  <c r="H11" i="25" s="1"/>
  <c r="I11" i="25" s="1"/>
  <c r="J11" i="25" s="1"/>
  <c r="K11" i="25" s="1"/>
  <c r="L11" i="25" s="1"/>
  <c r="M11" i="25" s="1"/>
  <c r="N11" i="25" s="1"/>
  <c r="M28" i="18"/>
  <c r="M35" i="18" s="1"/>
  <c r="J61" i="18"/>
  <c r="K55" i="18"/>
  <c r="K61" i="18"/>
  <c r="H61" i="18"/>
  <c r="J59" i="18"/>
  <c r="I59" i="18"/>
  <c r="F7" i="25"/>
  <c r="G7" i="25" s="1"/>
  <c r="H7" i="25" s="1"/>
  <c r="I7" i="25" s="1"/>
  <c r="J7" i="25" s="1"/>
  <c r="K7" i="25" s="1"/>
  <c r="L7" i="25" s="1"/>
  <c r="M7" i="25" s="1"/>
  <c r="N7" i="25" s="1"/>
  <c r="F6" i="25"/>
  <c r="G6" i="25" s="1"/>
  <c r="H6" i="25" s="1"/>
  <c r="I6" i="25" s="1"/>
  <c r="J6" i="25" s="1"/>
  <c r="K6" i="25" s="1"/>
  <c r="L6" i="25" s="1"/>
  <c r="M6" i="25" s="1"/>
  <c r="N6" i="25" s="1"/>
  <c r="H59" i="18"/>
  <c r="H55" i="18"/>
  <c r="I55" i="18"/>
  <c r="L59" i="18"/>
  <c r="L55" i="18"/>
  <c r="K59" i="18"/>
  <c r="F15" i="10"/>
  <c r="C10" i="24" s="1"/>
  <c r="E10" i="24" s="1"/>
  <c r="H8" i="10"/>
  <c r="K65" i="18"/>
  <c r="L65" i="18" s="1"/>
  <c r="N22" i="24"/>
  <c r="T30" i="18"/>
  <c r="L35" i="18"/>
  <c r="L29" i="18"/>
  <c r="L36" i="18" s="1"/>
  <c r="L37" i="18" s="1"/>
  <c r="L38" i="18" s="1"/>
  <c r="K91" i="18" l="1"/>
  <c r="C19" i="10"/>
  <c r="L89" i="18"/>
  <c r="M89" i="18" s="1"/>
  <c r="N89" i="18" s="1"/>
  <c r="O89" i="18" s="1"/>
  <c r="P89" i="18" s="1"/>
  <c r="Q89" i="18" s="1"/>
  <c r="R89" i="18" s="1"/>
  <c r="S89" i="18" s="1"/>
  <c r="T89" i="18" s="1"/>
  <c r="U89" i="18" s="1"/>
  <c r="V89" i="18" s="1"/>
  <c r="W89" i="18" s="1"/>
  <c r="X89" i="18" s="1"/>
  <c r="Y89" i="18" s="1"/>
  <c r="Z89" i="18" s="1"/>
  <c r="AA89" i="18" s="1"/>
  <c r="L12" i="10"/>
  <c r="L51" i="18" s="1"/>
  <c r="L10" i="10"/>
  <c r="J51" i="18" s="1"/>
  <c r="L8" i="10"/>
  <c r="L11" i="10"/>
  <c r="K51" i="18" s="1"/>
  <c r="L9" i="10"/>
  <c r="I51" i="18" s="1"/>
  <c r="Q27" i="24"/>
  <c r="M65" i="18"/>
  <c r="N65" i="18" s="1"/>
  <c r="Q22" i="24"/>
  <c r="Q18" i="24"/>
  <c r="Q29" i="24"/>
  <c r="Q30" i="24"/>
  <c r="M29" i="18"/>
  <c r="M36" i="18" s="1"/>
  <c r="N28" i="18"/>
  <c r="U30" i="18"/>
  <c r="L13" i="10" l="1"/>
  <c r="H51" i="18"/>
  <c r="H21" i="24"/>
  <c r="M37" i="18"/>
  <c r="M38" i="18" s="1"/>
  <c r="F21" i="24"/>
  <c r="Q26" i="24"/>
  <c r="G21" i="24"/>
  <c r="R18" i="24"/>
  <c r="R19" i="24"/>
  <c r="M11" i="24" s="1"/>
  <c r="R21" i="24"/>
  <c r="M13" i="24" s="1"/>
  <c r="H22" i="24" s="1"/>
  <c r="R20" i="24"/>
  <c r="M12" i="24" s="1"/>
  <c r="G22" i="24" s="1"/>
  <c r="Q28" i="24"/>
  <c r="V30" i="18"/>
  <c r="O65" i="18"/>
  <c r="N29" i="18"/>
  <c r="N36" i="18" s="1"/>
  <c r="N37" i="18" s="1"/>
  <c r="N38" i="18" s="1"/>
  <c r="O28" i="18"/>
  <c r="N35" i="18"/>
  <c r="L88" i="18"/>
  <c r="L91" i="18" s="1"/>
  <c r="L93" i="18" s="1"/>
  <c r="K93" i="18"/>
  <c r="G51" i="18" l="1"/>
  <c r="K95" i="18"/>
  <c r="M88" i="18"/>
  <c r="R28" i="24"/>
  <c r="R30" i="24"/>
  <c r="E21" i="24"/>
  <c r="R23" i="24"/>
  <c r="M10" i="24"/>
  <c r="R22" i="24"/>
  <c r="R26" i="24"/>
  <c r="R27" i="24"/>
  <c r="R29" i="24"/>
  <c r="W30" i="18"/>
  <c r="O29" i="18"/>
  <c r="O36" i="18" s="1"/>
  <c r="O37" i="18" s="1"/>
  <c r="O38" i="18" s="1"/>
  <c r="O35" i="18"/>
  <c r="P28" i="18"/>
  <c r="P65" i="18"/>
  <c r="L95" i="18" l="1"/>
  <c r="N88" i="18"/>
  <c r="M91" i="18"/>
  <c r="M93" i="18" s="1"/>
  <c r="E22" i="24"/>
  <c r="F22" i="24"/>
  <c r="Q28" i="18"/>
  <c r="P29" i="18"/>
  <c r="P36" i="18" s="1"/>
  <c r="P37" i="18" s="1"/>
  <c r="P38" i="18" s="1"/>
  <c r="P35" i="18"/>
  <c r="Q65" i="18"/>
  <c r="X30" i="18"/>
  <c r="M95" i="18" l="1"/>
  <c r="O88" i="18"/>
  <c r="N91" i="18"/>
  <c r="N93" i="18" s="1"/>
  <c r="Y30" i="18"/>
  <c r="R65" i="18"/>
  <c r="Q35" i="18"/>
  <c r="Q29" i="18"/>
  <c r="Q36" i="18" s="1"/>
  <c r="Q37" i="18" s="1"/>
  <c r="Q38" i="18" s="1"/>
  <c r="R28" i="18"/>
  <c r="M96" i="18" l="1"/>
  <c r="N95" i="18"/>
  <c r="P88" i="18"/>
  <c r="O91" i="18"/>
  <c r="O93" i="18" s="1"/>
  <c r="R29" i="18"/>
  <c r="R36" i="18" s="1"/>
  <c r="S28" i="18"/>
  <c r="R35" i="18"/>
  <c r="Z30" i="18"/>
  <c r="S65" i="18"/>
  <c r="N96" i="18" l="1"/>
  <c r="O95" i="18"/>
  <c r="Q88" i="18"/>
  <c r="P91" i="18"/>
  <c r="P93" i="18" s="1"/>
  <c r="R37" i="18"/>
  <c r="R38" i="18" s="1"/>
  <c r="T65" i="18"/>
  <c r="AA30" i="18"/>
  <c r="S29" i="18"/>
  <c r="S36" i="18" s="1"/>
  <c r="S37" i="18" s="1"/>
  <c r="S38" i="18" s="1"/>
  <c r="S35" i="18"/>
  <c r="T28" i="18"/>
  <c r="O96" i="18" l="1"/>
  <c r="P95" i="18"/>
  <c r="R88" i="18"/>
  <c r="Q91" i="18"/>
  <c r="Q93" i="18" s="1"/>
  <c r="U65" i="18"/>
  <c r="U28" i="18"/>
  <c r="T35" i="18"/>
  <c r="T29" i="18"/>
  <c r="T36" i="18" s="1"/>
  <c r="T37" i="18" s="1"/>
  <c r="P96" i="18" l="1"/>
  <c r="Q95" i="18"/>
  <c r="S88" i="18"/>
  <c r="R91" i="18"/>
  <c r="R93" i="18" s="1"/>
  <c r="T38" i="18"/>
  <c r="U29" i="18"/>
  <c r="U36" i="18" s="1"/>
  <c r="U37" i="18" s="1"/>
  <c r="U38" i="18" s="1"/>
  <c r="U35" i="18"/>
  <c r="V28" i="18"/>
  <c r="V65" i="18"/>
  <c r="Q96" i="18" l="1"/>
  <c r="R95" i="18"/>
  <c r="T88" i="18"/>
  <c r="S91" i="18"/>
  <c r="S93" i="18" s="1"/>
  <c r="W65" i="18"/>
  <c r="V29" i="18"/>
  <c r="V36" i="18" s="1"/>
  <c r="V37" i="18" s="1"/>
  <c r="V38" i="18" s="1"/>
  <c r="V35" i="18"/>
  <c r="W28" i="18"/>
  <c r="R96" i="18" l="1"/>
  <c r="S95" i="18"/>
  <c r="U88" i="18"/>
  <c r="T91" i="18"/>
  <c r="T93" i="18" s="1"/>
  <c r="X65" i="18"/>
  <c r="W35" i="18"/>
  <c r="X28" i="18"/>
  <c r="W29" i="18"/>
  <c r="W36" i="18" s="1"/>
  <c r="W37" i="18" s="1"/>
  <c r="S96" i="18" l="1"/>
  <c r="T95" i="18"/>
  <c r="V88" i="18"/>
  <c r="U91" i="18"/>
  <c r="U93" i="18" s="1"/>
  <c r="W38" i="18"/>
  <c r="X35" i="18"/>
  <c r="X29" i="18"/>
  <c r="X36" i="18" s="1"/>
  <c r="X37" i="18" s="1"/>
  <c r="X38" i="18" s="1"/>
  <c r="Y28" i="18"/>
  <c r="Y65" i="18"/>
  <c r="T96" i="18" l="1"/>
  <c r="U95" i="18"/>
  <c r="W88" i="18"/>
  <c r="V91" i="18"/>
  <c r="V93" i="18" s="1"/>
  <c r="Z65" i="18"/>
  <c r="Y35" i="18"/>
  <c r="Y29" i="18"/>
  <c r="Y36" i="18" s="1"/>
  <c r="Y37" i="18" s="1"/>
  <c r="Y38" i="18" s="1"/>
  <c r="Z28" i="18"/>
  <c r="U96" i="18" l="1"/>
  <c r="V95" i="18"/>
  <c r="X88" i="18"/>
  <c r="W91" i="18"/>
  <c r="W93" i="18" s="1"/>
  <c r="Z35" i="18"/>
  <c r="AA28" i="18"/>
  <c r="Z29" i="18"/>
  <c r="Z36" i="18" s="1"/>
  <c r="Z37" i="18" s="1"/>
  <c r="Z38" i="18" s="1"/>
  <c r="AA65" i="18"/>
  <c r="V96" i="18" l="1"/>
  <c r="W95" i="18"/>
  <c r="Y88" i="18"/>
  <c r="X91" i="18"/>
  <c r="X93" i="18" s="1"/>
  <c r="AA29" i="18"/>
  <c r="AA36" i="18" s="1"/>
  <c r="AA37" i="18" s="1"/>
  <c r="AA38" i="18" s="1"/>
  <c r="AA35" i="18"/>
  <c r="X95" i="18" l="1"/>
  <c r="W96" i="18"/>
  <c r="Z88" i="18"/>
  <c r="Y91" i="18"/>
  <c r="Y93" i="18" s="1"/>
  <c r="X96" i="18" l="1"/>
  <c r="Y95" i="18"/>
  <c r="AA88" i="18"/>
  <c r="AA91" i="18" s="1"/>
  <c r="AA93" i="18" s="1"/>
  <c r="Z91" i="18"/>
  <c r="Z93" i="18" s="1"/>
  <c r="Y96" i="18" l="1"/>
  <c r="AA95" i="18"/>
  <c r="Z95" i="18"/>
  <c r="Z96" i="18" l="1"/>
  <c r="F12" i="18"/>
  <c r="AA96" i="18"/>
  <c r="U29" i="24" l="1"/>
  <c r="U28" i="24"/>
  <c r="U27" i="24"/>
  <c r="U30" i="24"/>
  <c r="H12" i="10" l="1"/>
  <c r="H56" i="18" s="1"/>
  <c r="H74" i="18" s="1"/>
  <c r="G15" i="10"/>
  <c r="H15" i="10" l="1"/>
  <c r="J56" i="18"/>
  <c r="J74" i="18" s="1"/>
  <c r="L56" i="18"/>
  <c r="K56" i="18"/>
  <c r="K74" i="18" s="1"/>
  <c r="I56" i="18"/>
  <c r="I74" i="18" s="1"/>
  <c r="L74" i="18" l="1"/>
  <c r="L96" i="18" s="1"/>
  <c r="H75" i="18"/>
  <c r="K75" i="18"/>
  <c r="K96" i="18"/>
  <c r="I75" i="18"/>
  <c r="I96" i="18"/>
  <c r="J96" i="18"/>
  <c r="J75" i="18"/>
  <c r="L75" i="18"/>
  <c r="F10" i="18" l="1"/>
  <c r="D27" i="23" s="1"/>
  <c r="H96" i="18"/>
  <c r="F7" i="18" s="1"/>
  <c r="C11" i="24" s="1"/>
  <c r="F13" i="18"/>
  <c r="D18" i="23" l="1"/>
  <c r="C12" i="24"/>
  <c r="E12" i="24" s="1"/>
  <c r="F14" i="18"/>
  <c r="F9" i="18"/>
  <c r="F11" i="18" l="1"/>
  <c r="D25" i="23" s="1"/>
  <c r="C13" i="24" l="1"/>
  <c r="C25" i="24" s="1"/>
  <c r="C27" i="24" s="1"/>
  <c r="C32" i="24" l="1"/>
  <c r="C33" i="24"/>
  <c r="E13" i="24"/>
  <c r="F33" i="24" l="1"/>
  <c r="H33" i="24"/>
  <c r="L13" i="24" s="1"/>
  <c r="E33" i="24"/>
  <c r="L10" i="24" s="1"/>
  <c r="G33" i="24"/>
  <c r="L12" i="24" s="1"/>
  <c r="C26" i="24"/>
  <c r="F25" i="24"/>
  <c r="G25" i="24"/>
  <c r="G26" i="24" s="1"/>
  <c r="G27" i="24" s="1"/>
  <c r="E25" i="24"/>
  <c r="E26" i="24" s="1"/>
  <c r="E27" i="24" s="1"/>
  <c r="H25" i="24"/>
  <c r="H26" i="24" s="1"/>
  <c r="H27" i="24" s="1"/>
  <c r="F26" i="24" l="1"/>
  <c r="L11" i="24"/>
  <c r="F27" i="24" l="1"/>
</calcChain>
</file>

<file path=xl/sharedStrings.xml><?xml version="1.0" encoding="utf-8"?>
<sst xmlns="http://schemas.openxmlformats.org/spreadsheetml/2006/main" count="578" uniqueCount="471">
  <si>
    <t>Capacity (MVA)</t>
  </si>
  <si>
    <t>Year</t>
  </si>
  <si>
    <t>Weight in LRMC: %</t>
  </si>
  <si>
    <t>Capex: $/kW</t>
  </si>
  <si>
    <t>Discount rate: %</t>
  </si>
  <si>
    <t>Annuity term: yrs</t>
  </si>
  <si>
    <t>Annuitised capex: $/kW</t>
  </si>
  <si>
    <t>Annual LF%</t>
  </si>
  <si>
    <t>Annual overhead: $/kW</t>
  </si>
  <si>
    <t>Non-fuel variable cost: $/kWh</t>
  </si>
  <si>
    <t>Non-fuel costs: $/kWh</t>
  </si>
  <si>
    <t>Total costs: $/kWh</t>
  </si>
  <si>
    <t>Hydro</t>
  </si>
  <si>
    <t xml:space="preserve"> -</t>
  </si>
  <si>
    <t>Gas-CCGT</t>
  </si>
  <si>
    <t>Gas-OCGT</t>
  </si>
  <si>
    <t>Coal</t>
  </si>
  <si>
    <t>HFO-engines</t>
  </si>
  <si>
    <t>Diesel engines</t>
  </si>
  <si>
    <t>Fuel generation cost: $/kWh</t>
  </si>
  <si>
    <t>Demand Forecast</t>
  </si>
  <si>
    <t>Costs</t>
  </si>
  <si>
    <t>Benefits</t>
  </si>
  <si>
    <t>Capacity of new cable</t>
  </si>
  <si>
    <t>Energy demand (GWh)</t>
  </si>
  <si>
    <t>Peak load (MW)</t>
  </si>
  <si>
    <t>Energy (GWh)</t>
  </si>
  <si>
    <t>O&amp;M   (USD m)</t>
  </si>
  <si>
    <t>Expenditure on power imports (USD m)</t>
  </si>
  <si>
    <t xml:space="preserve">   Total costs (USD m)</t>
  </si>
  <si>
    <t>Net benefits USD m</t>
  </si>
  <si>
    <t>Total benefits USD m</t>
  </si>
  <si>
    <t>Urban - domestic</t>
  </si>
  <si>
    <t>Rural - domestic</t>
  </si>
  <si>
    <t>Commercial</t>
  </si>
  <si>
    <t>Weighted av. WTP</t>
  </si>
  <si>
    <t>Constrained energy (GWh)</t>
  </si>
  <si>
    <t>Constrained capacity (MVA)</t>
  </si>
  <si>
    <t>LRMC</t>
  </si>
  <si>
    <t>LRMC from Tanzania: USD/kWh</t>
  </si>
  <si>
    <t>LRMC distribution in Zanzibar: USD/kWh</t>
  </si>
  <si>
    <t xml:space="preserve">Project cable supply </t>
  </si>
  <si>
    <t>Energy demand growth rate: %</t>
  </si>
  <si>
    <t>-</t>
  </si>
  <si>
    <t>Value of energy: USD m</t>
  </si>
  <si>
    <t>Shares of consumption by user: %</t>
  </si>
  <si>
    <t>IDC scalar</t>
  </si>
  <si>
    <t>O&amp;M share of capex</t>
  </si>
  <si>
    <t>Network loss factor within Zanzibar</t>
  </si>
  <si>
    <t>Connections</t>
  </si>
  <si>
    <t>(Monetary values in constant 2013 $)</t>
  </si>
  <si>
    <t>Loss factors</t>
  </si>
  <si>
    <t>LRMC scaled for losses: c/kWh</t>
  </si>
  <si>
    <t>Transmission</t>
  </si>
  <si>
    <t>Distribution</t>
  </si>
  <si>
    <t>Total</t>
  </si>
  <si>
    <t>Inputs</t>
  </si>
  <si>
    <t>WTP scalar</t>
  </si>
  <si>
    <t>Base WTP (from WTP sheet)</t>
  </si>
  <si>
    <t>Urban dom.</t>
  </si>
  <si>
    <t>Rural dom.</t>
  </si>
  <si>
    <t>Capex Phasing</t>
  </si>
  <si>
    <t>%</t>
  </si>
  <si>
    <t>Asset Life for Depreciation (years)</t>
  </si>
  <si>
    <t>Generation (Mainland)</t>
  </si>
  <si>
    <t>Transmission (Mainland)</t>
  </si>
  <si>
    <t>Distribution (Island)</t>
  </si>
  <si>
    <t>LRMC in c/kWh (unscaled)</t>
  </si>
  <si>
    <t>Cost into cable</t>
  </si>
  <si>
    <t>Loss on cable</t>
  </si>
  <si>
    <t>Small</t>
  </si>
  <si>
    <t>Large</t>
  </si>
  <si>
    <t>Weighted average WTP:  c/kWh</t>
  </si>
  <si>
    <t>Base WTP estimate: c/kWh</t>
  </si>
  <si>
    <t>Weights</t>
  </si>
  <si>
    <t>Commercial - T2</t>
  </si>
  <si>
    <t>Domestic Urban - T1</t>
  </si>
  <si>
    <t>Domestic Rural - T1/D1</t>
  </si>
  <si>
    <t>Demand load factor: % (unconstrained)</t>
  </si>
  <si>
    <t>Loss on cable: %</t>
  </si>
  <si>
    <t>Technical losses within Zanzibar: %</t>
  </si>
  <si>
    <t>Distribution costs: USD m</t>
  </si>
  <si>
    <t>WTP</t>
  </si>
  <si>
    <t>Tanzania: Energy Sector Project</t>
  </si>
  <si>
    <t>ERR Version</t>
  </si>
  <si>
    <t>Original ERR</t>
  </si>
  <si>
    <t>Closeout ERR</t>
  </si>
  <si>
    <t>Date of ERR</t>
  </si>
  <si>
    <t>Amount of MCC funds</t>
  </si>
  <si>
    <t>Project Description</t>
  </si>
  <si>
    <t>Benefit streams included in ERR</t>
  </si>
  <si>
    <t>Increased investment and economic activity</t>
  </si>
  <si>
    <t>Value of energy delivered based on willingness-to-pay</t>
  </si>
  <si>
    <t>Power quality improvements</t>
  </si>
  <si>
    <t>Social gains in education and health</t>
  </si>
  <si>
    <t>Costs included in ERR 
(not borne by MCC)</t>
  </si>
  <si>
    <t>Operations and maintenance</t>
  </si>
  <si>
    <t>Connection costs</t>
  </si>
  <si>
    <t>Delivered cost of energy to consumers</t>
  </si>
  <si>
    <t>ERR estimations and time horizon</t>
  </si>
  <si>
    <t>Table of Contents</t>
  </si>
  <si>
    <t>One should read this sheet first, as it offers a summary of the project, a list of components, and states the economic rationale for the project.</t>
  </si>
  <si>
    <t>ERR &amp; Sensitivity Analysis</t>
  </si>
  <si>
    <t>This worksheet highlights key assumptions and summarizes how the ERR may change due to varying costs and benefits.</t>
  </si>
  <si>
    <t>Summary</t>
  </si>
  <si>
    <t>Poverty Scorecard</t>
  </si>
  <si>
    <t>This worksheet shows the cost effectiveness of the project broken out into different poverty categories.</t>
  </si>
  <si>
    <t>Zanzibar Interconnector Activity</t>
  </si>
  <si>
    <t>Activity Design History</t>
  </si>
  <si>
    <t>Original Project</t>
  </si>
  <si>
    <t>Project Changes at Closeout</t>
  </si>
  <si>
    <t>Activity Components</t>
  </si>
  <si>
    <t>Specifically, MCC Funding will support:</t>
  </si>
  <si>
    <t>Economic Rationale</t>
  </si>
  <si>
    <t>Closeout</t>
  </si>
  <si>
    <t>Last updated: 06/25/2009</t>
  </si>
  <si>
    <t>ERR and sensitivity analysis</t>
  </si>
  <si>
    <r>
      <t xml:space="preserve">Change the </t>
    </r>
    <r>
      <rPr>
        <sz val="10"/>
        <color rgb="FF0000FF"/>
        <rFont val="Arial"/>
        <family val="2"/>
      </rPr>
      <t>"User Input"</t>
    </r>
    <r>
      <rPr>
        <sz val="10"/>
        <rFont val="Arial"/>
        <family val="2"/>
      </rPr>
      <t xml:space="preserve"> cells in the table below to see the effect on the compact's Economic Rate of Return (ERR) and net benefits (see chart below).  To reset all values to the default MCC estimates, click the </t>
    </r>
    <r>
      <rPr>
        <sz val="10"/>
        <color rgb="FF0000FF"/>
        <rFont val="Arial"/>
        <family val="2"/>
      </rPr>
      <t xml:space="preserve">"Reset Parameters" </t>
    </r>
    <r>
      <rPr>
        <sz val="10"/>
        <rFont val="Arial"/>
        <family val="2"/>
      </rPr>
      <t>button at right.  Be sure to reset all summary parameters to their original values ("MCC Estimate" values) before changing specific parameters.</t>
    </r>
  </si>
  <si>
    <t>Parameter type</t>
  </si>
  <si>
    <t>Description of key parameters</t>
  </si>
  <si>
    <t>Parameter values</t>
  </si>
  <si>
    <t>User Input</t>
  </si>
  <si>
    <t>MCC Estimate</t>
  </si>
  <si>
    <t>Plausible Range</t>
  </si>
  <si>
    <t xml:space="preserve">Values used in ERR computation </t>
  </si>
  <si>
    <t>All summary parameters set to initial values?</t>
  </si>
  <si>
    <t>Actual costs as a percentage of estimated costs</t>
  </si>
  <si>
    <t>80%-120%</t>
  </si>
  <si>
    <t>Actual benefits as a percentage of estimated benefits</t>
  </si>
  <si>
    <t>Specific</t>
  </si>
  <si>
    <t>All specific parameters set to initial values?</t>
  </si>
  <si>
    <t xml:space="preserve">User Generated Economic rate of return (ERR)*: </t>
  </si>
  <si>
    <t>MCC Estimated ERRs:</t>
  </si>
  <si>
    <t>Original</t>
  </si>
  <si>
    <t>ERR</t>
  </si>
  <si>
    <t>Date</t>
  </si>
  <si>
    <t>Present Value (PV) of Benefits:</t>
  </si>
  <si>
    <t>Present Value (PV) of MCC Costs:</t>
  </si>
  <si>
    <t xml:space="preserve">* This is the only ERR figure linked to other spreadsheets. "Original," "Revised," and "Closeout" ERRs are all static for purposes of illustration. </t>
  </si>
  <si>
    <r>
      <rPr>
        <vertAlign val="superscript"/>
        <sz val="8"/>
        <rFont val="Arial"/>
        <family val="2"/>
      </rPr>
      <t>1</t>
    </r>
    <r>
      <rPr>
        <sz val="8"/>
        <rFont val="Arial"/>
        <family val="2"/>
      </rPr>
      <t xml:space="preserve"> This graph presents the yearly benefits accrued as a result of the project, minus the yearly costs to MCC of implementing the project.</t>
    </r>
  </si>
  <si>
    <t>Tanzania: Zanzibar Interconnector Activity</t>
  </si>
  <si>
    <t>Bar Chart Data</t>
  </si>
  <si>
    <t>2013 US$</t>
  </si>
  <si>
    <t>2005 PPP $</t>
  </si>
  <si>
    <t>Activity/Sub-activity</t>
  </si>
  <si>
    <t>National Income Distribution</t>
  </si>
  <si>
    <r>
      <t xml:space="preserve">MCC Cost </t>
    </r>
    <r>
      <rPr>
        <b/>
        <sz val="8"/>
        <rFont val="Arial"/>
        <family val="2"/>
      </rPr>
      <t>(Millions USD)</t>
    </r>
  </si>
  <si>
    <t>Consump. &lt;$1.25/day</t>
  </si>
  <si>
    <t>20-Year ERR</t>
  </si>
  <si>
    <t>Consump. &gt;=$1.25/day and &lt;$2/day</t>
  </si>
  <si>
    <r>
      <t xml:space="preserve">Present Value (PV) of Investment Costs </t>
    </r>
    <r>
      <rPr>
        <b/>
        <sz val="8"/>
        <rFont val="Arial"/>
        <family val="2"/>
      </rPr>
      <t>(Millions USD)</t>
    </r>
  </si>
  <si>
    <t>Consump. &gt;=$2/day and &lt;$4/day</t>
  </si>
  <si>
    <r>
      <t xml:space="preserve">Present Value </t>
    </r>
    <r>
      <rPr>
        <b/>
        <sz val="8"/>
        <rFont val="Arial"/>
        <family val="2"/>
      </rPr>
      <t>(PV)</t>
    </r>
    <r>
      <rPr>
        <b/>
        <sz val="9"/>
        <rFont val="Arial"/>
        <family val="2"/>
      </rPr>
      <t xml:space="preserve"> of Benefit Stream </t>
    </r>
    <r>
      <rPr>
        <b/>
        <sz val="8"/>
        <rFont val="Arial"/>
        <family val="2"/>
      </rPr>
      <t>(Millions USD)</t>
    </r>
  </si>
  <si>
    <t>Consump. &gt;$4/day</t>
  </si>
  <si>
    <t>Consumption per day (2005 PPP $)</t>
  </si>
  <si>
    <t>Beneficiaries</t>
  </si>
  <si>
    <t>&lt; $1.25</t>
  </si>
  <si>
    <r>
      <t xml:space="preserve">&lt; $2 </t>
    </r>
    <r>
      <rPr>
        <vertAlign val="superscript"/>
        <sz val="9"/>
        <rFont val="Arial"/>
        <family val="2"/>
      </rPr>
      <t>1</t>
    </r>
    <r>
      <rPr>
        <sz val="9"/>
        <rFont val="Arial"/>
        <family val="2"/>
      </rPr>
      <t xml:space="preserve"> </t>
    </r>
  </si>
  <si>
    <t>$2-$4</t>
  </si>
  <si>
    <t>&gt; $4</t>
  </si>
  <si>
    <t>National Poverty Statistics</t>
  </si>
  <si>
    <r>
      <t xml:space="preserve">Beneficiary Households in Year 20 </t>
    </r>
    <r>
      <rPr>
        <sz val="8"/>
        <rFont val="Arial"/>
        <family val="2"/>
      </rPr>
      <t>(#)</t>
    </r>
  </si>
  <si>
    <t>Poverty Category</t>
  </si>
  <si>
    <t>% of National HH</t>
  </si>
  <si>
    <t>Avg. HH Size</t>
  </si>
  <si>
    <t>% of Population</t>
  </si>
  <si>
    <t>2028 Est. Pop</t>
  </si>
  <si>
    <t>Mean Annual Income/Capita</t>
  </si>
  <si>
    <t>Total Income/Group</t>
  </si>
  <si>
    <t>Income Share/Group</t>
  </si>
  <si>
    <r>
      <t xml:space="preserve">Beneficiary Individuals in Year 20 </t>
    </r>
    <r>
      <rPr>
        <sz val="8"/>
        <rFont val="Arial"/>
        <family val="2"/>
      </rPr>
      <t>(#)</t>
    </r>
  </si>
  <si>
    <t>&lt;$1.25 / day</t>
  </si>
  <si>
    <r>
      <t xml:space="preserve">National Population in Year 20 </t>
    </r>
    <r>
      <rPr>
        <vertAlign val="superscript"/>
        <sz val="9"/>
        <rFont val="Arial"/>
        <family val="2"/>
      </rPr>
      <t>2</t>
    </r>
    <r>
      <rPr>
        <sz val="9"/>
        <rFont val="Arial"/>
        <family val="2"/>
      </rPr>
      <t xml:space="preserve"> </t>
    </r>
    <r>
      <rPr>
        <sz val="8"/>
        <rFont val="Arial"/>
        <family val="2"/>
      </rPr>
      <t>(#)</t>
    </r>
  </si>
  <si>
    <t>$1.25 - $1.99 / day</t>
  </si>
  <si>
    <t>$2 - $4 / day</t>
  </si>
  <si>
    <r>
      <t xml:space="preserve">Beneficiary Population by Poverty Level </t>
    </r>
    <r>
      <rPr>
        <vertAlign val="superscript"/>
        <sz val="9"/>
        <rFont val="Arial"/>
        <family val="2"/>
      </rPr>
      <t>3</t>
    </r>
    <r>
      <rPr>
        <sz val="9"/>
        <rFont val="Arial"/>
        <family val="2"/>
      </rPr>
      <t xml:space="preserve"> </t>
    </r>
    <r>
      <rPr>
        <sz val="8"/>
        <rFont val="Arial"/>
        <family val="2"/>
      </rPr>
      <t>(%)</t>
    </r>
  </si>
  <si>
    <t>&gt;$4 / day</t>
  </si>
  <si>
    <r>
      <t xml:space="preserve">National Population by Poverty Level </t>
    </r>
    <r>
      <rPr>
        <vertAlign val="superscript"/>
        <sz val="9"/>
        <rFont val="Arial"/>
        <family val="2"/>
      </rPr>
      <t>3</t>
    </r>
    <r>
      <rPr>
        <sz val="9"/>
        <rFont val="Arial"/>
        <family val="2"/>
      </rPr>
      <t xml:space="preserve"> </t>
    </r>
    <r>
      <rPr>
        <sz val="8"/>
        <rFont val="Arial"/>
        <family val="2"/>
      </rPr>
      <t>(%)</t>
    </r>
  </si>
  <si>
    <t>&lt; $2.00 / day</t>
  </si>
  <si>
    <r>
      <t>The Magnitude of the Benefits</t>
    </r>
    <r>
      <rPr>
        <b/>
        <vertAlign val="superscript"/>
        <sz val="9"/>
        <rFont val="Arial"/>
        <family val="2"/>
      </rPr>
      <t>5</t>
    </r>
  </si>
  <si>
    <r>
      <t xml:space="preserve">PV of Benefit Stream Per Beneficiary </t>
    </r>
    <r>
      <rPr>
        <sz val="8"/>
        <rFont val="Arial"/>
        <family val="2"/>
      </rPr>
      <t xml:space="preserve">(2013 US$) </t>
    </r>
  </si>
  <si>
    <t>% of Beneficiary HH</t>
  </si>
  <si>
    <t>2028 Est. Ben.</t>
  </si>
  <si>
    <t>Total Spending on Utilities (Tsh)</t>
  </si>
  <si>
    <t xml:space="preserve">Total Benefits by Pov Group </t>
  </si>
  <si>
    <t>% female</t>
  </si>
  <si>
    <r>
      <t xml:space="preserve">PV of Benefit Stream Per Beneficiary </t>
    </r>
    <r>
      <rPr>
        <sz val="8"/>
        <rFont val="Arial"/>
        <family val="2"/>
      </rPr>
      <t xml:space="preserve">(2005 PPP $) </t>
    </r>
  </si>
  <si>
    <r>
      <t>PV of Benefit Stream as Share of Annual Consumption</t>
    </r>
    <r>
      <rPr>
        <sz val="8"/>
        <rFont val="Arial"/>
        <family val="2"/>
      </rPr>
      <t xml:space="preserve"> (%)</t>
    </r>
  </si>
  <si>
    <t>Cost Effectiveness</t>
  </si>
  <si>
    <t>PV of Benefit Stream/PV of All Costs</t>
  </si>
  <si>
    <t>PV of Benefit Stream/MCC Costs</t>
  </si>
  <si>
    <r>
      <t>Percent of Project Participants Who Are Female</t>
    </r>
    <r>
      <rPr>
        <b/>
        <vertAlign val="superscript"/>
        <sz val="9"/>
        <rFont val="Arial"/>
        <family val="2"/>
      </rPr>
      <t>6</t>
    </r>
  </si>
  <si>
    <t>Average Annual Consumption of Beneficiaries (2005 PPP $)</t>
  </si>
  <si>
    <r>
      <t xml:space="preserve">National Average Income per capita </t>
    </r>
    <r>
      <rPr>
        <vertAlign val="superscript"/>
        <sz val="9"/>
        <rFont val="Arial"/>
        <family val="2"/>
      </rPr>
      <t xml:space="preserve">4 </t>
    </r>
    <r>
      <rPr>
        <sz val="9"/>
        <rFont val="Arial"/>
        <family val="2"/>
      </rPr>
      <t>(2005 PPP $)</t>
    </r>
  </si>
  <si>
    <t>National Population (2013)</t>
  </si>
  <si>
    <t>NB: PV of benefits based on 10% discount rate, exclude MCC costs, and include local costs</t>
  </si>
  <si>
    <t>% of Ben. Population</t>
  </si>
  <si>
    <t xml:space="preserve">PV of Benefit Stream / Beneficiary </t>
  </si>
  <si>
    <t>NB: Beneficiaries for this project are defined as households connected or expected to be connected to the national electricity grid</t>
  </si>
  <si>
    <r>
      <t xml:space="preserve">1    </t>
    </r>
    <r>
      <rPr>
        <sz val="8"/>
        <rFont val="Arial"/>
        <family val="2"/>
      </rPr>
      <t>The beneficiaries and population living on less than $2 per day include those under $1.25 per day</t>
    </r>
  </si>
  <si>
    <r>
      <t xml:space="preserve">2    </t>
    </r>
    <r>
      <rPr>
        <sz val="8"/>
        <rFont val="Arial"/>
        <family val="2"/>
      </rPr>
      <t>Based on 2012 Tanzania Census counts, using the intercensal growth rate (2002-2012) to project to 2028.</t>
    </r>
  </si>
  <si>
    <r>
      <t xml:space="preserve">3    </t>
    </r>
    <r>
      <rPr>
        <sz val="8"/>
        <rFont val="Arial"/>
        <family val="2"/>
      </rPr>
      <t>Based on MCC calculations using the 2010-11 Tanzania Panel Survey.</t>
    </r>
  </si>
  <si>
    <r>
      <t xml:space="preserve">4 </t>
    </r>
    <r>
      <rPr>
        <sz val="8"/>
        <rFont val="Arial"/>
        <family val="2"/>
      </rPr>
      <t xml:space="preserve"> Based on MCC calculations using the 2010-11 Tanzania Panel Survey.</t>
    </r>
  </si>
  <si>
    <r>
      <rPr>
        <vertAlign val="superscript"/>
        <sz val="8"/>
        <rFont val="Arial"/>
        <family val="2"/>
      </rPr>
      <t xml:space="preserve">5 </t>
    </r>
    <r>
      <rPr>
        <sz val="8"/>
        <rFont val="Arial"/>
        <family val="2"/>
      </rPr>
      <t xml:space="preserve">  The distribution of benefits is based on current distribution of income and average energy expenditures.</t>
    </r>
  </si>
  <si>
    <r>
      <rPr>
        <vertAlign val="superscript"/>
        <sz val="8"/>
        <rFont val="Arial"/>
        <family val="2"/>
      </rPr>
      <t>6</t>
    </r>
    <r>
      <rPr>
        <sz val="8"/>
        <rFont val="Arial"/>
        <family val="2"/>
      </rPr>
      <t xml:space="preserve">   Based on MCC calculations using the 2010-11 Tanzania Panel Survey.</t>
    </r>
  </si>
  <si>
    <t>Beneficiary Estimates</t>
  </si>
  <si>
    <t>Y0</t>
  </si>
  <si>
    <t>Y1</t>
  </si>
  <si>
    <t>Y2</t>
  </si>
  <si>
    <t>Y3</t>
  </si>
  <si>
    <t>Y4</t>
  </si>
  <si>
    <t>Y5</t>
  </si>
  <si>
    <t>Y6</t>
  </si>
  <si>
    <t>Y7</t>
  </si>
  <si>
    <t>Y8</t>
  </si>
  <si>
    <t>Y9</t>
  </si>
  <si>
    <t>Y10</t>
  </si>
  <si>
    <t>Y11</t>
  </si>
  <si>
    <t>Y12</t>
  </si>
  <si>
    <t>Y13</t>
  </si>
  <si>
    <t>Y14</t>
  </si>
  <si>
    <t>Y15</t>
  </si>
  <si>
    <t>Y16</t>
  </si>
  <si>
    <t>Y17</t>
  </si>
  <si>
    <t>Y18</t>
  </si>
  <si>
    <t>Y19</t>
  </si>
  <si>
    <t>Y20</t>
  </si>
  <si>
    <t>Tanzania Population</t>
  </si>
  <si>
    <t>Region</t>
  </si>
  <si>
    <t>Growth rate</t>
  </si>
  <si>
    <t>2002 Census</t>
  </si>
  <si>
    <t>2012 Census</t>
  </si>
  <si>
    <t>Tanzania Total</t>
  </si>
  <si>
    <t>Mainland</t>
  </si>
  <si>
    <t>Willingness to Pay Calculations</t>
  </si>
  <si>
    <t>Long Run Marginal Cost Calculations</t>
  </si>
  <si>
    <t>Benefit-Cost Analysis</t>
  </si>
  <si>
    <t>Assumptions</t>
  </si>
  <si>
    <t>Investment Costs</t>
  </si>
  <si>
    <t>Supervision: Million USD</t>
  </si>
  <si>
    <t>Technical assistance: Million USD</t>
  </si>
  <si>
    <t>Feasibility &amp; Design Studies: Million USD</t>
  </si>
  <si>
    <t>Environmental mitigation and resettlement</t>
  </si>
  <si>
    <t>Program and administration costs: Million USD</t>
  </si>
  <si>
    <t>Monitoring and evaluation costs: Million USD</t>
  </si>
  <si>
    <t>Investment costs</t>
  </si>
  <si>
    <t>MCC</t>
  </si>
  <si>
    <t>GOT</t>
  </si>
  <si>
    <t>Capital costs</t>
  </si>
  <si>
    <t>Supervision</t>
  </si>
  <si>
    <t>Resettlement</t>
  </si>
  <si>
    <t>Feasibility Studies</t>
  </si>
  <si>
    <t>Technical assistance</t>
  </si>
  <si>
    <t>Administrative Costs</t>
  </si>
  <si>
    <t>M&amp;E Costs</t>
  </si>
  <si>
    <t>ERRs (economic internal rates of return)</t>
  </si>
  <si>
    <t>20-year ERR:</t>
  </si>
  <si>
    <t>Present Values (2013 USDm, 10% discount rate)</t>
  </si>
  <si>
    <t>Net benefits</t>
  </si>
  <si>
    <t>Net local benefits</t>
  </si>
  <si>
    <t>All costs</t>
  </si>
  <si>
    <t>All benefits</t>
  </si>
  <si>
    <t>Benefit:cost ratio</t>
  </si>
  <si>
    <t>Kaskazini Unguja</t>
  </si>
  <si>
    <t>Kusini Unguja</t>
  </si>
  <si>
    <t>Mjini Magharibi</t>
  </si>
  <si>
    <t>Kaskazini Pemba</t>
  </si>
  <si>
    <t>Kusini Pemba</t>
  </si>
  <si>
    <t>Zanzibar - Unguja</t>
  </si>
  <si>
    <t>Zanzibar - Pemba</t>
  </si>
  <si>
    <t>Compact Year</t>
  </si>
  <si>
    <t>D1</t>
  </si>
  <si>
    <t>T1</t>
  </si>
  <si>
    <t>T2 &amp; T3</t>
  </si>
  <si>
    <t>Increase the electric power supply to Zanzibar’s Unguja Island by laying a submarine transmission cable, to make associated investments to increase the capacity of certain overhead transmission lines and to rehabilitate the main substation near Zanzibar Town.</t>
  </si>
  <si>
    <t>Insurance value of avoided blackout</t>
  </si>
  <si>
    <t>20.3% over 25 years</t>
  </si>
  <si>
    <t>Change</t>
  </si>
  <si>
    <t>% change</t>
  </si>
  <si>
    <t>Annual customer connection growth: %</t>
  </si>
  <si>
    <t>Total customer connections: '000</t>
  </si>
  <si>
    <t>% of total</t>
  </si>
  <si>
    <t>Willingness-to-pay estimates as a percentage of base estimates</t>
  </si>
  <si>
    <t>50%-130%</t>
  </si>
  <si>
    <t>Long run marginal cost of energy, excluding losses (US$/kWh)</t>
  </si>
  <si>
    <t>$0.10-0.22</t>
  </si>
  <si>
    <t>Annual growth of customer connections</t>
  </si>
  <si>
    <t>1-7%</t>
  </si>
  <si>
    <t>Capex</t>
  </si>
  <si>
    <t>Base Case</t>
  </si>
  <si>
    <t>Calculations for Tanzania long run marginal cost (LRMC) of electricity generation: USD/kWh at station gate</t>
  </si>
  <si>
    <t>Plant efficiency: % HHV</t>
  </si>
  <si>
    <t xml:space="preserve">Delivered fuel cost: $/GJ </t>
  </si>
  <si>
    <t>Beneficiary Households</t>
  </si>
  <si>
    <t>Beneficiary Households per Year</t>
  </si>
  <si>
    <t>Beneficiaries per Year</t>
  </si>
  <si>
    <t>2012 Pop.</t>
  </si>
  <si>
    <t>% of Pop.</t>
  </si>
  <si>
    <t>Weighted average</t>
  </si>
  <si>
    <t>$63.1 million</t>
  </si>
  <si>
    <t>Activity Description</t>
  </si>
  <si>
    <t>Lists the financial, economic and logistical assumptions used in the analysis.</t>
  </si>
  <si>
    <t>Estimates the willingness to pay for new electrical services for households and businesses in the impact area.</t>
  </si>
  <si>
    <t>Estimates the long-run marginal cost of generation, along with network losses, in Tanzania.</t>
  </si>
  <si>
    <t>Displays the inputs and results of the Monte Carlo simulation conducted to test sensitivity</t>
  </si>
  <si>
    <t>Estimates the number of project beneficiaries.</t>
  </si>
  <si>
    <t>Estimates the annual economic costs and benefits of the Zanzibar Interconnector Activity and computes the resulting ERR over a 20-year time period.</t>
  </si>
  <si>
    <t xml:space="preserve">     1.   Final design, and an environmental assessment, together with any resulting resettlement action plans, environmental 
             management plans, and occupational health and safety standards.</t>
  </si>
  <si>
    <t xml:space="preserve">     2.   Construction and installation of an approximately 40 km-long, 132kV, 100MW capacity submarine electric transmission 
             cable (including telecom fiber optic shield wire) from Ras Kiromoni on the mainland to Ras Fumba on Unguja Island.</t>
  </si>
  <si>
    <t xml:space="preserve">     3.   Installation of a 132kV switchgear at Ubungo substation and laying of an approximately 20 km-long, supplementary
             132kV overhead line along an existing transmission line from Ubungo to Ras Kiromoni.</t>
  </si>
  <si>
    <t xml:space="preserve">     4.   Laying of an approximately 22 km-long, supplementary 132kV overhead line along an existing transmission line from 
             Ras Fumba to Mtoni substation.</t>
  </si>
  <si>
    <t xml:space="preserve">     5.   Adding 120MVA of 132/33kV transformation capacity to the Mtoni substation on Unguja Island.</t>
  </si>
  <si>
    <t xml:space="preserve">     6.   Capacity building and technical support for TANESCO and ZECO, including assistance with preparation of engineering 
             design and bidding documents, tender review, supervision of construction, project management, and quality control.</t>
  </si>
  <si>
    <t xml:space="preserve">     7.   Project coordination and construction supervision of all improvements and upgrades under the Zanzibar Interconnector 
             Activity.</t>
  </si>
  <si>
    <t>In modeling the impact of MCC’s energy investments on economic growth and incomes, we include the following benefits, all of which are ultimately related to growth in income:</t>
  </si>
  <si>
    <r>
      <t xml:space="preserve">     1.  </t>
    </r>
    <r>
      <rPr>
        <i/>
        <sz val="10"/>
        <rFont val="Arial"/>
        <family val="2"/>
      </rPr>
      <t xml:space="preserve"> Increased investment and economic activity</t>
    </r>
    <r>
      <rPr>
        <sz val="10"/>
        <rFont val="Arial"/>
        <family val="2"/>
      </rPr>
      <t>.  The provision of additional supplies of energy should increase investment 
             and economic activity in the affected regions. The basis for the analysis here is Calderon and Serven, 2005.</t>
    </r>
    <r>
      <rPr>
        <vertAlign val="superscript"/>
        <sz val="10"/>
        <rFont val="Arial"/>
        <family val="2"/>
      </rPr>
      <t>1</t>
    </r>
  </si>
  <si>
    <r>
      <t xml:space="preserve">     3.   </t>
    </r>
    <r>
      <rPr>
        <i/>
        <sz val="10"/>
        <rFont val="Arial"/>
        <family val="2"/>
      </rPr>
      <t>Social gains in education and health</t>
    </r>
    <r>
      <rPr>
        <sz val="10"/>
        <rFont val="Arial"/>
        <family val="2"/>
      </rPr>
      <t>.  There are considerable social and environmental benefits arising from providing 
             more energy in addition to the benefits described above. The main social benefits arise from improvements in education 
             and health, including health benefits related to avoiding emissions from diesel and kerosene use. These social benefits 
             are primarily associated with smaller domestic customers, where the replacement energy is non-electric and there is a 
             closer link to health and education.</t>
    </r>
  </si>
  <si>
    <r>
      <t xml:space="preserve">     4.   </t>
    </r>
    <r>
      <rPr>
        <i/>
        <sz val="10"/>
        <rFont val="Arial"/>
        <family val="2"/>
      </rPr>
      <t>Insurance value of avoided blackout</t>
    </r>
    <r>
      <rPr>
        <sz val="10"/>
        <rFont val="Arial"/>
        <family val="2"/>
      </rPr>
      <t>.  Aside from businesses and households running private generators, Unguja Island 
             is entirely dependent on power supplied by an existing cable from the mainland. The counterfactual used in evaluating 
             an investment in a new cable is continued reliance on the old cable, which is near the end of its rated lifetime. The 
             prospect of a failure of the cable is real, and would imply months of blackout conditions until an alternative power source 
             could be brought online (such as massive generators on barges).</t>
    </r>
  </si>
  <si>
    <r>
      <t>1</t>
    </r>
    <r>
      <rPr>
        <sz val="10"/>
        <rFont val="Arial"/>
        <family val="2"/>
      </rPr>
      <t xml:space="preserve"> Cesar Calderon and Luis Serven. (2005) “The Effects of Infrastructure Development on Growth and Income Distribution,” World Bank Working Paper, WPS 3400.</t>
    </r>
  </si>
  <si>
    <r>
      <t xml:space="preserve">     2.   </t>
    </r>
    <r>
      <rPr>
        <i/>
        <sz val="10"/>
        <rFont val="Arial"/>
        <family val="2"/>
      </rPr>
      <t>Power quality improvements</t>
    </r>
    <r>
      <rPr>
        <sz val="10"/>
        <rFont val="Arial"/>
        <family val="2"/>
      </rPr>
      <t>.  Benefits from improved power quality are likely to be realized as a result of the improved 
             reliability of electricity supply. We have valued the impact of improved power quality on the basis of the avoided cost of 
             running electrical protection equipment. We assume that all larger users operate protection equipment and that 25% of 
             larger domestic consumers also do.</t>
    </r>
    <r>
      <rPr>
        <sz val="10"/>
        <rFont val="Arial"/>
        <family val="2"/>
      </rPr>
      <t xml:space="preserve"> We have not included the additional costs of damage to consumer equipment, 
             given the lack of data on appliance lives and costs.</t>
    </r>
  </si>
  <si>
    <t>Original Project ERR</t>
  </si>
  <si>
    <t xml:space="preserve">The estimation of economic returns for the activity is based on valuing the energy delivered to new and existing customers from the new and upgraded network capacity on the basis of customers willingness to pay (WTP).  Power quality benefits and dynamic economic benefits counted in the previous economic analysis are not including in the current formulation, which is seeking to focus on the core benefits. </t>
  </si>
  <si>
    <t>No significant changes to the scope of the Zanzibar Interconnector Activity, although costs have increased slightly.</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</si>
  <si>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</si>
  <si>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</si>
  <si>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</si>
  <si>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</si>
  <si>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</si>
  <si>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</si>
  <si>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</si>
  <si>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</si>
  <si>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</si>
  <si>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</si>
  <si>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</si>
  <si>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</si>
  <si>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c25e5774-dff6-44f8-9554-7611c8793387</t>
  </si>
  <si>
    <t>CB_Block_0</t>
  </si>
  <si>
    <t>㜸〱敤㕣㕢㙣ㅣ㔷ㄹ摥㌳摥㔹敦慣敤搸㡤搳㑢㝡㌵㠴㔲愸㠳ㅢ愷〹㙤㠱㄰㝣㘹㉥挵㠹摤搸㐹㐱㠰㌶攳摤㌳昱㌴㍢㌳敥捣慣ㄳ㤷㑡慤愰攵㈲㈸㐸摣㐴愱㕣㔴㈱㈴㕥戸扣㜰㝦㐱㐲〲愱㈰㈱〱て㈰㈴ち㐲昰〰㐲㤱㜸攱〱〹扥敦捣捣敥散慥㜷散㙥㕢㜰㤱㡦攳摦㘷捥㙤捥㌹晦昵晣晦㤹攴㐴㉥㤷晢㌷ㄲ晦㌲攵㤹戹㜹㜱㍤〸愵㌳㌱攳搵㙡戲ㄲ摡㥥ㅢ㑣㑣昹扥戹㍥㘷〷㘱ㅦㅡㄴ捡㌶敡〳扤ㅣ搸㡦捡㘲㜹㑤晡〱ㅡ改戹㕣戱㘸㘸愸攷㈰晣ㅤ㐹ㅥっ昶ㅡ捣〳㉣捤㑣捦㉦㍦㡣㔱ㄷ㐳捦㤷晢挷捥㐵㝤㡦㑣㑥㑥攰攷搰愱㝢㈷づ散ㅦ㥢愹搷挲扡㉦㡦戸戲ㅥ晡㘶㙤晦搸㐲㝤戹㘶㔷摥㉥搷㤷扣㡢搲㍤㈲㤷て摣扤㙣ㅥ扡㜷昲搰攱挳搶㝤昷摤㍢㠸㔷攷㑥捦㑣㉦昸搲ち㕥愲㌱㜵㑥昹搰慣慣搸㕣㥢㤴扥敤㕥㤸㤸㤹挶扦搴晣昱㜴捦挴攲㡡㤴㈱㕦㉤㝤改㔶㘴㘰愰攳㠰㌳ㄵ〴㜵㘷㤵㥢㘷㌸挷戰搴㡡ㄹ㠴扡㌳㈳㙢㌵挳㐹㐶㉤㍡昳搸扢㥡戹㍥攸㉣㑡㌷戰㐳㝢捤づ搷ぢ捥ㄲ〶慡づ㌹㘷〳㜹挶㜴㉦挸搳愶㈳㜵攷㜸摤慥收愳㤴敢扢㈳ㄹ㈲㍤㌱戵晣㠹愹挰㤹㔹㌱㝤㌵愳㠰ㅢ㤳搱昶㤸㕦㘹㙤扢慦晢戸㥣扡㝡〳挷扣扤㝢㍢搴㥣㌳晤㐶换昱敥㉤攳挵户捥攰慥敥敤㔳㝢搴摡攷昵摤晢愸慤㙣㙤㉤〶㘲晡㔶㍢㡡挵ㄸ〵㠲㝥㠲㈲〱ㄱ㘸㤴〸〶〸〶〱㐴晥ㅦ攰㤲㜴㐷㔶㘹㘵㔳㉢㉦㙢攵㡡㔶慥㙡㘵愹㤵㉤慤㝣㐱㉢慦㘸㘵㕢㉢㍦慣㤵㉦愲㑤㤲㡡晤晤㕡㥣捥改晢㙥昹攵搳㕦㥡晤攴㙦㙦扡昲㠷搹〷㝦㍦戸ぢ㡤ㅥ㡣㈷㌵敢㥢㤷㐰㙡㑤㉡㍥㌸㜱㠰㍦㥢㜳〵㤸挲㍡㙣摤㘳㑤㑥㔶てㅦ㌰敦㌶㜵㉥㉢〳昹㉤㠴㌲㠲戶㠳搶㐳戶㕢昵㉥㈹摣摤㍣㙤〶戲戹㜱攳㜱摤戴㔷㜷慢挱㑤ㅢ㔷㉥㠶㘶㈸㙦㙣慦㙢づ搲搱㙤ㄱ㙣㈵〳昵扥㕢摢扢㥤㌳㙢㜵㌹㜵搹㡥慡㙦㘹慢㜶ㄶ㝣㙦戹㝢敤㌱㕦㍥搲愸敤㤸搱ㄴ㠴摡㥡ㅡ扢㘳㤵㔱㔵㌴慦戱㤹ㄵ㉦㤰慥㥡摥戸戳㘰㔷㉥㑡㝦㔱㔲㈴捡慡㕡敡戵慣㡡戹㝥㝣摥挵㐲挱慤搵㔷愷㑢慤晢㉦㠷㘰㘶㔹挵㝣㔷愵ㅦ慥㉦㤹换㌵㜹㕤㑢㤳攸㥤愸搸摢㔲㝣捣慢搴㠳ㄹ捦つ㝤慦搶㕡㌳㔵㕤㌳㈱㘹慡愷扣慡捣攷㜳㑡㈸㐰攰昶昵〹㤱扢戳㍢㉦㈸㐴愴㔰㑣㐶扥愱㤵散㈶捥㘰㜵㔸㐵㑤㤲㈶戵搷㙣㌲ㄸ攷慢㘴㑣〶〷愶搶㐴晤挱㤷扥㙥㤳㘱ㅢ㤸㝢㜹ㅢ㙢摡㘸扣晡晢搷愴ㅢ㥥㌰摤㙡㑤晡㤹摡㑦㜰㐶挶㌰㠰㝥ㄵ〲愱敢敥㔱搵㠹换㘲㕤扦㘴㔷挳㤵挲㡡戴㉦慣㠴㈸㠳㠶㉣ㄶ戹戵ㅤ挹戸〶㐵挶㙥㠲㔱㠰㔲㈹㔷搸挳㐶㠵ㄲ㔲㑥愷㜴捡攰攵ㄶ㐱捥㝥㉤扣㍣㘸ㅤ戳㙢愱㡣㠴昲戰〵㡣㐴㕡㑤愱㙦㠸㈴敡㥢㤵㐸㘱散戱㘶㐰愵愶敤㠶敢㑤扥敤攰㤲㠸㠸㜶㘴挱戶㤳〵ㄴ〵慤昲㈰㠳搷㐰㌴㙤搲㈰扢㜱㡡㠸挸〶ㄹ㥡ㅤ㈳户ㄲㄹ摢㘷挸〸戴㑦ㄳ㈱㕢ㅦ攸㉥㈳㐸散㥤㐴捡㑥㕤昹㜱㐷㥡㙤㘴换㐷搲散㕡㙣㥣㜱ㅤ挱昵〴㌷㄰散〵㄰㝦㠶㠴愳㤴㐳扥㌵ㄹ㌷攱搹戸㤹攰ㄶ〰挸㈷㠳㌲㈷ㄶ㔵戴愱戶㘲㐷戲摤㄰散㘴㘵ㄴ㐷愲㠸㤶㜱挳捥ㅣ㜲ㄴ愲㘳慢㜳㝢攸摡扣搲戱慦敤㑥㥢改攵㤰㈲㌳㥡愶搷扡㐹搳昴㐶戰㘹㡦㝡敢㌶㜴㌵挶〸㕥〵㔰㌲㕥㑤〸攵㐲㠳㜷㙢ㄶ㍤㑤捡㔷㠴㔹ㄴㄹ㐳㍤㉡昸㤸㤰㜹〴挸㄰㜲ㅤ挷㤷ㅤㅢ㥡收攰戸昵㡡户愱昷㜷攷敦ㄸ改㙤㝡㜳㐷敦搰㕦昴〲慤攸㝤㘰㉦昱扢慥㍡收㜶㔴ㅢ慦㈵戸〳愰㑤挷昰昴晤㐲㍤〵捡㉣㜶㔲㤸摢㑤慦㡢戲㜲㤷搶㔷愵搲㐰㠳搶㤲改㕦㤰㈱㍣ㄸ㈷㘷㘱ぢ㝢扥㉦㙢㌸搴㔶㔵〱捦㉦搷户ㄶ〶挷㝣捦㘱昹㡥㡤ㅣ扣㈲ㄴ㐳㍥慦昵攵摡㙣攴っ㕢㌳攵㜳㑡㔱づ㜵昰摤摤㠵㐴慡㔳㉢㜹戱㕦昶昹㜲㐷㤲昴㈰㐹㕥㡦㙤㌵敥〴㠰㤴㄰扦敥㉡㔱昶戳搹ㅢ㔴戳㔶㡢㤵ㅥ扥㡣搳㐹㥢て戱㐳㡥っ㐴づ摢㘹昸て㠲㈱㘷搱㜶ㅡ挲㘲挰㔹㤰㝥〵扥〵扢㈶㑢㤱㕢㤶愲㘶㐷㔶扣㐲㘴㐵㕦㕦挷㜹㍡挳扦愶攸愴㑤㑡㘴㜲㝢㘶㘵挶㔹扣㐹㔴㜴㐳㔲愸㘴戸㠶ㅡㄲ㠸㤴挷戶㍢㈲愶〷ㄱ㜳ㄷ㌶捥㌸㐰㌰㐹㜰㄰㐰晦㌹㈴捤㔶㌷㥥攱戰晥㌵扡戴换攵㕣㤱㘸㔰㉥挲㉢㕤㠵搵㘱扥收㡤〴昷〰戴㤹㍦㜴㐰㘶㄰愲㐲㜹㡡㄰㔵ㄸ挳㍡㘷换㑢愴㠱㕤ㄶ〲㑢㌳昵㈰昴ㅣ㐶㤶㠶慣㔹敦戴ㄷ捥摡挱㉡㈲㔱愳㔶㥣㜹㘸㐵扡愰㉥ㅦ戶㑦㕢㤹户扡㉡慢㠶戵攸搵㈱摡㑥捥㙥㠷㠳㌹戶〳戶愴㍡㥢㙢〲愹户昳㌱㠶㄰搸㘹攵㙦愵㌷㜶㑢摥㙦ㅥ晡㠶㥢㍢扡㘴㠷㌵㌹㘰㐵㑣挷㝣搱挲㉥㈲㜲㔰敤户㤶㔶㝣㈹㘷㠷慣攳扥㕤慤搹慥㈴㌲㘰㘳㌲㔸㌷㈷㉦㈰㑡戰攰㌱〶攸戹㐳搶㤲㙦扡挱慡挹㠰攲晡敥㤶㈷ㄵㄶ搱慤㘹摢つ昰ㅡ㠵㐵收㠷慤挵ㄵ敦ㄲ㈲戶㜵挷㍤㙥慥〶摢〲㉢㈴晡㈸㈹搴〸㑤㘸㥡㈸㙡挵㕥昱挳〳㜹㉥㐷摥换ㄳ㈸㕣攵㜴晡捣㌳戴㌷敤晡㌸㐶㐳㍢㥤㜳ㅡ㐴昴愸㔱搸㤷㈹㠵挹愹挶㝤散昳㈶㠰〷㡥㥦㍤搹㡣捣扤愸㤸戵㑥㉦㝦㠶㡣㔷㘴搱〸㠴搰㐷户㉢㈲ㄵ㤶㤱㜲挰㠱挰㌸㥦摡挹慦㘴愹㌶愴扥㕤捤散㌱㐴㤲〶慤㌹㜳㔹搶㄰㡦㜶捣㜰㔷昴㐰㌳搶㌱㙢㐱㕣㌷攳㌹㡥㐹搲㈲㔹㉥㔶㑣㔲昰㔴㍤昴㑥搹慥㘱〱㈸晡㡢㡢捣换㈸㌲㉦慢愲㐱敢っ㐳㠳㉡捦戱扣ぢ愶㙦㠷㉢㡥㕤㈹昲㠱攱扢㙤㐱㤳㘰㜲㑡摥㈴㈵㌲㘳慣捤㥡㍦ぢ㤳㉤㤸〰扡㈷㈰㐷戹㜵㐴㍦㈸㔷ㄳ〵晣㠸ㅥㅤ㑢㄰㌰捡㔳㙡扣〵愳改敡㜶〴㐴㡥㑡㔷㤳㍢ㄸ㔷ㅦ㐷㐹㈴㠴㠸昵っㄲ㠱㔷㌰㈵攴改攲㉥㔸㘷㕤㍢〴昶㠸戱㘳㜶㌸ㅢ〰攵〰挸慡攳敤㡤ち慢愹㑥攳つ慤㜰㕢㘷㔵㡢㥡戸戵戳㍥慤㌷㕥戳㐱㜵愴㔱㔲㡡㘴戳㐶㑡戳㙣㌰挷敤愴㙡㠴㔲摣㠹戶ㄱ㔹㙥搳收扥㔳㡡扣〸挵愴㘸㈶㘷扣㔵ㄱち〲扤戱㡥愲捦㍥㥢㍣㔲ㄱㅢ摡〰㈵敡愹愸㙣㈸づ〹㥥挴戵㤳慡㉣挵㑦攰敦㕤㜱㜶扥ㅥ戶搴㤸㤷㐷攳㥡愹㕡㙤摥㠵㤵㔰㌱晤敡㌶㘱㘹慣㉤搲㌰㡡㍢㝢搵晥搱昶愶ㄸ㌱㘶㐳㠶㐵㌲晣挰㘰㐳㌰㔷㉡愲㑡敢㙣㠸㕢摤㈸㉥昲改㤴㌴㕤㠵㠱挵戰㍡㉢搷㤴ㄹ搶戴攴㐷㔵㠷挶㘹㔱挹㔱挳㥡㕡づ愰搲㐳捡昱㌸愷ㄸ摣戰捥搰㉤㠵㑢っ㄰扢㜱㙥愱ㄲ㈲戴摢ㄸ㠰㈷㠳敤㠳ㅤ散㐸ㄴ㍡愱㜵㐶〹㕡挸㈰摣搶㐵㤰㜷㝡挴㈸〴愹愵搲摦㡦㡡捦㍤挳昴戵愳戹㈴ㄳ㌳ㄱ挳㕤ㄹ搶〳㤰㥢㡥㑣㤲㡢㐶㤳㠰㜹㈴搹㤴搰ㅡ㑣捡㘸㘲っ搱攴昳㐳摣攲㘱㉣㙢㤸㙣㔳挳㍤户搰㠶㌶慤慤敦戲㑥扡㤵㕡扤㉡㤵㉡㑥㘴戵搲挸摢〲㕦敡ち㘰挴㑤ㄹ晢ㄲ㙦捡㐹ㅣ愵戸㘴㈲愹㜷扢摢㌸㡡敥㑡挸㘱㡣㐸昵㌱〰㤹攱㤶㔳〱戱㡥㝢ち戴て㜷㌷㉦㌰愸换㜳㄰㘹ㅤ㐵㤴㘵㜳戸㡦搷㠸㈲㉢㙥㑢㌵㥢昳收㍣摡散愹愲ㄳ㜶㔴戴㉤㜰㠴㜵㐶〲慦㔰㠰㌱搲㈳㜷㜰㤰摣搵㌸扡㝢昵㜱昵㤸扢ち㔴㈸っ〸挶㜸㜹ち捡㘱㔷挱㐸㌴戸戵愶搵㉤ㄸ晤愵攵㙤㑣〱〸㠶㠱㘹搰愲㘵㘴攰捣㈰扦戹㠱㜳ㅢ㕡㘵㐴㐸搳挱㔴挶㈸㐷攱戰〷搲挰㑤㍣㐸㉦㜹㔰㐲攱ㅥ㜵㌱㉣戹㥢㌸敥攰〸攴昹搷戵ㄵ㉥㤸㈱慥扦戸㝢摢㡡愷慡㔵㥡扢昰捦㙤ぢ慣攲敡㐶㘴㡥敥㘹扢㤴愵搶㐴晢㙥㕦㕢㐵㝣㔹昰攰散挴〹㌳慣慣㉣㠶敢搱挵慤㕥㐹㐲晦㈱晣ㄱㅢ扥㥤㌶㜳摥攵㐵搴㌵敥㝤改愲敢㕤㜲搵扣昴㠰户晥㐰㈱戸㐲搹捦㐹㤶㜲晦挶㡦㑡㕡㑥晦〱㐶摣捡戴㌹㐰搳㐱挲㜱㔴㡡愴挱ㄸ昲ㄹ㜴〲摢扤㜱㙢㠰㜴戲愷㡤㑥㤴㈰搸㈱ㄴ昷挲㑢㐶㈸攲晢㐰㉢㠹㈵㍡㤲㘳捦扦ち搶ㄷ摦㐳〹ㄱ㡥攷㔸㡣攸慦㐲㉥〳㜵㑡㤰挷㔷㍣㜸㈱攴晦〷㑢〹㌷㙦挸㑥晦〵㘶ㄶ摦㙤㐷搱慤㐴搱㜷㍡㔰㈴㜸つ㐴昱敦〳挸㈴㐹㘷㜸昶〵〵挲戹愶㥤〳攸换㝥攱昷㝦㜸〰㥤㡢㠹㐳搹㘸〸戵摤㡥攷㠶㠹搰搷㘱㈲㌰㜸慦㑣㠴㔳挸〸㐶昱㈳ㄳ㈱昶㠱捣愳㘰㜳ㄳ㠱戱扤っ㐳㌰ㄵ㙡㑤戹㌵㜸〲扢捥愱㝦散〴㉥摥捡〰昱㝣㈸慤㘰〶ㅥ愹敢㍢㡢ㄷ㑣摦㜴昶慡昲攳扥㠴㌲昳㤷㜰㤳㕢㜵㘱㡦ㅢ㌷慣㔱㥤㌶昰㔵㈴㕥昶ㅤ㝦捡搶敥慦〳㔳㔱㡡摣昷愲㈸ち㉦挲㔳㈲㜸㙥挸扤㜷捦搷㡦晦攱搱㈷㡦昲戶㕡㑣慢晡㥤挸昷ㄲ戲愷㍤㠱愰㙥敡愲挸戵晣㌰攷ㄴ㍥㔱戲㔷㙢㜲摡昴㤵ㄵㄴㄸ㑥㤲㡤〸㉦㐵㤸ㄱ昱㙤〷ㄳㄳ昷ㅥ㈲ㄳ㜳愲捤摤愹㍥㙣㔲㉥挲㠹搴挴㤵㑦㉦〹ㅢ㡡慥㡡慣㐷㙢㔳晦㈶㔴搱ぢ㥣㐸慢㤵挸㔳㈷㤳㄰摦㘸搷㜵㠷愹敢愲㠳っ挳晥㠹㤴㐲晣㠱ㄴ㤲㍥挸昰㐲㠰㤲㔲㘷㤰搱敦〲挸㠸慣戵㠷㜸改て搸ㄱ〲戲㜱改慦挷㡦㔸戰㡢挰㘲攲㡢敦昵㐴㑢㕢㌴㔱㑤っ搵㉡㥢㘶ㄱㄹ㜵㜸㘱挱㘴㔲扡㠴㑣㤲昴㠳挸㙤搹ㅤ挵㤷っ㌹㔱攰㉤㘲㙣摤愱慦慤攴摣敦搶㜱昳〳㝡愶愰ㄴ㠶扢㥢挵㌸㤰慡ㄸ㕤搴戴ㄴㄵㄱづ㐷搹㐶愷㠱戸ち㍡换摤㡢㔳㈹㠲㝦晣㔲㠸昵攳捤愱慦㙤慦愱㡥㜳晢戱㐰晥挲晥扡㌵㠳戱昱㔶㜲っ㈴散㤶㕡ㄵ愳敢攱㘷搱㠵㡢捥〹愳㤹㔵捦攲㌰晥㈴㥣搵愷㜵攸㝦㐶慦ㄵ㘷㥤㘳㙦㠶戱㕢昴晦㍢㔰戰愹晥ㄷ㡣扤㈹㐴扥㌳捥昰㐱㘷晣㘴搳㤰つ㜷〴㥥㙤〴㙦搴挱搸㔰㔹㠶扣愳摣㈲㍥㕥㡤慡㤵〴㠷摦㉢摦㝥㌵愲搱㤷戶敤㐰㔷〱挸搸㤰晥㔵㠸愰慥晤㕢攵㔶㜲扡㉤扣ぢㅤ昷㥣戲㉢扥ㄷ㜸㔶㌸戶㠸愰敦ㄸ扦㍤戳㘰昳㑣㠹慦戴ぢ戵㝤搸㠹挱昷愰捦改㜹〸散搳㌲㝣愹㘲㤱㡣㉣㙣㉤㤲挱敦㤰㐶㔲攱㈵㙡㠷攰ㅡ敢挱扡㔹挳愷慢昳昰㜵㠶㉣摡ㄶ捡㉥昲㌸户摦搰攰搶攱㡥搶摢攱て㤲戵〹〴挷搴ㄲ摥昵ㅥ敥㙢晢ㅥ戴戶㡤搷ㄶ戰㘵㙦㍥户㤲晥ㅣ㜰扡戵户戴㤲っ摦挹㉦㤲㑢㐶㤹㄰㤷昶㡦攲敦搶ㅤ戴ㅣ㙤ㄴ㜴ㅥ㝦搰㑤㐷搸㜸つ敥戳㉤㐴扦捦愳慢㤸㈲挰慦㘱挶ㄹ㍥〸㝡昹挸㡡攲㡢㔸ㄶㄹ〰昹㕣愱〲搰㥤慡㥦摤㠸慡㐷ㅥ㘰㑦㈴挱㌳〶挹戱㈴㍥㡦㠶摣慥㘸搹㘰〹㉥㕢愸戳〴昲㐶搲〳昹㥣攰㔹㐲㑤攴戳攸搰㤸㠸㡤搲敥ㄳ昹捣㐶ㄳㄱ戴〲搴㐲搳攳㡦㈴㕡挴愸愱摡㜰〸㕣〲て㘰㈴㔱㈶挳㤴㡦ㄴ㍡㠵㈸挶昰㍤愲〸改ㄷ昱摦攷㡦晥晣ち搳摦㡥ち㈵ㄱ㔱搵扡ち㑡㐴戵㡡㡦愷㔷攱愳戴晢㉡㥥摥㘸ㄵ㈳ㄴ㤶㥣㠹ㄱ〲っ昵㠹㌲晥愸㔵搵㤱攱㠶昲㔷㥣㈷挰㙦换㉣㐶㑣㤴愸扥㤷㤰㐱㕦敥扣㙡㜵ㄹ㤹愴慦捥㡤挸昸捡㐷ㄹ㑡扣ㄱ㐹愷㑥㈱昲捡ㄶ㈲昵㔸㜴㘲㜷散戶㄰ㄲ㔸ㄲ㍦㥢敤㉡摢ぢ㍤㠶晡挵〷ㄳ挴㥣㌸㤱㝣㐲愵挵挱㈷㄰㐶㘴㥡㤲㤰戸㤱攲〳㐹攳㙦㝤扢改㍢㐵〵ㄲ愸㈷㙡㑣㠲㔳㡤㥦㑡ㅡㅦ挴攷㔹慡㑤㡥㔷〹㤸㥥㑦ㅡ㤳㌰㔵攳㈷㤳挶㝦㍤戸户搱㌸愱挳㘸㘴㥤㐴㤲㘱昴慡㘳㐰敡㔳敤㘱㌴搷㉤㉡搲〱㉢㉡愶〸㔵㌱攴㥡㔲愵㠳戸ㄵ攲攳㘳改㌹㕣㜲挲㕤㄰㐸摢攸晦㑣㌸㠹换㑦戳㘶㘸攲㕢攸㌵㐴㥤㝤㐳㍤戱㜳挱㥡昷㔱搰㙦㥤っ㜰戸慡㙥㉢ㄲ㠱㕤㤰㡦昶㜷ㄳ敦㝣㠶つ搹摣㡦㈴㕡愶昱㌲㐹㙦㕡㐴㐵㔸昲攲㝤〹㘶㜳㑦㌴㘹挶㜸ㅣ挸㠱㤸〴㘴挶㜸〲㌰㡡挸散㘱挱〸昹㕦㌱昷晢㔸昱㝥㠲㈷〱㑡㠲捣㑥㍡㈸㍣〵㌰㥣晣㡦ㄵ㘳㙢捡㜱愲㠹㐷㤳㤷愵挹挸昸㈰㍢㝣〸愰て㝥㕣ㄱㄳ㘱挹昸㌰㑡搲㉦愵攰㔰㉦晤〸㉢㍥㑡昰㌴㐰㐹攷㘴户扣㙢㕣㔳㡦㉡散㘳攸㉡㥥㈰挰慦昱昱㌸挳〷㥤晢昰收敥㐶㌳捦挴挹ㄷ晥㠸㜹戶㝣捡㝦㍦㍥捤㕦攷愲晢昰㍦㤳攸捡挲捦㙢㙦敡㙤㉣㌲〱㡤㜳昵扢㡡捤㝥ㄱ攳㜰㕤捤㔰ち㐷愴㔲㈹㙡〵㐱㝣㜳挱挲挳ㅢ昸㤶㈳慡㐲〸搲㠰慡㜰攳㡡愳㈸㌰㍥挹愶挴㌱昱㘴㝣㡡㑦㐴慤摡挴㑦挷ㄹ㍥〸攲㔵㜵㝦㌸敥㥥扣㤰戸㔶ㄵ㜶摢ぢ㠹㝦㔵戱㤲㝥攱㌳ㅣ㑣㈱ぢ㤹㔶慤㐴愴㈹ㅡ晡㍣㌲㐳㝤挳㥣摢㐳昸搵㉥㡢捡昹敡昹昳晦ㅣ捥㡦摤㤸㝦挷摢〶㥦㜹晥㘷㝦晣挴慦摥㝤攴㉦晦㝡昶搹㕦晤改ㄳ㔷晥昵挳攵㈳㍦㜹敥戹ㅦ㍦昰愵㉢㝦摣㙤㝤㔹晢昶㍦攷扥晣搸攴挵挷ㅥ戱捥摥㜹晣戱㜷㍥晣攰攴挲㌵攳㝤㝤晤晤㜷㡣晥昴㠶搷㡤㍣昱挸㜷挵㡦㝥㜳扤㉢搴㜲昱㠲搶㘹㜰搹㙡ㅡ㕦㐰〶搳攰㡣㕦搶㘹㜰戹㙡愳㤶攳㡤㥡㐶㐱ㄱ捥つ㑥㐰㔵㤸慤ㄵ〳晦〱户㈴戳㍣</t>
  </si>
  <si>
    <t>Decisioneering:7.0.0.0</t>
  </si>
  <si>
    <t>fbe090af-6889-4dfb-a6a6-d1237bb257f0</t>
  </si>
  <si>
    <t>Crystal Ball Report - Full</t>
  </si>
  <si>
    <t>Run preferences:</t>
  </si>
  <si>
    <t>Number of trials run</t>
  </si>
  <si>
    <t>Monte Carlo</t>
  </si>
  <si>
    <t>Random seed</t>
  </si>
  <si>
    <t>Precision control on</t>
  </si>
  <si>
    <t xml:space="preserve">   Confidence level</t>
  </si>
  <si>
    <t>Run statistics:</t>
  </si>
  <si>
    <t>Total running time (sec)</t>
  </si>
  <si>
    <t>Trials/second (average)</t>
  </si>
  <si>
    <t>Random numbers per sec</t>
  </si>
  <si>
    <t>Crystal Ball data:</t>
  </si>
  <si>
    <t xml:space="preserve">   Correlations</t>
  </si>
  <si>
    <t xml:space="preserve">   Correlated groups</t>
  </si>
  <si>
    <t>Decision variables</t>
  </si>
  <si>
    <t>Forecasts</t>
  </si>
  <si>
    <t>Summary:</t>
  </si>
  <si>
    <t>Statistics:</t>
  </si>
  <si>
    <t>Forecast values</t>
  </si>
  <si>
    <t>Trials</t>
  </si>
  <si>
    <t>Mean</t>
  </si>
  <si>
    <t>Median</t>
  </si>
  <si>
    <t>Mode</t>
  </si>
  <si>
    <t>---</t>
  </si>
  <si>
    <t>Standard Deviation</t>
  </si>
  <si>
    <t>Variance</t>
  </si>
  <si>
    <t>Skewness</t>
  </si>
  <si>
    <t>Kurtosis</t>
  </si>
  <si>
    <t>Coeff. of Variability</t>
  </si>
  <si>
    <t>Minimum</t>
  </si>
  <si>
    <t>Maximum</t>
  </si>
  <si>
    <t>Range Width</t>
  </si>
  <si>
    <t>Mean Std. Error</t>
  </si>
  <si>
    <t>Percentiles:</t>
  </si>
  <si>
    <t>0%</t>
  </si>
  <si>
    <t>10%</t>
  </si>
  <si>
    <t>20%</t>
  </si>
  <si>
    <t>30%</t>
  </si>
  <si>
    <t>40%</t>
  </si>
  <si>
    <t>50%</t>
  </si>
  <si>
    <t>60%</t>
  </si>
  <si>
    <t>70%</t>
  </si>
  <si>
    <t>80%</t>
  </si>
  <si>
    <t>90%</t>
  </si>
  <si>
    <t>100%</t>
  </si>
  <si>
    <t>End of Forecasts</t>
  </si>
  <si>
    <t>Assumption: Annual growth of customer connections</t>
  </si>
  <si>
    <t>Cell: D14</t>
  </si>
  <si>
    <t>Triangular distribution with parameters:</t>
  </si>
  <si>
    <t>Likeliest</t>
  </si>
  <si>
    <t>Assumption: Long run marginal cost of energy, excluding losses (US$/kWh)</t>
  </si>
  <si>
    <t>Cell: D13</t>
  </si>
  <si>
    <t>Normal distribution with parameters:</t>
  </si>
  <si>
    <t>Std. Dev.</t>
  </si>
  <si>
    <t>Correlated with:</t>
  </si>
  <si>
    <t>Coefficient</t>
  </si>
  <si>
    <t>Willingness-to-pay estimates as a percentage of base estimates (D12)</t>
  </si>
  <si>
    <t>Assumption: Willingness-to-pay estimates as a percentage of base estimates</t>
  </si>
  <si>
    <t>Cell: D12</t>
  </si>
  <si>
    <t>Long run marginal cost of energy, excluding losses (US$/kWh) (D13)</t>
  </si>
  <si>
    <t>End of Assumptions</t>
  </si>
  <si>
    <t>Monte Carlo Simulation</t>
  </si>
  <si>
    <t>MCC funding will be used to increase the electric power supply to Zanzibar’s Unguja Island by laying a submarine transmission cable, to make associated investments to increase the capacity of certain overhead transmission lines and to rehabilitate the main substation near Zanzibar Town.</t>
  </si>
  <si>
    <t>$66.1 million</t>
  </si>
  <si>
    <t>Energy delivered (GWh) - used</t>
  </si>
  <si>
    <r>
      <rPr>
        <vertAlign val="superscript"/>
        <sz val="8"/>
        <rFont val="Arial"/>
        <family val="2"/>
      </rPr>
      <t>2</t>
    </r>
    <r>
      <rPr>
        <sz val="8"/>
        <rFont val="Arial"/>
        <family val="2"/>
      </rPr>
      <t xml:space="preserve"> This graph was produced by running a simulation of the project's ERR 1,000 times, each of which varied the "Specific Parameters" listed in the table above according to a specified probabilistic distribution. It is meant to illustrate the uncertainty around the final ERR figure presented in this spreadsheet, and to give an idea of how likely higher and lower ERRs given this uncertainty. </t>
    </r>
  </si>
  <si>
    <t>New cable and associated infrastructure (USD m)</t>
  </si>
  <si>
    <t>Economic Returns</t>
  </si>
  <si>
    <t>Supply and Demand</t>
  </si>
  <si>
    <t>Long-run marginal cost</t>
  </si>
  <si>
    <t>Willingness-to-pay (US$/kWh)</t>
  </si>
  <si>
    <t>Weighted average WTP</t>
  </si>
  <si>
    <t>Average consumption: kWh pa</t>
  </si>
  <si>
    <t>Annual consumption: kWh</t>
  </si>
  <si>
    <t>Percent of annual consumption</t>
  </si>
  <si>
    <t>Willingness to pay for existing costumers</t>
  </si>
  <si>
    <t>Notes</t>
  </si>
  <si>
    <t>Source: Mott MacDonald Inc., based on Tanesco PSMP 2012.</t>
  </si>
  <si>
    <t>Builds up LRMC based on a weighted average of levelised cost of generation for the main generation types. Weights are an estimate  of what types of plant would be built today if replanting the whole system.  Have taken ballpark capex, opex and efficiency from MottMac experience elsewhere and scaled for Tanzania conditions. Fuel costs based on international price of coal and HFO.  Gas is set between production costs and world price level - (premium for gas OCGT vs CCGT reflects swing premium). Wind is not explicitly included, but has similar costs to hydro, although annual availabilities are less (around 35%). Carbon costs are excluded.</t>
  </si>
  <si>
    <t>Based on netback price for sales into export markets rather than internal resouce cost</t>
  </si>
  <si>
    <t>Same price as Gas-CCGT plus a small small swing premium</t>
  </si>
  <si>
    <t>Assumes $100/bbl crude and US$50/t transport cost</t>
  </si>
  <si>
    <t>Ibid.</t>
  </si>
  <si>
    <t>Connection Cost Estimates</t>
  </si>
  <si>
    <t>Urban domestic</t>
  </si>
  <si>
    <t>Rural domestic</t>
  </si>
  <si>
    <t>Type of S/L</t>
  </si>
  <si>
    <t>TANESCO average cost: USD/connection</t>
  </si>
  <si>
    <t>Weighting</t>
  </si>
  <si>
    <t>Single phase 30 metres</t>
  </si>
  <si>
    <t>Single phase 70 metres</t>
  </si>
  <si>
    <t>Single phase 120 metres</t>
  </si>
  <si>
    <t>Scaling for customer size</t>
  </si>
  <si>
    <t>Weighted and scaled 
connection cost</t>
  </si>
  <si>
    <t>Long-Run Marginal Cost Scenario</t>
  </si>
  <si>
    <t>Energy demand</t>
  </si>
  <si>
    <t xml:space="preserve">The WTP scalar is intended to adjust base demand level per rural domestic customer. This demand projection assumes that the average annual electricity consumption of the newly connected users is much less than the average values observed for existing users for the same tariff categories. This because the new extensions are, in general, serving a higher proportion of users in the lower quartile of income distribution than for currently connected customers. Reflecting this, the model uses 50% of the reported average level for rural users and 75% for urban ones. </t>
  </si>
  <si>
    <t>Consumption (GWh)</t>
  </si>
  <si>
    <t>Estimated based on growth in connections from Q20 indicator tracking table (ITT) data.</t>
  </si>
  <si>
    <t>Mott McDonald engineering estimate.</t>
  </si>
  <si>
    <t>Assumptions based on TANESCO estimates.</t>
  </si>
  <si>
    <t>Calculated on 'WTP' worksheet. Mott McDonald estimates based on World Bank Tanzania Energy Development and Access Expansion Project (2007) estimates.</t>
  </si>
  <si>
    <t>Calculated on 'LRMC' worksheet. Unit delivered energy cost based on Mott McDonald estimates of long run marginal cost, derived from the Tanzania Power Sector Master Plan 2011 Update.  Includes generation, transmission and 50% of distribution LRMC. Variation here reflects generation cost uncertainty.  Values also exclude impact of loss correction which is applied after.</t>
  </si>
  <si>
    <t>Technical losses from MCA-T Electricity Loss Reduction Study produced by AZOROM - AETS.</t>
  </si>
  <si>
    <t>Investment costs from MCA-T Detailed Financial Pla, Q20 and GoT Detailed Financial Plan, Q22.</t>
  </si>
  <si>
    <t>MCA-T, Q20 Indicator Tracking Table.</t>
  </si>
  <si>
    <t>Estimated based on consumption per customer from 'WTP' worksheet.</t>
  </si>
  <si>
    <t>Number of customers</t>
  </si>
  <si>
    <t>Disaggregation of costs based on Mott McDonald estimates  and applied to total investment costs from MCA-T DFP Q20 and GoT DFP Q22.</t>
  </si>
  <si>
    <t>Beneficiary Statistics</t>
  </si>
  <si>
    <t>Last updated: 10/9/2017</t>
  </si>
  <si>
    <t>25.6% over 20 years</t>
  </si>
  <si>
    <t>The main costs relate to three areas:
   1. the cost of project, which is dominated by capex (opex is a small percentage of initial capex)
   2. the delivered cost of energy to the customers, which is assumed to comprise the long run marginal costs of generation, transmission and distribution costs.
As a result the economic returns of the project, effectively depend on there being a sufficient spread between the WTP for energy and the LRMC of delivered energy to offset the new project costs.</t>
  </si>
  <si>
    <t>6e3bdac3-c3a6-4e2f-b60f-ca3837449bce</t>
  </si>
  <si>
    <t>CB_Block_7.0.0.0:1</t>
  </si>
  <si>
    <t>㜸〱敤㕣㕢㙣ㅣ㔷ㄹ摥㌳摥㔹敦慣敤搸㡤搳㑢㑡㐹つ愵戴搴挱㡤搳㠴戶㐰〸扥㌴㤷攲挴㙥散愴㈰㐰㥢昱敥㤹㜸㥡㥤ㄹ㜷㘶搶㠹㑢㐵㉢㈸㌷㜱㤳戸㠹㐲戹愸㐲㤵㉡㈴㉥て㐰戹扣㈰㈱㠱㔰㤱㜸〰〹㈴ㅥ㑡㠵攰〱㠴㈲昱挲〳ㄲ㝣摦㤹㤹摤搹㕤敦搸摤戶攰㈲ㅦ挷扦捦㥣摢㥣㜳晥敢昹晦㌳挹㠹㕣㉥昷㙦㈴晥㘵捡㌳㜳挳攲㝡㄰㑡㘷㘲挶慢搵㘴㈵戴㍤㌷㤸㤸昲㝤㜳㝤捥づ挲㍥㌴㈸㤴㙤搴〷㝡㌹戰ㅦ㤲挵昲㥡昴〳㌴搲㜳戹㘲搱搰㔰捦㐱昸㍢㤲㍣ㄸ散㌵㤸〷㔸㥡㤹㥥㕦㝥〰愳㉥㠶㥥㉦昷㡦㥤㡢晡ㅥ㤹㥣㥣挰捦愱㐳㜷㑤ㅣ搸㍦㌶㔳慦㠵㜵㕦ㅥ㜱㘵㍤昴捤摡晥戱㠵晡㜲捤慥扣㐳慥㉦㜹ㄷ愵㝢㐴㉥ㅦ戸㘳搹㍣㜴搷攴愱挳㠷慤扢敦扥㙢㄰慦捥㥤㥥㤹㕥昰愵ㄵ扣㐴㘳敡㥣昲愱㔹㔹戱戹㌶㈹㝤摢扤㌰㌱㌳㡤㝦愹昹攳改捥㠹挵ㄵ㈹㐳扥㕡晡搲慤挸挰㐰挷〱㘷㉡〸敡捥㉡㌷捦㜰㡥㘱愹ㄵ㌳〸㜵㘷㐶搶㙡㠶㤳㡣㕡㜴收戱㜷㌵㜳㝤搰㔹㤴㙥㘰㠷昶㥡ㅤ慥ㄷ㥣㈵っ㔴ㅤ㜲捥〶昲㡣改㕥㤰愷㑤㐷敡捥昱扡㕤捤㐷㈹搷㜷㑢㌲㐴㝡㘲㙡昹ㄳ㔳㠱㌳戳㘲晡㙡㐶〱㌷㈶愳敤㌱扦搲摡昶愶敥攳㜲敡敡つㅣ昳收敥敤㔰㜳捥昴ㅢ㉤挷扢户㡣ㄷ摦㍡㠳摢扢户㑦敤㔱㙢㥦㌷㜴敦愳戶戲戵戵ㄸ㠸改㕢敤㈸ㄶ㘳ㄴ〸晡〹㡡〴㐴愰㔱㈲ㄸ㈰ㄸ〴㄰昹㝦㠰㑢搲ㅤ㔹愵㤵㑤慤扣慣㤵㉢㕡戹慡㤵愵㔶戶戴昲〵慤扣愲㤵㙤慤晣㠰㔶扥㠸㌶㐹㉡昶昷㙢㜱扡晦㙤晢摥晦扤愷扦㜹攲㔳晢㝥㙡昶㍦㝦敥㜷㠳扢搰攸扥㜸㔲戳扥㜹〹愴搶愴攲㠳ㄳ〷昸戳㌹㔷㠰㈹慣挳搶㥤搶攴㘴昵昰〱昳づ㔳攷戲㌲㤰摦㐲㈸㈳㘸㍢㘸摤㙦扢㔵敦㤲挲摤つ搳㘶㈰㥢ㅢ㌷ㅥ搷㑤㝢㜵户ㅡ扣㙡攳捡挵搰っ攵昵敤㜵捤㐱㍡扡㉤㠲慤㘴愰摥户慦扤摢㌹戳㔶㤷㔳㤷敤愸晡搵㙤搵捥㠲敦㉤㜷慦㍤收换〷ㅢ戵ㅤ㌳㥡㠲㔰㕢㔳㘳㜷慣㌲慡㡡收㌵㌶戳攲〵搲㔵搳ㅢ㜷ㄶ散捡㐵改㉦㑡㡡㐴㔹㔵㑢扤㥡㔵㌱搷㡦捦扢㔸㈸戸戵晡摡㜴愹㜵捦攵㄰捣㉣慢㤸敦慡昴挳昵㈵㜳戹㈶慦㘹㘹ㄲ扤ㄳㄵ㝢㕢㡡㡦㜹㤵㝡㌰攳戹愱敦搵㕡㙢愶慡㙢㈶㈴㑤昵㤴㔷㤵昹㝣㑥〹〵〸摣扥㍥㈱㜲户㜵攷〵㠵㠸ㄴ㡡挹挸搷戵㤲摤挴ㄹ慣づ慢愸㐹搲愴昶扡㑤〶攳㝣㤵㡣挹攰挰搴㥡愸㍦昸搲㕢㌷ㄹ戶㠱戹㤷户戱愶㡤挶慢扦㘷㑤扡攱〹搳慤搶愴㥦愹晤〴㘷㘴っ〳攸㔷㈰㄰扡敥ㅥ㔵㥤戸㉣搶昵㑢㜶㌵㕣㈹慣㐸晢挲㑡㠸㌲㘸挸㘲㤱㕢摢㤱㡣慢㔰㘴散㈶ㄸ〵㈸㤵㜲㠵㍤㙣㔴㈸㈱攵㜴㑡愷っ㕥㙥ㄱ攴散搷挲换㠳搶㌱扢ㄶ捡㐸㈸て㕢挰㐸愴搵ㄴ晡㠶㐸愲扥㔹㠹ㄴ挶ㅥ㙢〶㔴㙡摡㙥戸摥攴摢づ㉥㠹㠸㘸㐷ㄶ㙣㍢㔹㐰㔱搰㉡て㌲㜸つ㐴搳㈶つ戲ㅢ愷㠸㠸㙣㤰愱搹㌱㜲㉢㤱戱㝤㠶㡣㐰晢㌴ㄱ戲昵㠱敥㌲㠲挴摥㐹愴散搴㤵ㅦ㜷愴搹㐶戶㝣㈴捤慥挶挶ㄹ搷㄰㕣㑢㜰ㅤ挱㕥〰昱㘷㐸㌸㑡㌹攴㕢㤳昱㉡㍣ㅢ㌷㄰扣ㅡ〰昲挹愰捣㠹㐵ㄵ㙤愸慤搸㤱㙣㌷〴㍢㔹ㄹ挵㤱㈸愲㘵摣戰㌳㠷ㅣ㠵攸搸敡摣ㅥ扡㌶慦㜴散敢扢搳㘶㝡㌹愴挸㡣愶改戵㙥搲㌴扤ㄱ㙣摡愳摥扡ㄱ㕤㡤㌱㠲搷〰㤴㡣搷ㄲ㐲戹搰攰摤㥡㐵㑦㤳昲ㄵ㘱ㄶ㐵挶㔰㡦ち㍥㈶㘴ㅥ〱㌲㠴㕣挷昱㘵挷㠶愶㌹㌸㙥扤攲㙤攸晤摤昹㍢㐶㝡㥢摥摣搱㍢昴ㄷ扤㐰㉢晡㈶戰㤷昸㐳㔷ㅤ㜳㌳慡㡤搷ㄳ摣〲搰愶㘳㜸晡㝥愱㥥〲㘵ㄶ㍢㈹捣敤愶搷㐵㔹戹㑢敢慢㔲㘹愰㐱㙢挹昴㉦挸㄰ㅥ㡣㤳戳戰㠵㍤摦㤷㌵ㅣ㙡慢慡㠰攷㤷㙢㕢ぢ㠳㘳扥攷戰㝣挷㐶づ㕥ㄱ㡡㈱㥦搷晡㜲㙤㌶㜲㠶慤㤹昲㌹愵㈸㠷㍡昸㡥敥㐲㈲搵愹㤵扣搸㉦晢㝣戹㈳㐹㝡㤰㈴㙦挰戶ㅡ户〱㐰㑡㠸摦㜶㤵㈸晢搹散㡤慡㔹慢挵㑡て㕦挶改愴捤㠷搸㈱㐷〶㈲㠷敤㌴晣〷挱㤰戳㘸㍢つ㘱㌱攰㉣㐸扦〲摦㠲㕤㤳愵挸㉤㑢㔱戳㈳㉢㕥㈱戲愲慦慦攳㍣㥤攱㕦㔳㜴搲㈶㈵㌲戹㍤戳㌲攳㉣摥㈴㉡扡㈱㈹㔴㌲㕣㐳つ〹㐴捡㘳摢ㅤㄱ搳㠳㠸戹ㅤㅢ㘷ㅣ㈰㤸㈴㌸〸愰晦ち㤲㘶慢ㅢ捦㜰㔸晦ㅡ㕤摡攵㜲慥㐸㌴㈸ㄷ攱戳㕤㠵搵㘱扥收㑤〴㜷〲戴㤹㍦㜴㐰㘶㄰愲㐲㜹㡡㄰㔵ㄸ挳㍡㘷换㑢愴㠱㕤ㄶ〲㑢㌳昵㈰昴ㅣ㐶㤶㠶慣㔹敦戴ㄷ捥摡挱㉡㈲㔱愳㔶㥣戹㝦㐵扡愰㉥ㅦ戶㑦㕢㤹户扡㉡慢㠶戵攸搵㈱摡㑥捥㙥㠷㠳㌹戶〳戶愴㍡㥢㙢〲愹户昳㌱㠶㄰搸㘹攵㙦愵㌷㜶㑢摥㙦ㅥ晡㠶㥢㍢扡㘴㠷㌵㌹㘰㐵㑣挷㝣搱挲㉥㈲㜲㔰敤户㤶㔶㝣㈹㘷㠷慣攳扥㕤慤搹慥㈴㌲㘰㘳㌲㔸㌷㈷㉦㈰㑡戰攰㌱〶攸戹㐳搶㤲㙦扡挱慡挹㠰攲晡敥㤶㈷ㄵㄶ搱慤㘹摢つ昰ㅡ㠵㐵收㠷慤挵ㄵ敦ㄲ㈲戶㜵挷㍤㙥慥〶摢〲㉢㈴晡㈸㈹搴〸㑤㘸㥡㈸㙡挵㕥昱挳〳㜹㉥㐷摥换ㄳ㈸㕣攵㜴晡捣㌳戴㌷敤晡㌸㐶㐳㍢㥤㜳ㅡ㐴昴愸㔱搸㤷㈹㠵挹愹挶摤散昳㘶㠰㝢㡦㥦㍤搹㡣捣扤愸㤸戵㑥㉦㝦㠶㡣㔷㘴搱〸㠴搰㐷户㉢㈲ㄵ㤶㤱㜲挰㠱挰㌸㥦摡挹慦㘴愹㌶愴扥㕤捤散㌱㐴㤲〶慤㌹㜳㔹搶㄰㡦㜶捣㜰㔷昴㐰㌳搶㌱㙢㐱㕣㌷攳㌹㡥㐹搲㈲㔹㉥㔶㑣㔲昰㔴㍤昴㑥搹慥㘱〱㈸晡㡢㡢捣换㈸㌲㉦慢愲㐱敢っ㐳㠳㉡捦戱扣ぢ愶㙦㠷㉢㡥㕤㈹昲㠱攱扢㙤㐱㤳㘰㜲㑡摥㈴㈵㌲㘳慣捤㥡㍦ぢ㤳㉤㤸〰扡㈷㈰㐷戹㜵㐴㍦㈸㔷ㄳ〵晣㠸ㅥㅤ㑢㄰㌰捡㔳㙡扣ㄵ愳改敡㜶〴㐴㡥㑡㔷㤲㍢ㄸ㔷ㅥ㐱㐹㈴㠴㠸昵っㄲ㠱㔷㌰㈵攴改攲㉥㔸㘷㕤㍢〴昶㠸戱㘳㜶㌸ㅢ〰攵〰挸慡攳敤昵ち慢愹㑥攳つ慤㜰㘳㘷㔵㡢㥡搸搷㔹㥦搶ㅢ慦摢愰㍡搲㈸㈹㐵戲㔹㈳愵㔹㌶㤸攳㜶㔲㌵㐲㈹敥㐴摢㠸㉣户㘹㜳摦㈹㐵㕥㠴㘲㔲㌴㤳㌳摥愶〸〵㠱摥㔸㐷搱㘷㥦㑤ㅥ愹㠸つ㙤㠰ㄲ昵㔴㔴㌶ㄴ㠷〴㑦攲摡㐹㔵㤶攲㈷昰昷慥㌸㍢㕦て㕢㙡捣换愳㜱捤㔴慤㌶敦挲㑡愸㤸㝥㜵㥢戰㌴搶ㄶ㘹ㄸ挵㥤扤㙡晦㘸㝢㔳㡣ㄸ戳㈱挳㈲ㄹ㝥㘰戰㈱㤸㉢ㄵ㔱愵㜵㌶挴慤㙥ㄴㄷ昹㜴㑡㥡慥挲挰㘲㔸㥤㤵㙢捡っ㙢㕡昲愳慡㐳攳戴愸攴愸㘱㑤㉤〷㔰改㈱攵㜸㥣㔳っ㙥㔸㘷攸㤶挲㈵〶㠸摤㌸户㔰〹ㄱ摡㙤っ挰㤳挱昶挱づ㜶㈴ち㥤搰㍡愳〴㉤㘴㄰㙥敢㈲挸㍢㍤㘲ㄴ㠲搴㔲改敦㐷挵㤷ㅥ㘷㝡晡㘸㉥挹挴㑣挴㜰㔷㠶昵〰攴愶㈳㤳攴愲搱㈴㘰ㅥ㐹㌶㈵戴〶㤳㌲㥡ㄸ㐳㌴昹晣㄰户㜸ㄸ换ㅡ㈶摢搴㜰捦㉤戴愱㑤㙢敢扢慣㤳㙥愵㔶慦㑡愵㡡ㄳ㔹慤㌴昲戶挰㤷扡〲ㄸ㜱㔳挶扥挴㥢㜲ㄲ㐷㈹㉥㤹㐸敡摤敥㌶㡥愲扢ㄲ㜲ㄸ㈳㔲㝤っ㐰㘶戸攵㔴㐰慣攳㥥〲敤挳摤捤ぢっ敡昲ㅣ㐴㕡㐷ㄱ㘵搹ㅣ敥攳㌵愲挸㡡摢㔲捤收扣㌹㡦㌶㝢慡攸㠴ㅤㄵ㙤ぢㅣ㘱㥤㤱挰㉢ㄴ㘰㡣昴挸ㅤㅣ㈴㜷㈵㡥敥㕥㜹㐴㍤收慥〰ㄵち〳㠲㌱㕥㥥㠲㜲搸㔵㌰ㄲつ㙥慤㘹㜵ぢ㐶㝦㘹㜹ㅢ㔳〰㠲㘱㘰ㅡ戴㘸ㄹㄹ㌸㌳挸㙦㙥攰摣㠸㔶ㄹㄱ搲㜴㌰㤵㌱捡㔱㌸散㠱㌴㜰ㄳて搲㑢ㅥ㤴㔰戸㐷㕤っ㑢敥㈶㡥㍢㌸〲㜹晥㌵㙤㠵ぢ㘶㠸敢㉦敥摥戶攲愹㙡㤵收㉥晣㜳摢〲慢戸扡ㄱ㤹愳㝢摡㉥㘵愹㌵搱扥扢愹慤㈲扥㉣㜸㜰㜶攲㠴ㄹ㔶㔶ㄶ挳昵攸攲㔶慦㈴愱晦〴晥㠸つ摦㑥㥢㌹敦昲㈲敡ㅡ昷扥㜴搱昵㉥戹㙡㕥㝡挰㕢㝦愰㄰㕣愱散攷㈴㑢戹㝦攳㐷㈵㉤愷晦ㄸ㈳㙥㘵摡ㅣ愰改㈰攱㌸㉡㐵搲㘰っ昹っ㍡㠱敤摥戸㌵㐰㍡搹搳㐶㈷㑡㄰散㄰㡡㝢攱㈵㈳ㄴ昱㈳愰㤵挴ㄲㅤ挹戱攷㑦㠱昵挵て㔱㐲㠴攳㌹ㄶ㈳晡㙢㤰换㐰㥤ㄲ攴昱ㄵて㕥〸昹晦挱㔲挲捤ㅢ戲搳㝦㠱㤹挵㌳敤㈸摡㐷ㄴ晤愰〳㐵㠲搷㐰ㄴ晦摥㡢㑣㤲㜴㠶㘷㕦㔰㈰㥣㙢摡㌹㠰扥散ㄷ㝥晦㠷〷搰戹㤸㌸㤴㡤㠶㔰摢捤㜸㙥㤸〸㝤ㅤ㈶〲㠳昷捡㐴㌸㠵㡣㘰ㄴ㍦㌲ㄱ㘲ㅦ挸㍣ち㌶㌷ㄱㄸ摢换㌰〴㔳愱搶㤴㕢㠳㈷戰㙢ㅣ晡挷㑥攰攲慤っ㄰捦㠷搲ち㘶攰㤱扡戶戳㜸挱昴㑤㘷慦㉡㍦敥㑢㈸㌳㝦〹㌷戹㔵ㄷ昶戸㝥挳ㅡ搵㘹〳㕦㐵攲㘵摦昱愷㙣敤晥㍡㌰ㄵ愵挸㝤㉦㡡愲昰㈲㍣㈵㠲攷㠶摣晢昶㝣敢昸ㅦㅦ㝡散㈸㙦慢挵戴慡摦㠶㝣㉦㈱㝢摡ㄳ〸敡愶㉥㡡㕣捤て㜳㑥攱ㄳ㈵㝢戵㈶愷㑤㕦㔹㐱㠱攱㈴搹㠸昰㔲㠴ㄹㄱ摦㜶㌰㌱㜱敦㈱㌲㌱㈷摡摣㥤敡挳㈶攵㈲㥣㐸㑤㕣昹昴㤲戰愱攸慡挸㝡戴㌶昵敦㐰ㄵ扤挰㠹戴㕡㠹㍣㜵㌲〹昱敤㜶㕤㜷㤸扡㉥㍡挸㌰散㥦㐸㈹挴ㅦ㐸㈱改㠳っ㉦〴㈸㈹㜵〶ㄹ晤㜶㠰㡣挸㕡㝢㠸㤷晥㠰ㅤ㈱㈰ㅢ㤷晥㝡晣㠸〵扢〸㉣㈶扥昸㕥㑦戴戴㐵ㄳ搵挴㔰慤戲㘹ㄶ㤱㔱㠷ㄷㄶ㑣㈶愵㑢挸㈴㐹㍦㠸摣㤶摤㔱㝣挹㤰ㄳ〵摥㈲挶搶ㅤ晡摡㑡捥㍤㙥ㅤ㌷㍦愰㘷ち㑡㘱戸扢㔹㡣〳愹㡡搱㐵㑤㑢㔱ㄱ攱㜰㤴㙤㜴ㅡ㠸慢愰戳摣扤㌸㤵㈲昸挷㉦㠵㔸㍦摥ㅣ晡敡昶ㅡ敡㌸户ㅦぢ攴㉦散慦㝤ㄹ㡣㡤户㤲㘳㈰㘱户搴慡ㄸ㕤て㍦㡢㉥㕣㜴㑥ㄸ捤慣㝡ㄶ㠷昱㈷攱慣㍥慤㐳晦㌳㝡慤㌸敢ㅣ㝢㌳㡣摤愲晦摦㠹㠲㑤昵扦㘰散㑤㈱昲㕤㜱㠶て㍡攳㈷㥢㠶㙣戸㈳昰㙣㈳㜸愳づ挶㠶捡㌲攴ㅤ攵ㄶ昱昱㙡㔴慤㈴㌸晣㕥昹昶慢ㄱ㡤扥戴㙤〷扡ち㐰挶㠶昴愷㈰㠲扡昶㙦㤵㕢挹改戶昰㙥㜴摣㜳捡慥昸㕥攰㔹攱搸㈲㠲扥㘳晣昶捣㠲捤㌳㈵扥搱㉥搴㙥挲㑥っ扥ㄷ㝤㑥捦㐳㘰㥦㤶攱㑢ㄵ㡢㘴㘴㘱㙢㤱っ㝥㠷㌴㤲ち㉦㔱㍢〴㔷㔹昷搵捤ㅡ㍥㕤㥤㠷慦㌳㘴搱戶㔰㜶㤱挷戹晤㠶〶户づ㜷戴摥〱㝦㤰慣㑤㈰㌸愶㤶昰敥昷㜲㕦摢昷愰戵㙤扣戶㠰㉤㝢昳戹㤵昴㈷㠱搳慤扤愵㤵㘴昸㑥㝥㤱㕣㌲捡㠴戸戴㝦ㄴ㝦户敥愰攵㘸愳愰昳昸㠳㙥㍡挲挶㙢㜰㥦㙤㈱晡㝤ㅥ㕤挵ㄴ〱㝥つ㌳捥昰㐱搰换㐷㔶ㄴ㕦挵戲挸〰挸攷ちㄵ㠰敥㔴晤挴㐶㔴㍤㜲㉦㝢㈲〹㥥㌱㐸㡥㈵昱㘵㌴攴㜶㐵换〶㑢㜰搹㐲㥤㈵㤰㌷㤲ㅥ挸攷〴捦ㄲ㙡㈲㕦㐴㠷挶㐴㙣㤴㜶㥦挸ㄷ㌶㥡㠸愰ㄵ愰ㄶ㥡ㅥ㝦㈴搱㈲㐶つ搵㠶㐳攰ㄲ㜸〰㈳㠹㌲ㄹ愶㝣愴搰㈹㐴㌱㠶ㅦㄲ㐵㐸扦㡥晦㍥㜷昴㔷捦㌲晤敤愸㔰ㄲㄱ㔵慤慢愰㐴㔴慢昸㜴㝡ㄵ㍥㑡扢慦攲㤳ㅢ慤㘲㠴挲㤲㌳㌱㐲㠰愱㍥㔱挶ㅦ戵慡㍡㌲摣㔰晥㡡昳〴昸㙤㤹挵㠸㠹ㄲ搵昷ㄲ㌲攸换㥤㔷慤㉥㈳㤳昴搵戹ㄱㄹ㕦昹㈸㐳㠹㌷㈲改搴㈹㐴㕥搹㐲愴ㅥ㡢㑥散㡥摤ㄶ㐲〲㑢攲㘷戳㕤㘵㝢愱挷㔰扦昸㐸㠲㤸ㄳ㈷㤲㑦愸戴㌸昸〴挲㠸㑣㔳ㄲㄲ㌷㔲㝣㌸㘹晣摤敦㌷㝤愷愸㐰〲昵㐴㡤㐹㜰慡昱㠷㤲挶〷昱㜹㤶㙡㤳攳㔵〲愶攷㤲挶㈴㑣搵昸戱愴昱㕦て敥㙤㌴㑥攸㌰ㅡ㔹㈷㤱㘴ㄸ扤敡ㄸ㤰晡㔴㝢ㄸ捤㜵㡢㡡㜴挰㡡㡡㈹㐲㔵っ戹愶㔴改㈰㙥㠵昸昸㔸㝡づ㤷㥣㜰ㄷ〴搲㌶晡㍦ㄳ㑥攲昲搳慣ㄹ㥡昸ㄶ㝡つ㔱㘷摦㔰㑦散㕣戰收㝤ㄴ昴㕢㈷〳ㅣ慥慡摢㡡㐴㘰ㄷ攴愳晤摤挴㍢㥦㘱㐳㌶昷㈳㠹㤶㘹扣㑣搲㥢ㄶ㔱ㄱ㤶扣昸㐰㠲搹摣愳㑤㥡㌱ㅥ〱㜲㈰㈶〱㤹㌱ㅥ〵㡣㈲㌲㝢㔸㌰㐲晥㔷捣晤〱㔶㝣㤰攰㌱㠰㤲㈰戳㤳づちㅦ〲ㄸ㑥晥挷㡡戱㌵攵㌸搱挴㐳挹换搲㘴㘴㝣㠴ㅤ㍥ち搰〷㍦慥㠸㠹戰㘴㝣っ㈵改㤷㔲㜰愸㤷㝥㥣ㄵ㥦㈰昸㈴㐰㐹攷㘴户扣㙢㕣㔳㡦㉡散㔳攸㉡ㅥ㈵挰慦昱改㌸挳〷㥤晢昰㤶敥㐶㌳捦挴挹ㄷ晥㠸㜹戶㝣捡㝦て㍥捤㕦攷愲晢昰㍦㤳攸捡挲捦㙢㙦敥㙤㉣㌲〱㡤㜳昵扢㡡捤㝥ㄱ攳㜰㕤捤㔰ち㐷愴㔲㈹㙡〵㐱㝣㜳挱挲挳ㅢ昸㤶㈳慡㐲〸搲㠰慡㜰攳㡡愳㈸㌰㍥换愶挴㌱昱㘴㝣㡥㑦㐴慤摡挴捦挷ㄹ㍥〸攲㔵㜵㝦㈰敥㥥扣㤰戸㔶ㄵ㜶摢ぢ㠹㝦㔵戱㤲㝥攱攳ㅣ㑣㈱ぢ㤹㔶慤㐴愴㈹ㅡ晡㌲㌲㐳㝤挳㥣摢晤昸搵㉥㡢捡昹敡昹昳晦ㅣ捥㡦㕤㥦㝦攷摢〷ㅦ㝦敥㤷捦㝦收㌷敦㌹昲㤷㝦㍤昱挴㙦晥昴㤹㘷晦昵㤳攵㈳㍦㝦昲挹㥦摤晢戵㘷㥦摦㙤㝤㕤晢晥㍦攷扥晥昰攴挵㠷ㅦ戴捥摥㜶晣攱㜷㍤㜰摦攴挲㔵攳㝤㝤晤晤户㡣晥攲扡㕢㐷ㅥ㝤昰ㄹ昱搳摦㕦敢ち戵㕣扣愰㜵ㅡ㕣戶㥡挶㔷㤰挱㌴㌸攳㤷㜵ㅡ㕣慥摡愸攵㜸愳愶㔱㔰㠴㜳㠳ㄳ㔰ㄵ㘶㙢挵挰㝦〰㌰㌸戳ㅣ</t>
  </si>
  <si>
    <t>㜸〱敤㕣㕢㙣㈴㔷㤹敥㔳敥㙡㜷戵敤戱㌳㥥㕣㘶㜲㌳㠴㄰㠸㘷㥤昱㘴㘶㜳㔹㠶挱㤷戹〵捦搸ㄹ㝢㈶愰㉣敡㈹㜷㥦ㅡ㔷愶慢捡愹慡昶㡣㐳愴㡣㈰㈱㈰〸㐸攱㈲〲㠱㐵搱ち敤扥散㠵〷㈰挰ぢㄲㄲ〸㈵ㄲて昰戰搲㍥㘴愳搵敥〳〸㡤挴ぢて㤱戲摦㜷慡慡扢扡摢㕤㜶㍡挹攲㈰ㅦ㡦㝦㥦㍡户㍡攷晣搷昳晦愷㈶㈷㜲戹摣㥢㐸晣换㤴㘷收㤶挵昵㈰㤴捥挴㡣㔷慢挹㑡㘸㝢㙥㌰㌱攵晢收晡㥣ㅤ㠴㝤㘸㔰㈸摢愸て昴㜲㘰㍦㈱㡢攵㌵改〷㘸愴攷㜲挵愲愱愱㥥㠳昰㜷㈴㜹㌰搸㙢㌰て戰㌴㌳㍤扦晣ㄸ㐶㕤っ㍤㕦敥ㅦ㍢ㅦ昵㍤㌲㌹㌹㠱㥦㐳㠷敥㥦㌸戰㝦㙣愶㕥ぢ敢扥㍣攲捡㝡攸㥢戵晤㘳ぢ昵攵㥡㕤昹戸㕣㕦昲㉥㐹昷㠸㕣㍥㜰敦戲㜹攸晥挹㐳㠷て㕢て㍣㜰晦㈰㕥㥤㍢㌳㌳扤攰㑢㉢㜸㠷挶搴㌹攵㐳戳戲㘲㜳㙤㔲晡戶㝢㜱㘲㘶ㅡ晦㔲昳挷搳㝤ㄳ㡢㉢㔲㠶㝣戵昴愵㕢㤱㠱㠱㡥〳捥㔴㄰搴㥤㔵㙥㥥攱ㅣ挷㔲㉢㘶㄰敡捥㡣慣搵っ㈷ㄹ戵攸捣㘳敦㙡收晡愰戳㈸摤挰づ敤㌵㍢㕣㉦㌸㑢ㄸ愸㍡攴㥣ぢ攴㔹搳扤㈸捦㤸㡥搴㥤ㄳ㜵扢㥡㡦㔲慥敦慥㘴㠸昴挴搴昲㈷愶〲㘷㘶挵昴搵㡣〲㙥㑣㐶摢攳㝥愵戵敤ㅤ摤挷攵搴搵ㅢ㌸收㥤摤摢愱收扣改㌷㕡㡥㜷㙦ㄹ㉦扥㜵〶昷㜴㙦㥦摡愳搶㍥ㅦ敥摥㐷㙤㘵㙢㙢㌱㄰搳户摡㔱㉣挶㈸㄰昴ㄳㄴ〹㠸㐰愳㐴㌰㐰㌰〸㈰昲㝦〲㤷愴㍢戲㑡㉢㥢㕡㜹㔹㉢㔷戴㜲㔵㉢㑢慤㙣㘹攵㡢㕡㜹㐵㉢摢㕡昹㌱慤㝣〹㙤㤲㔴散敦搷攲昴㠳㕦㥣昹愷㤷慦摥㝡散攵慦㍤晦敡㡢㌳晢扥㍡戸ぢ㡤ㅥ㡥㈷㌵敢㥢㤷㐱㙡㑤㉡㍥㌸㜱㠰㍦㥢㜳〵㤸挲㍡㙣摤㘷㑤㑥㔶てㅦ㌰敦㌵㜵㉥㉢〳昹㉤㠴㌲㠲戶㠳搶㈳戶㕢昵㉥㉢摣摤㌲㙤〶戲戹㜱攳㜱摤戴㔷㜷慢挱捤ㅢ㔷㉥㠶㘶㈸昷戵搷㌵〷改攸戶〸戶㤲㠱㝡摦㙤敤摤捥㥢戵扡㥣扡㘲㐷搵户戶㔵㍢ぢ扥户摣扤昶戸㉦ㅦ㙦搴㜶捣㘸ち㐲㙤㑤㡤摤戱捡愸㉡㥡搷搸捣㡡ㄷ㐸㔷㑤㙦摣㔹戰㉢㤷愴扦㈸㈹ㄲ㘵㔵㉤昵㝡㔶挵㕣㍦㍥敦㘲愱攰搶敡晢搳愵搶戱㉢㈱㤸㔹㔶㌱摦㔵改㠷敢㑢收㜲㑤摥搰搲㈴㝡㈷㉡昶戶ㄴㅦ昷㉡昵㘰挶㜳㐳摦慢戵搶㑣㔵搷㑣㐸㥡敡㘹慦㉡昳昹㥣ㄲち㄰戸㝤㝤㐲攴敥敥捥ぢちㄱ㈹ㄴ㤳㤱㙦㙡㈵扢㠹戳㔸ㅤ㔶㔱㤳愴㐹敤〳㥢っ挶昹㉡ㄹ㤳挱㠱愹㌵㔱㝦昰愵ㅦ摡㘴搸〶收摥摤挶㥡㌶ㅡ慦晥搸㥡㜴挳㤳愶㕢慤㐹㍦㔳晢〹捥挸ㄸ〶搰慦㐱㈰㜴摤㍤慡㍡㜱㐵慣敢㤷敤㙡戸㔲㔸㤱昶挵㤵㄰㘵搰㤰挵㈲户戶㈳ㄹ搷愱挸搸㑤㌰ち㔰㉡攵ち㝢搸愸㔰㐲捡改㤴㑥ㄹ扣摣㈲挸搹慦㠵㤷〷慤攳㜶㉤㤴㤱㔰ㅥ戶㠰㤱㐸慢㈹昴つ㤱㐴㝤戳ㄲ㈹㡣㍤搶っ愸搴戴摤㜰扤挹户ㅤ㕣ㄲㄱ搱㡥㉣搸㜶戲㠰愲愰㔵ㅥ㘴昰ㅡ㠸愶㑤ㅡ㘴㌷㑥ㄱㄱ搹㈰㐳戳㘳攴㔶㈲㘳晢っㄹ㠱昶㘹㈲㘴敢〳摤㘵〴㠹扤㤳㐸搹愹㉢㍦敥㐸戳㡤㙣昹㐸㥡㕤㡦㡤㌳㙥㈰戸㤱攰㈶㠲扤〰攲㝦㈰攱㈸攵㤰㙦㑤挶捤㜸㌶㙥㈱戸ㄵ〰昲挹愰捣㠹㐵ㄵ㙤愸慤搸㤱㙣㌷〴㍢㔹ㄹ挵㤱㈸愲㘵摣戰㌳㠷ㅣ㠵攸搸敡摣ㅥ扡㌶慦㜴散〷扢搳㘶㝡㌹愴挸㡣愶改戵㙥搲㌴扤ㄱ㙣摡愳摥扡ㅤ㕤㡤㌱㠲昷〱㤴㡣昷ㄳ㐲戹搰攰摤㥡㐵㑦㤳昲㍤㘱ㄶ㐵挶㔰㡦ち㍥㈶㘴ㅥ〱㌲㠴㕣挷昱㘵挷㠶愶㌹㌸㙥扤攷㙤攸晤摤昹㍢㐶㝡㥢摥摣搱㍢昴ㄷ扤㐵㉢晡づ戰㤷昸捦慥㍡收㑥㔴ㅢㅦ㈴戸ぢ愰㑤挷昰昴晤㔶㍤〵捡㉣㜶㔲㤸摢㑤慦㡢戲㜲㤷搶㔷愵搲㐰㠳搶㤲改㕦㤴㈱㍣ㄸ愷㘶㘱ぢ㝢扥㉦㙢㌸搴㔶㔵〱捦㉦㌷戶ㄶ〶挷㝤捦㘱昹㡥㡤ㅣ扣㈷ㄴ㐳㍥慦昵攵摡㙣攴っ㕢㌳攵㜳㑡㔱づ㜵昰扤摤㠵㐴慡㔳㉢㜹戱㕦昶昹㜲㐷㤲昴㈰㐹㍥㡣㙤㌵敥〶㠰㤴㄰扦敢㉡㔱昶戳搹摦愸㘶慤ㄶ㉢㍤㝣ㄹ愷㤳㌶ㅦ㘲㠷ㅣㄹ㠸ㅣ戶搳昰ㅦ〴㐳捥愲敤㌴㠴挵㠰戳㈰晤ち㝣ぢ㜶㑤㤶㈲户㉣㐵捤㡥慣㜸㡦挸㡡扥扥㡥昳㜴㠶㝦㑤搱㐹㥢㤴挸攴昶捣捡㡣戳㜸㤳愸攸㠶愴㔰挹㜰つ㌵㈴㄰㈹㡦㙤㜷㐴㑣て㈲收ㅥ㙣㥣㜱㠰㘰㤲攰㈰㠰晥㉡㈴捤㔶㌷㥥攱戰晥㌵扡戴换攵㕣㤱㘸㔰㉥挲㔷扡ち慢挳㝣捤摦ㄲ摣〷搰㘶晥搰〱㤹㐱㠸ち攵㈹㐲㔴㘱っ敢扣㉤㉦㤳〶㜶㔹〸㉣捤搴㠳搰㜳ㄸ㔹ㅡ戲㘶扤㌳㕥㌸㙢〷慢㠸㐴㡤㕡㜱收㤱ㄵ改㠲扡㝣搸㍥㙤㘵摥敡慡慣ㅡ搶愲㔷㠷㘸㍢㌵扢ㅤづ收搸づ搸㤲敡㙣慥〹愴摥捥挷ㄸ㐲㘰愷㤵扦㤵摥搸㉤㜹扦㜹攸ㅢ㙥敥攸㤲ㅤ搶攴㠰ㄵ㌱ㅤ昳㐵ぢ扢㠸挸㐱戵摦㕡㕡昱愵㥣ㅤ戲㑥昸㜶戵㘶扢㤲挸㠰㡤挹㘰摤㥣扣㠸㈸挱㠲挷ㄸ愰攷づ㔹㑢扥改〶慢㈶〳㡡敢扢㕢㥥㔴㔸㐴户愶㙤㌷挰㙢ㄴㄶ㤹ㅦ戶ㄶ㔷扣换㠸搸搶ㅤ昷㠴戹ㅡ㙣ぢ慣㤰攸愳愴㔰㈳㌴愱㘹愲愸ㄵ㝢挵てて攴戹ㅣ㜹㉦㑦愰㜰㤵搳改㌳捦搰摥戴敢攳ㄸつ敤㜴捥㘹㄰搱愳㐶㘱㕦愶ㄴ㈶愷ㅡて戰捦㠳〰て㥤㌸㜷慡ㄹ㤹㝢㕢㌱㙢㥤㕥晥っㄹ慦挸愲ㄱ〸愱㡦㙥㔷㐴㉡㉣㈳攵㠰〳㠱㜱㍥戵㤳㕦挹㔲㙤㐸㝤扢㥡搹攳㠸㈴つ㕡㜳收戲慣㈱ㅥ敤㤸攱慥攸㠱㘶慣㘳搶㠲戸㙥挶㜳ㅣ㤳愴㐵戲㕣慣㤸愴攰愹㝡攸㥤戶㕤挳〲㔰昴ㄷㄷ㤹㔷㔰㘴㕥㔱㐵㠳搶㔹㠶〶㔵㥥㘳㜹ㄷ㑤摦づ㔷ㅣ扢㔲攴〳挳㜷摢㠲㈶挱攴㤴扣㐹㑡㘴挶㔸㥢㌵㝦づ㈶㕢㌰〱㜴㑦㐰㡥㜲敢㠸㝥㔰慥㈶ち昸ㄱ㍤㍡㤶㈰㘰㤴愷搴昸〸㐶搳搵敤〸㠸ㅣ㤵慥㈵㜷㌰慥㍤㠵㤲㐸〸ㄱ敢ㄹ㈴〲慦㘰㑡挸搳挵㕤戰捥戹㜶〸散ㄱ㘳挷敤㜰㌶〰捡〱㤰㔵挷摢㝤ち慢愹㑥攳つ慤㜰㝢㘷㔵㡢㥡戸慤戳㍥慤㌷㍥戰㐱㜵愴㔱㔲㡡㘴戳㐶㑡戳㙣㌰挷敤愴㙡㠴㔲摣㠹戶ㄱ㔹㙥搳收扥㔳㡡扣つ挵愴㘸㈶㘷㝣㔴ㄱち〲扤戱㡥愲捦㍥㥢㍣㔲ㄱㅢ摡〰㈵敡愹愸㙣㈸づ〹㥥挲戵㤳慡㉣挵㑦攰敦㕤㜱㜶扥ㅥ戶搴㤸㔷㐶攳㥡愹㕡㙤摥㠵㤵㔰㌱晤敡㌶㘱㘹慣㉤搲㌰㡡㍢㝢搵晥搱昶愶ㄸ㌱㘶㐳㠶㐵㌲晣挰㘰㐳㌰㔷㉡愲㑡敢㙣㠸㕢摤㈸㉥昲改戴㌴㕤㠵㠱挵戰㍡㉢搷㤴ㄹ搶戴攴㐷㔵㠷挶㘹㔱挹㔱挳㥡㕡づ愰搲㐳捡昱㌸愷ㄸ摣戰捥搲㉤㠵㑢っ㄰扢㜱㙥愱ㄲ㈲戴摢ㄸ㠰㈷㠳敤㠳ㅤ散㐸ㄴ㍡愱㜵㐶〹㕡挸㈰摣搶㐵㤰㜷㝡挴㈸〴愹愵搲ㅦ㡦㡡㙦扤挰昴捦㐷㜳㐹㈶㘶㈲㠶扢㌲慣〷㈰㌷ㅤ㤹㈴ㄷ㡤㈶〱昳㐸戲㈹愱㌵㤸㤴搱挴ㄸ愲挹攷㠷戸挵挳㔸搶㌰搹愶㠶㝢㙥愱つ㙤㕡㕢摦㘵㥤㜲㉢戵㝡㔵㉡㔵㥣挸㙡愵㤱户〵扥搴ㄵ挰㠸㥢㌲昶㈵摥㤴㔳㌸㑡㜱挹㐴㔲敦㜶户㜱ㄴ摤㤵㤰挳ㄸ㤱敡㘳〰㌲挳㉤愷〲㘲ㅤ昷ㄴ㘸ㅦ敥㙥㕥㘰㔰㤷攷㈰搲㍡㡡㈸换收㜰ㅦ慦ㄱ㐵㔶摣㤶㙡㌶攷捤㜹戴搹㔳㐵㈷敤愸㘸㕢攰〸敢㡣〴㕥愱〰㘳愴㐷敥攰㈰戹㙢㜱㜴昷摡㔳敡㌱㜷つ愸㔰ㄸ㄰㡣昱昲ㄴ㤴挳慥㠲㤱㘸㜰㙢㑤慢㕢㌰晡㑢换摢㤸〲㄰っ〳搳愰㐵换挸挰㤹㐱㝥㜳〳攷㜶戴捡㠸㤰愶㠳愹㡣㔱㡥挲㘱て愴㠱㥢㜸㤰㕥昲愰㠴挲㍤敡㘲㔸㜲㌷㜱摣挱ㄱ挸昳㙦㘸㉢㕣㌰㐳㕣㝦㜱昷戶ㄵ㑦㔵慢㌴㜷攱㥦摢ㄶ㔸挵搵㡤挸ㅣ摤搳㜶㈹㑢慤㠹昶摤ㅤ㙤ㄵ昱㘵挱㠳戳ㄳ㈷捤戰戲戲ㄸ慥㐷ㄷ户㝡㈵〹晤㘷昰㐷㙣昸㜶摡捣㜹㤷ㄷ㔱搷戸昷愵㑢慥㜷搹㔵昳搲〳摥晡〳㠵攰ち㘵㍦㈷㔹捡扤㠹ㅦ㤵戴㥣晥㔳㡣戸㤵㘹㜳㠰愶㠳㠴攳愸ㄴ㐹㠳㌱攴㌳攸〴戶㝢攳搶〰改㘴㑦ㅢ㥤㈸㐱戰㐳㈸敥挵㜷㡣㔰挴㑦㠰㔶ㄲ㑢㜴㈴挷㥥㝦ㅦ慣㉦㕥㐶〹ㄱ㡥攷㔸㡣攸敦㐳㉥〳㜵㑡㤰挷㔷㍣㜸㈱攴慦〷㑢〹㌷㙦挸㑥晦て捣㉣㝥摣㡥愲摢㠸愲ㅦ㜵愰㐸昰ㅡ㠸攲摦㠷㤰㐹㤲捥昰散㕢ち㠴㜳㑤㍢〷搰㜷晤挲敦㕦昰〰㍡ㄷㄳ㠷戲搱㄰㙡扢ㄳ捦つㄳ愱慦挳㐴㘰昰㕥㤹〸愷㤱ㄱ㡣攲㐷㈶㐲散〳㤹㐷挱收㈶〲㘳㝢ㄹ㠶㘰㉡搴㥡㜲㙢昰〴㜶㠳㐳晦搸㐹㕣扣㤵〱攲昹㔰㕡挱っ㍣㔲㌷㜶ㄶ㉦㤸扥改散㔵攵㈷㝣〹㘵收㉦攱㈶户敡挲ㅥ晢㌶慣㔱㥤㌶昰㔵㈴㕥昶ㅤ㝦捡搶敥慦〳㔳㔱㡡摣昷愲㈸ち㙦挳㔳㈲㜸㙥挸㝤㝡捦扦㥣昸慦㈷㥥㍥捡摢㙡㌱慤敡㜷㈳摦㑢挸㥥昶〴㠲扡愹㡢㈲搷昳挳㥣搳昸㐴挹㕥慤挹㘹搳㔷㔶㔰㘰㌸㐹㌶㈲扣ㄴ㘱㐶挴户ㅤ㑣㑣摣㝢㠸㑣捣㠹㌶㜷愷晡戰㐹戹〸㈷㔲ㄳ㔷㍥扤㈴㙣㈸扡㉡戲ㅥ慤㑤晤摦愰㡡摥攲㐴㕡慤㐴㥥㍡㤹㠴昸搷㜶㕤㜷㤸扡㉥㍡挸㌰散㥦㐸㈹挴ㅦ㐸㈱改㠳っ㉦〴㈸㈹㜵ㄶㄹ晤ㅥ㠰㡣挸㕡㝢㠸㤷晥㠰ㅤ㈱㈰ㅢ㤷晥㝡晣㠸〵扢〸㉣㈶扥昸㕥㑦戴戴㐵ㄳ搵挴㔰慤戲㘹ㄶ㤱㔱㠷ㄷㄶ㑣㈶愵㑢挸㈴㐹㍦㠸摣㤶摤㔱㝣挹㤰ㄳ〵摥㈲挶搶ㅤ晡摡㑡捥㌱户㡥㥢ㅦ搰㌳〵愵㌰摣摤㉣挶㠱㔴挵攸愲愶愵愸㠸㜰㌸捡㌶㍡つ挴㔵搰㔹敥㕥㥣㑡ㄱ晣攳㤷㐲慣ㅦ㙦づ㝤㝤㝢つ㜵㥣摢㡦〵昲ㄷ昶搷㙤ㄹ㡣㡤户㤲㘳㈰㘱户搴慡ㄸ㕤て㍦㠷㉥㕣㜴㑥ㄸ捤慣㝡ㄶ㠷昱㈷攱慣㍥慤㐳晦㌳㝡慤㌸敢㍣㝢㌳㡣摤愲晦㍦㠱㠲㑤昵扦㘰散㑤㈱昲㤳㜱㠶て㍡攳㈷㥢㠶㙣戸㈳昰㙣㈳㜸愳づ挶㠶捡㌲攴ㅤ攵ㄶ昱昱㙡㔴慤㈴㌸晣㕥昹昶慢ㄱ㡤扥戴㙤〷扡ち㐰挶㠶昴敦㐳〴㜵敤摦㉡户㤲搳㙤攱㔱㜴摣㜳摡慥昸㕥攰㔹攱搸㈲㠲扥㘳晣昶捣㠲捤㌳㈵晥戱㕤愸摤㠱㥤ㄸ晣ㄴ晡㥣㤹㠷挰㍥㈳挳㜷㉡ㄶ挹挸挲搶㈲ㄹ晣づ㘹㈴ㄵ㕥愲㜶〸慥戳ㅥ慥㥢㌵㝣扡㍡て㕦㘷挸愲㙤愱散㈲㡦㜳晢つつ㙥ㅤ敥㘸㝤ㅣ晥㈰㔹㥢㐰㜰㑣㉤攱搱㑦㜱㕦摢昷愰戵㙤扣戶㠰㉤㝢昳戹㤵昴㤷㠰搳慤扤愵㤵㘴昸㑥㝥㤱㕣㌲捡㠴戸戴㝦ㄴ㝦户敥愰攵㘸愳愰昳昸㠳㙥㍡挲挶㙢㜰㥦㙤㈱晡㝤〱㕤挵ㄴ〱㝥つ㌳捥昰㐱搰换㐷㔶ㄴ摦挵戲挸〰挸攷ちㄵ㠰敥㔴晤攲㐶㔴㍤昲㄰㝢㈲〹㥥㌱㐸㡥㈵昱㙤㌴攴㜶㐵换〶㑢㜰搹㐲㥤㈵㤰㌷㤲ㅥ挸攷〴捦ㄲ㙡㈲摦㐴㠷挶㐴㙣㤴㜶㥦挸㌷㌶㥡㠸愰ㄵ愰ㄶ㥡ㅥ㝦㈴搱㈲㐶つ搵㠶㐳攰ㄲ㜸〰㈳㠹㌲ㄹ愶㝣愴搰㈹㐴㌱㠶㤷㠹㈲愴摦挴㝦㕦㍢晡敡㉢㑣㝦㌸㉡㤴㐴㐴㔵敢㉡㈸ㄱ搵㉡扥㤲㕥㠵㡦搲敥慢㜸㙥愳㔵㡣㔰㔸㜲㈶㐶〸㌰搴㈷捡昸愳㔶㔵㐷㠶ㅢ捡㕦㜱㠱〰扦㉤戳ㄸ㌱㔱愲晡㕥㐶〶㝤戹昳慡搵ㄵ㘴㤲扥㍡㌷㈲攳㉢ㅦ㘵㈸昱㐶㈴㥤㍡㠵挸㉢㕢㠸搴㘳搱㠹摤戱摢㐲㐸㘰㐹晣㙣戶慢㙣㉦昴ㄸ敡ㄷ捦㈶㠸㌹㜹㌲昹㠴㑡㡢㠳㑦㈰㡣挸㌴㈵㈱㜱㈳挵攷㤲挶晦晥挳愶敦ㄴㄵ㐸愰㥥愸㌱〹㑥㌵㝥㈶㘹㝣㄰㥦㘷愹㌶㌹㕥㈵㘰㝡㉤㘹㑣挲㔴㡤㥦㑥ㅡ晦晥攰摥㐶攳㠴づ愳㤱㜵ㄲ㐹㠶搱慢㡥〱愹㑦戵㠷搱㕣户愸㐸〷慣愸㤸㈲㔴挵㤰㙢㑡㤵づ攲㔶㠸㡦㡦愵攷㜰挹〹㜷㐱㈰㙤愳晦㌳攱ㄴ㉥㍦捤㥡愱㠹㙦愱搷㄰㜵昶つ昵挴捥〵㙢摥㐷㐱扦㜵㉡挰攱慡扡慤㐸〴㜶㐱㍥摡摦㑤扣昳ㄹ㌶㘴㜳㍦㤲㘸㤹挶换㈴扤㘹ㄱㄵ㘱挹㡢捦㈴㤸捤㕤㙤搲㡣昱ㄴ㤰〳㌱〹挸㡣㜱ㄵ㌰㡡挸散㘱挱〸昹㕦㌱昷㘷㔸昱㔹㠲愷〱㑡㠲捣㑥㍡㈸㍣〳㌰㥣晣㡦ㄵ㘳㙢捡㜱愲㠹㈷㤲㤷愵挹挸㜸㤶ㅤ㍥て搰〷㍦慥㠸㠹戰㘴㝣〱㈵改㤷㔲㜰愸㤷㝥㤱ㄵ㕦㈲㜸づ愰愴㜳戲㕢摥㌵慥愹㐷ㄵ昶㘵㜴ㄵ㔷〹昰㙢㝣㈵捥昰㐱攷㍥晣㕤㜷愳㤹㘷攲攴ぢ㝦挴㍣㕢㍥攵㍦㠶㑦昳搷戹攸㍥晣捦㈴扡戲昰昳摡㠳扤㡤㐵㈶愰㜱慥㝥㔷戱搹㙦㘳ㅣ慥慢ㄹ㑡攱㠸㔴㉡㐵慤㈰㠸㙦㉥㔸㜸㜸〳摦㜲㐴㔵〸㐱ㅡ㔰ㄵ㙥㕣㜱ㄴ〵挶㔷搹㤴㌸㈶㥥㡣慦昱㠹愸㔵㥢昸昵㌸挳〷㐱扣慡敥㡦挵摤㤳ㄷㄲ搷慡挲㙥㝢㈱昱慦㉡㔶搲㉦㝣㠱㠳㈹㘴㈱搳慡㤵㠸㌴㐵㐳摦㐶㘶愸㙦㤸㜳㝢〴扦摡ㄵ㔱戹㔰扤㜰攱捦挳昹戱㝤昹㑦㝣㙣昰㠵搷㝥晤晡昳扦晤晢㈳晦晢挶㡢㉦晥昶扦㥦㝦攵㡤㥦㉤ㅦ昹攵㑢㉦晤攲愱㝦㜸攵昵摤搶昷戴ㅦ晥㜹敥㝢㑦㑥㕥㝡昲㜱敢摣摤㈷㥥晣攴㘳て㑦㉥㕣㌷摥搷搷摦㝦搷攸慦㙥晡搰挸搵挷㝦㉣㝥晥ㅦ㌷扡㐲㉤ㄷ㉦㘸㥤〶㤷慤愶昱ㅤ㘴㌰つ捥昸㕤㥤〶㤷慢㌶㙡㌹摥愸㘹ㄴㄴ攱摣攰〴㔴㠵搹㕡㌱昰㝦收㤷戳昴</t>
  </si>
  <si>
    <t>㜸〱捤㕡㝤㤰ㅣ㐷㜵摦摥摢㤹摢摥扢搳慤㤱晣㠵㍦㔸㠲㙤㙣敢㜴扡㤳㜴㤶っ㈸愷晢搰挹戲㜵㤲慣㍤㑢〹〵㉣㜳扢㍤㜷攳摢㥤戹捣捣㥥敥〴挱㠶㌲ㅦ㐹㌰㜶㤹㝣㌸㈹㠸ㄱ〵㑥ㅣ挷挸㔰㐵㉡㤴㔵ㄵ㔳㔰㐹㐱㐱㔲㈴㈹㉡〹㐵㈲㔷晥㐹ち㔲㤱〳搸〱〳捥敦搷㌳㝢户㍢扢㈷㥤㘵愷捡㉤敤㥢㌷摤慦㕦昷敢昷晡昵敢㌷㤷ㄲ愹㔴敡㘵ㄴ㍥㔹㌲㐴慥㉤慥〴愱慡つ㑥㜸搵慡㉡㠷㡥攷〶㠳㘳扥㙦慤ㅣ㜲㠲戰ぢ〴㘶挹㐱㝢㘰㤴〲攷㤴捡㤶㤶㤴ㅦ㠰挸㐸愵戲㔹㤹㐶㍢㌰晤换㌷㕥㈴㝢挹っ〱摢愴㐹搰つ搰㥢〵㤸㤹ㄸ㍦㌲㝢㉦㐶㉡㠶㥥慦〶ち挷㈳㝥㝢㠷㠷〷昱㙦搷慥㍤㠳㐳〳㠵㠹㝡㌵慣晢㙡慦慢敡愱㙦㔵〷ち㐷敢戳㔵愷㝣㤷㕡㤹昱ㄶ㤴扢㔷捤づ敤㥣戵㜶敤ㄹ摥㌵㌲㘲摦㝥晢ㅥ㠳㐳敥㤸㔴㘵㠷㜳㔳捡㜷摣戹挱㠹㜱晣㙦ㅡぢ㙦扢㈱愶敦慢慡㐵㌹㡦㈹㕢愲摢搵戵戱㈰愸搷ㄶ㔹㌵㝣挲昳ㄷ㠲㜹愵挲〳㜵愷㤲㙦㙥㘱㐵㌳改㡥㜵㐹㜷㤰戴户㌶攱㈹摢㜶捡㡥㜲挳换攳ㄷ捣て㙦ㄸㄷ㌲捦㜸㥢㙡晢㤷换慡㍡愱慡㔵㔴〵㝤戵㝢〲㜵捣㜲攷搴㘱慢愶㡣ㅡ戹㜴愱愴搲㤹㔴㔷㑦慣㈵㔶㙥〴㌷㠷㌷戲ㄸ㉤攳㔳㌹愲㤹㌷㉢㌲㉦挲㕥㥡㉢㝢㔰㤹㉥㔹改搲㙣扡㔴㑥㤷㉡改㤲㑡㤷散㜴㘹㉥㕤㥡㑦㤷㥣㜴改摥㜴㘹〱㌴㡤㤲敤敥㑥挷攵捣挳攷㕥晡慤昹㤷愶ㅦ㝦晣㍢㙦㜹摦㤷㑥㥣ㄷ㉦㠰㌷昹㍦昶晥换晣㕦慦㤷㈷㥦昹慥㕢㤰㡦㍥㜵㕡晣㈴㙥㘸敢昱攳戸攱扢晢ㅥㄹ昸晡慤捦敥晦攸昹搳㘶捥戹收戱㘸戴㜳㝦㤵㤳㝤㐴挵晦挴㜴摢㕦昸搴㔳㑦㝣攳㐷㜷㍤㜹敡戹捦㍥㙦㍤戰愹户ㅦ慤㠷㈷挶㡦晡㔸昰搷挸昶㝡昳攴㜹〴搶㜶㔸㠵慦ㄵ捦换挰ㄳ㉣㈷扤㥡攵戸慦ㄱ㔳㠳㕢㜲㘴㈳㜶戱戶㈱㘲攳愴㈹挸摡㘴㄰ㅥ戵晣㕡搰㕢攳晡㈹㕦戹㘵ㄵ㈴慣㌸㕢㍢㙥昹㌴攰っ㤱晥㕡戴晦づ㔶㘰昷㑥戸搲挹挶㐵㈶㠳晦愹慥户㜶㥡㤹㔶搴攰㔸㔰㥢㤸户晣㔰扦㔱㠵㤷㘶摤㠵挴〸搴㔹搱愹摤愵㝣㔷㔵㌹〸㌵戹㌵㐱愴扤㐸愴㠷㔵㜷搲㄰㠷㕡㙡摢㌲收ㅢ㔰㝢摤㘱捦慦挱㜱㑤㉢换摤㍢㌴㌸㝣摢㐰㌱慣㑣慡㈵攰㐳挳户挹捤㈰㤱㕢〰捣换〱摥㜱挸㜳攷ち㝥摤㉤搴㉣㝦捥㜱慤㙡愱散〵㘱挱戳ぢ捡㔵晥摣捡㐰㐱㉤㤷慢昵ち扣㕡愱敡〵㠱ちち㌷摦㔳扣㘱晢挲㠹昹㕢攴ㄵ攴㜵㈵㠰㄰晦ㄱ㥢㝤摢㠶愲ㅦ愶昶捤慢〱㙥㥡昱ㅤ戸㤹㝡搵昲〷愶ㅤ㑥㙦㘴攰㤰戳愰慡㡥ち挲扤挳〳搳搶昲摥攱挱㥤昲㡤愰㤵搷戰搷戵〰扦㝡挲愹㔶㌱〱㔷〵挱戶搰摢戶㘸慤ㄴ㐰敦搴慣㄰搳戱昰扦戰愸晣㌲昴㙣捤㈹㑥㝤搶ち搴ㅡ㠵扣㡥摣慥〷㄰攲戹㜸㥡て㝤昵㘷㉦㝣敤晢㝦戱敦散搹㡦㡢㤱摤て㘵〵㑦ち㝡㜲㜱㉥愶㘸㜳〰晦戶㥥㠴晦扡㕥㡦敦挷つ挹挱㌰っ捡戹搱㥣扣㠱㠸昸㕥㑣㌷㘷晥换搳扦㜰捦㑣㝥昹㥦捥ㄴ㕥搸昲攷昷ぢ㥥㕣㝡敤㙥〲㌲搰戶㜶㐳挳㑤㡢〷敤敥摡愳ㄷ㄰搸㙥昹㔶昴㤰㌷〳㤸户〰摣㌸收扡㜵攸㜶捥昷㑥㠶昳㕣愲㜲㍤〸扤㥡昲愱㙥搷㡤て㕦㜹㉢㍢㙤〵㄰攲ㅦ攳㌹㈵摤㥤㐱㉦昷捡昷〰て㘸愹捦ㄵㅣ愴㠱㔱㥢昲晣愰慢慢㔳〰㜰㠷ㄵ捣㠷搶㙣㔵㕤戰㔱㝢㠵㙤㘴㍡〸搰扢ㅤ攰敥昸㥣㥡昴慤㤳㌰㤶㌵捦戵㘳㄰㉢戲㤱愳ㅤ㈷扢㍤㘲敦戶㠷㠷㉢㈳㐳搶㑥换攰㕥搹愸㙦攰〶敥戵㑦㌸㙥挵㍢愹㥤挵戵攳戰挲㌵摦戱㌵㙥ㅢ昷敡㙥㈵戸愶㜳㘳㌱㠴㐹扦㌱搹戶挶愴慤㕢ㄱ昱㠶ち昴㜸搷㈷扢ㅤ户慡㜵㌵戶散㐴捤搷㈵㥡攱㐸扤搹昵㕢愷㝣昵ㅢ慢慤㙤㌳ㅡ㐳戴戶愴㜹户㐹ㄹ㌵㐵昳㉡㑣捣㝢㠱㜲昵昴戶搶㡥㍡攵〵攵ㄷㄵ㘳㍤㔵搱愲㕥捥愶搸㥢㙦㍤攲㐲㔰挴㈰㤵㕦㘹慥戵昷㉦㠷捡慤愸ち收㡢㕤ㅥ慥捣搰㌸慥㘸㈱㠹挶㐴挳搵㉤搵㔳ㅥ慣㝣挲㜳㐳摦慢戶戶㡣㔵㤶㉣㥣㈰㤵㘹慦愲㜰〰㘴㔸㔲㈲搵搵㈵㐴敡搶㑥㕥㤸㝣㠳㐱慤㠸㈶ㄵ昳㍣戸慡搵散〶㡦㐱㍡㐸㔱㔵戴挹昴つㄷ㘱愶昹㤲捤㉤敢ㄳ㌶挹挴挰㤸搴㌷慦㑦慤攷戸慡戹晦㕦攲㜴㝡㜳㉣晤晥㈵㜸摦㍢㉣户㔲㔵㝥愷㡤扢ㅡ搶ぢ捥㐸づ〱ㄸ㝦〷ㄷ戳敥敡搱敤㠹㘵戱㘲㥣㜴㉡攱扣㌹慦㥣戹昹㄰㜵〸晤戳搹敤㐴㤲㐵敥㐰㡤摣㐹戰ぢ㈰㤷㑢㤹㈳愴㌱㜳昲戶攸㕤昰搸愳晦㤲扢〹昶〰ㄸ㍣挲㉥㝡㌸㜳捥ㄹ挶㈰㝤戵㐹㘵㕢戸㈱攸扤㈵㉣愳ㄶ〵捣㤳㉡㈸㑢㐶ㅤ〷㘱愹换㈶㌰㙣㍤挶攱㙥愸㤶挳㐹㉢戴扡㙢㠸㕦戰㐶ㄲ㐴㕢㜵慦〸㘳捦㍥㕤搷攸㥤㡢摦挰㈱慦搱㈶㉥㍤扡㈲攲〴戳㠵戵愶扡㘲㜸㘱㈱㌰㜷㍡㈸㌳㘹㘶慤㜱〸慥〰㤵〳捡㥤㔹㔹㔴〱挹戳㘶㈷㕤慥㝡攸愴㜱㤳搹㤱昲散㍤愱㔳つ〶㌱搳〳扥㔷㕦㝣㉤昹㤰㤷扣ㅤ愰㔱㡣扦㠶つ㙤㕣㈶㕥㍡扢㤷愸㥢㔲㈹㤵㈵㌷搶㐸〶㐲㤲戶〲㘶㉦攳愱㡢摣㡢㐷敥㐲㙤〶㈳㥦㔷ㄲ戳㌱ㄴ敡慤㘱㠵㘶㝣愵㙦㕡㔹晤㠲搵敥慢昱㑡㌷敢㜹ぢ戴愷㑤晡㙤昵㉥搸ㄳ㐷戲扣㠰〹㈱扡搶扤㤱㌱㈶㌴挷〰晡挶慡搵㐲㠳㘳㘰㡥愳慡ぢ㌱愶㌹〱攴慡㤹㜷㡥㙤㝢愷攵㥥摡戶晦搸戱㙤挳㐳㐳户て敦ㅥ㕣慥〶㌵㜱ㄶ搲昳㑥搴ㄶ昹㍣ㄳ㌷戴挵㜶っ搳㜴㍣㌹〵㐴㝣〵㘴摣搳挰㕢㡢扣〳敦昲㈰挱㥤〰搸㤹㝡戵戱㌱て㐵慦㠲愱㥥摥㤸搳㈴㍡っ㈰ㄸ戴改昸昲〸㤰㐶ㄱ㑦㠳㍦㜵慥昵挶搸戰㕤㙦㐵搴收攴〵摡〴㐳㐱敡㑥㜲慤㈴㔷㐷㜲㘵挴攳㘰摣㜱〱㍥ㅦ㌷㈴〳㌹挱昸㑤捦晢㕤㘴昲㙥㌲㘱攰愵搷攴㍤㝣㍢㡤㥥㥤搷攴扤㘸㤶ㄶ挱㉣㐰搳㥡㔴愲㔷挱攰㑤昳㔶㈴戲〱〴攳㌳扤㈶㜳㐰ㅡ㐵㍣㡡㌱㔶搷㠴搱㕥晢㥡昰㕡㥣㤳ㄷ㘸ㄳ㡣晡㍡慤挹㈷搶㕢㤳〷攳㠶㘴㠰㤸搹〶㑥ㄷ㜴ㅢ㡣㙡㜳㠷㍣慢㌲㘵㤵㤱㠸改㡥搳㌰搹〹慦戶〸ㅦ改攷改㘰㈶㜰㌲攳挴㕦㜲㉡捡捦戲愲㠸ㄴ㔰㠶挱愳愹㥤㙢〰㤳敥㑡ㄹ㐶㑦戶搳㔸〷ㅢ扣㙥㠸捦愷收ㄴ搳挱㌶晥㍦扣㝢捦㈸㈶〵㉤昴〰㑡㥥㌳戲づ㈰ㄸ㕣㔲㥥〴挱ㄲ〹㑥〲ㄸ㐳〰慦㈰㘰搰散敤攳㡥㍡㐹ㅦ扢挹㐶摡㘵㐲〷攲摣昶㝤昶愴㜷搸ぢ㈷㥤㘰戱㙡慤㙣戶㘳攴挴扣㜲ㄱ㉣昹㠸㤹ㄲ㜵摥攲愲慡㐸扢攸搵㜱昹㌹㌸昹㝡〸愶戰ㅣ㔸㌶ㅤ㐷愵攱慢挴愵挵〷戸㝦〸㈸〳㈵㘵昰㔴㑦ㅥ㌴晡㘲摣ㄴ㤲㘹㤴敥扣㝦㙤㐵㘷㥣戰慡㝡㙣ㅤづ㘹㍣㙢㘳ㄵㄱ㠱㔶扡敤㤹㜹㌸攰挹㍥晢㠰敦㔴㜰戱㔴㔴挶㤶㠸昴㤰㥡㐳戴㜹搴ぢㅣ㈶攵晡散ㄹ摦㜲〳㥡愵㕢㕥㜹㐳换㥢㌶㐳挳ㅥ㜷摣〰挳㘸㉤ㄲ敦户㡢昳摥㐹搸㕢扤收ㅥ戰ㄶ㠳搷㠵㔶攸㉥愳愲㔵㈳搲㈲㥤ㄶ搹㜴昶㔲昵㘳㉥㠳摢收㈸搱㔰㠰㥤㠶扥㌳㕢攷㠲改㐱愸戲っ㠱搶㘱捡搸〹㉣㜹㐸㌷愹㌰ㄱ摦㜲慥㉤㘹㥥㡥搷挴搵㠰㔲挷㤳㉢散㜳ち攰捥〳昷ㅣ㕣扢昹扤扡挴㉥愳挸つ〷摡㡣㈱㌶㐵㈶挴攰㥢ㄶ㠵㥤〹㑢攰㕢搲㉣㜳戶愶愱㠵㙥㕡㐳愷㄰㉤昶摡㠷慣㔹㔵挵昵ㄸ挹㡤㑤搱ぢ㘳㝤㈴㜴㠲戸つ慥慤㘶搱攴㤸㤶㉡㤶慤慡捡摡㘳昵搰㐳㍥㐵摡〰摡㉥攳㉡㙢ㄹ㔵搶戲慥敡戵㡦昱敡ㄹ㜹㑦昰昲收㉣摦〹攷㙢㑥㌹换ㄷ㕥て㕦ㄷ戶ち晦挱攰扦㔱ㅡ扥㈴ㄹ摦㐶㔱㈶搴㍤㠸ぢㄹ㤷㡥敡㠷㐵愷㠵㠹㝦攲ㄲ㙦㈶昰㍣晡昴㤴敦〷㌷㠳㔹ぢ扡㈲㕤捥㌷㍥㕥㥣扦て㌵摡㌹㠹摢㐸㠰㥦晣捤ㄸ攱㡢搸つ搰攱搴昸〰〹敦㈳〱㙦ㅥㅤ〸敥㈷挱〷〱っ挶戸㐹㠱㕢㐳㜵〴昴ㄲ㐴ㄹ㥤敦攴㈵㈲㡢㠰㕢摦㍥っ慤攱㥥愶㕢㠳ㄹ㕤ㄸ戲㡤㈴慡㔹㠴改愸㑡㉥㜲㕡扣㥤㔰挶㌴㤲晤改慣㤹捣㜷戴つぢ㘶戵愲搲搷〹㐱㥦㙢㝥〸㘰㤲ㄶ〸晥愵㔷㤵㑦㑣挶攰戹㥣㝣〰捣㔳㌹挱㘰扣戱㘲㑣搵挵㈷昵㠷㠱捡㡦〰〸㐶愰㍣㡣㥢㡥づ挱戰㔳扢㈱昳愳挰慥㕣换㥦㕤搴㘵〹〶慢㜴㕢昲㘳〰㠲㔱㉢扤挱慡㜵晣㌶昰㡢㕢〷愳㕢㙤ㅤ扦ㄳ㈳摡㍡愶昱搲㄰〵㘸㐳㤴㡦〳㤵て〲〸㠶扦ㅤ〸㍥㐱㠲㠷㐸挰㠸㤸ㄶ㘲㍥っ㌰搵㔸昹㔷㤹㈴敤戰昶㡦㠰㍤搶扥〸搸㤸て扤㙤扣昶㥦〴㉡㝦ㄷ㐰㌰昸㙤㄰〰㙤㄰晣ㅥ㔰昹晢〰㠲㠱㜱〷㠲㍦㈰挱愳㈴㘰慣㥣搴摥㝢㔱ㄷ㘹敦て㠱扤㈲敤㔹攸愰戵昷㐷㐰〴攳敢ㄶ敤㝤ちㄵㄷ搷ㅥ攳㜰慤扤㑦挷㠸搶ㅥ㠳昱づ愲晣㌱慡攵㘳㈴㘴愰摥㠱攰㌳㈴㌸㑤〲挶敥㕡㝢㥦〵戲慤愱扤㡤㈵㘸㍢㈸改㜳攰〲㈵㉤㤰ㄹ㝥㡣㔴㝢㔹ㄳ㠵戲㥦〷㉡ㅦ〷挸㠷〰㉣昹㝡昴㑣攵ㄹ挵戲攴ㄹ挹戲㠸ㄵ〲晣攴㥦挴〸㌳攲〶㕤㘱搲ㄹ戵㜹㕦扡散㥣㑤㍦㕣っ㔷慡㌸晢㠸搲㌹㐵ㄸ愳昷愸ㄹ㤱㤱攷攳昳㙦㈶㤹晡㔹敤扢ㅤ慣㝡戶㈴搲㙡扡ㅢ㕢攸收㡤㕦挳攵㘳摤晥㤴㘰敤㤶捦㍥㉣收ㄳ〰㕢愶㥤戲敦〵㥥ㅤㄶ㡡㠸敢ち㑣㔳㐲㘱㐳㘳挶㜱㜰散㌸㈶〵换戸㄰挴㔸㘲攲㈰户攰㝡㈷㕤㍤ㅢ㈳㘰戶㔶慦㔷㜷㌷㠷挹攱愷换㕢戰㡡㜹ㅥ〹散㉣㥦〴攸敢捡搳晤戳攴㜹〴戰攴敦搷て㈰ㅦ㡣ㄱ攳〱㈰ㅢ㜵挰攴㉤㘶㐵㔹㔴㠴捡㜴㜷㡢ㅢㄳ㌹挱㌶挷扤㥡搶㌱㑤晡㙤㘳〶㈲㙦慣㔳敢㡡戲㌳つ㐳㍥㐵昰〵㠰㕣㥥㡥㤸㜵收ㄹ㠰换㈶挶㑢慤ㅦ摦捣愷㔱摤㡢㙡㝤㌶ㅤ㐳㉥搵晣㈲㙡㌶愱愶㈹晡换㝦〴㜵㥡昳㤷㠰攸㡦㔴晡㜳㤵搰㑥㤸㔵㕦〶攰㘴㐸㈴攸㠴㘹㥢攲㑥〸㐲㡢〰㥥㤲㔴㌳㌵㉡敥㐰つ戵摡慡ㄵ扡㘲慤㤵慦〰㠱㔶攸㜶㔹昲て㐶捦㔴㥥㝥㤶㈵晦㔰昴㑣〹晡㐱㙡㐶㑣㠱ㅤ㔷㡤㜱㠱㝣㠶攰㉣㐰㉥㑦㔷愸攷㑤改㈵㘵㤵ㄴ㉦㑦敦愸敢㥦㘵ㄵ㤳ㅣ晡换㔶㥥㥥㤱㈵㑦敦挸㤲愷㉢㘴挹搳ㅤ戲〸敤扡㠰挸慦昱つ㍦㉤㌳㕤㤷㤶昹ㅤ㤸㐶扢捣㙦㐳㙤扢捣㜴㘰㕡收扦〱〲㤹改慣㔸昲㜴㔸㉣昹捦攸〷㤰搳㌱㈲㍥〷㐴换扣愷㔹收㙦愰㔶㝥ㄳ㈰㤷愷㘷改㈴㌳㥤㡤慥晦㕢搲㌲㠹愱扦㐵攵改㔲昴㈴扥〳愴慦换攰慥㜸㝢挲㘴㍢㕦ち戶㈶扦〰散㐷㐶㝦㠵㍡攸㐲㍥㈰ち㜷㌲改户㕤ㅡ㉦㙥㡡㝥戰攲捦ㄸ㠴慣慦㠲㑦敢㌶㈱挷㌷攱㈷晦㠱散戹㔷っ晣㑣晣㥡捡昹搱昸㘵㕦昴捣挶捦晣扥㝥㙥㉣摤攳摤攲捤㡦㡣ㄹ攷敥㝢散昹㍦㝢晢㡤㥦㍥昳㜲晣扣敦㝤㕢扥㜰攰戹㔳㕦ㅦ晤昹ㄳ捦晦晤昴散挳愳㠲扢收㑡晣㤲㜹慤㕢㈰㔶挷扣搶捤㜱㐳㌲戱㤷攷㍥搳捡晡㘷㈰㝤㕤㠲㥢㠵ちㄳ㌷愱〷㔷㐹ぢ昶㍤搴昴㜳ㅢ㔰愸つぢ〶㕡㤴㉤晢晡戹㜷㜴捦昵〴搴㠴昸㑥ㅡ㍤捦㡦㝥晢㕢㉣㍦ㅥㄵ捦愲愶㤳愰㙦㕥㑦搰㐲摣㤰㑣攰攵戹戹戴愰捦〱㠱愰摣㈱㕡搰敢㥢〵晤㜷搴昶搳昶㉦㑤㔰㙥㤸ぢちㅡ㘹昲㠱搱㥦㝤攰摥戳攱㈷晦㜴昴㠷㜷晦攵昵ㅦ晥挱ㄷ㐷〵昷㔰㈷㐱慦㕥㑦搰慢攲㠶㘴㔶捥攰慥扢㔸愲慡改㘳愲摥づ㌶捦敦ㅥ㍢慡收㐶挱〹㡥㉦昱晡昰敢挵扤搲挷攷扣㐳㐸㥦攰㘶㡡扦㘵㠸㍤㍥搲㉡扣㔱㌴㜲㜷㔲扦戱戳㘹ㅦ昱㤱捣敢戶て〶㐸㝢㔵戲昸㈰ㄲ㠶昸晢㠷搷挳愵ㄳ攱㐸㠶づ〵㉥㠵㥦〰搳ㅤ㈳㠱敤㘸扥㐰㍥㘰㙤㍤ㅡ㕦改搲扣㡥㕥㕡〶捣晣㑦っ搶㐸戰㔴㥡ㄲ㉣ㄹ㜱〵㔴ㅣ昹昸晢㔳㉦㜳捡戸扡愵攴て昰搰愹㙣㝤㔶〰攴攴㝦戱㙡愴〱㔲〶晤㔰㔲㌰挶㘵㔳㤴㍣昱㥤慤愷㠷搲㌶㡡愰ㅢ愰〵㤹晦つ搰ㅣ㡡户㑥㉤摦㜱㙡捦愳㑦㘲㙡㍦㘲搵摡搴〴㍤〹愷搷㈸㠲摢㔱て昸ㄳ㈰敢て㤸敢㌸攰㡢攸㤳ㄸ昰愷慣㙡ㅡ㤰㍢扡㜹㐰㠳敢户㘱攵搲搱㙦挶㌶㠸晦㙡㤱愹㤳慤㔵晥捤㘲愷㕣㜴㙢愶敡㈵㜴ㄵ搴っ㜹挸㥦挷〸㕦〴搷㐹慢昱ㄷ㝣攳ㄲ㘹㥡㕦挶㠸愶愱㘸㥡㠶㥡ㄷ㤴㑡搳㄰敡㜶㔶攸㈱㠰挸㐶收〲㜸㉡捦愱戴愷㑢㠳㄰㥥㑥て搲㐶挵挱㌴ㄵ晦㐰ㄳ㔴㝡㤸㌶㉡㡥愵愹㑣㑤㤵㙦っ㠴攴㑢散㍥㝦晡换攸㥣ㄸ㐷摦慣㐰㐶愷搱昰扦㠹〶㜲㜸ㄲ㐴攲挵搶㠶㥥晦〳㍦扡晦㡤</t>
  </si>
  <si>
    <t>Simulation started on 10/9/2017 at 11:26 AM</t>
  </si>
  <si>
    <t>Simulation stopped on 10/9/2017 at 11:26 AM</t>
  </si>
  <si>
    <t>Worksheet: [TZA-Zanz-ERR-100917.xlsm]ERR Calculations</t>
  </si>
  <si>
    <t>Forecast: ERR (20 years):</t>
  </si>
  <si>
    <t>Cell: F7</t>
  </si>
  <si>
    <t>Entire range is from 10.8% to 32.3%</t>
  </si>
  <si>
    <t>Base case is 25.6%</t>
  </si>
  <si>
    <t>After 10,000 trials, the std. error of the mean is 0.0%</t>
  </si>
  <si>
    <t>Forecast: ERR (20 years): (cont'd)</t>
  </si>
  <si>
    <t>Worksheet: [TZA-Zanz-ERR-100917.xlsm]ERR &amp; Sensitivity Analysis</t>
  </si>
  <si>
    <t>Annual growth of customer connections (D14)</t>
  </si>
  <si>
    <t>Sensitivity</t>
  </si>
  <si>
    <t>㜸〱捤㔹摢㙦ㅣ搵ㅤ摥㤹摤ㄹ敦慣㜷敤捤〵〸攱㘶㈸㈱㠰㤳慤㥤㑢㤳㤰㐶㠹扤㡥ㄳ㠳ㄳ㍢戶㤳㐰㈸㕡挶扢㘷攲㈱㜳㌱㌳戳㠹㑤愹攸摦㔰愹㤵愰㔰㄰慡慡挲ぢ㙦愸㐵扣戴㈰戵㐲㘹㥦㤰㝡㜹慡㘸愵㍥ㄴ㔵愰扥昰㐰㐵扦敦捣慣扤扢㕥㙦㠲㐹㈵㥦搵晥收摣收捣㌹扦摢昹捥敦愴㤴㔴㉡昵ㄵㄲ㥦㑣ㄹ㘶敥㥥㕤づ㈳攱㤶捡扥攳㠸㙡㘴晢㕥㔸ㅡ〹〲㜳㜹搲づ愳㌴㍡攸ㄵㅢ敤愱㔶〹敤ㄷ㐴戶㜲㔵〴㈱㍡㘹愹㔴㌶㙢愸㘸攷㈰晣ㄷㅢ〵㠳㙦攵㌳㈰㜳攵搱愹昹攷㌰敡㙣攴〷㘲捦挰㠵昸摤㘳挳挳㈵晣づㅣ㌸㕣ㅡ摡㌳㔰慥㍢㔱㍤㄰挷㍣㔱㡦〲搳搹㌳㌰㕤㥦㜷散敡ㄳ㘲㜹捥扦㈲扣㘳㘲㝥㘸晦扣㜹攰昰昰㠱㠳〷慤㈳㐷づ攷昱改搴搹昲攸㜴㈰慣昰㔶㡤愹㜳捣愹昲㘸改慣㠸㙥搵㤸㍤ㄸㄳ㐳㡥昹慥㘹㝢户㘸㔰㡤扣摤㍦㈶慡㌶㠵㈰㐴㘰㝢㤷㑢㤸㜶ぢ愳㔱㍡㔴ㅡ〷挷慢㘶ㄸ㤵㠵攳捣〸㡢㤳挹扢攴㤹〸㠴㔷ㄵ㘱㥦㝢㜲愹㉡㥣愴㌹捣扡ㄷ捣攰慣改㡡っ㌳晤㙥㉣户㠹㥡昰㈲㍢㕡㉥戸攷㐳㌱㘳㝡㤷〵扢㘸敥愹扡㕤换㘴㤴㑣㈶㤵摥摤㘹㌲㔲㌶愵昱愰㕡㕥㌰㠳㐸㤶㈸戵攱㑥㝤㥢㌴㐴㑥扣㘵㕡搴愲㠱戶户㈸愶㔹摢㝤㐲〴㥥㜰昸ㄱち㙦戰慤㤳攴㐹捣晡ㄵ收㌴㔶㐳㕥㈸扤㠹摥换愵愰挲挸㤲ㄸ㈰㝡づ愴晦攴捣捣挰挳晢㠶〶㤶㠵ㄹ㠴㡦㍣㘶昴戲㌹て愲㘴晥〳ㅢ㙡㝥㥤㑤㙡挵㔴㉢昳㙡愵慡㔶㙡㙡㐵愸ㄵ㑢慤㕣㔶㉢ぢ㙡挵㔶㉢捦愹㤵㉢攸搳㐸搹㥥ㅥ㌵㐹㍢㍦晦晥昱ぢ捥㑢㔳慦㕣㑡㍤昰敥昵㕦晥㈰摦㠷㑥攷㤲愹㡤〵收㌵挸㜷㔵㜵昶㤵㠶昸扢戱捤挰㘴慣㠳搶㈱㙢㜸戸㜶㜰挸摣㙦㙡㕣摣捤㑡㙡㍢晡收慤㡢戶㔷昳慦㐹搱攵慤㜱摢㠹㐴㈰ぢ晤ㄶㅥ戱晡挹㜲挱㍡戹〴扢慤挶㔲摥㙥㤵㐵㄰㐱摦愳攵㔵搱摦㍤㙡㠶㘲戵㌸㤸㡣㍤敡搷扤㕡㜸㔷攷挶搹挸㡣挴捥昶戶搵㐱搶扣㌶ぢ㕢㄰愱㥣搲扤敤慦㕤㌰㥤扡ㄸ㔹戲攳收㝢摡㥡㘱ㄵ晥晣晡慤攳㠱㜸㝥愵㜵捤㡣㐶攰㌲慦捡戱搷慣㌲㙥㡡攷㌵㔰㕥昰㐳攱挹改つ扡搳㜶昵㡡〸㘶〵ㅤ慥愸挹愵摥挶愶挴㌴〷愷㍣㉣ㄴ挶㔶㝢愰戹㤶㡣ㄶ㕥㑤搴㌰摦㐵㜰㜹㜹捥㥣㜷挴敤㉤㕤攲㙦愲攱捥㤶敡㜱扦㕡て换扥ㄷ〵扥搳摡㌲㔲扢㙡挲ㅤ搴捥昸㌵㤱㤱㈹ㄵ㔳㈵㤵㑥㉢㑡敡攱㑥㜶挵戱㐳㕡㕥㤳㤲搰扥扢㜷㙥㔲㈲㜶敥㘸戱㉢㈳㈳搳愴㘴散晦㐸搷㤹㌴㉢㈱㝢て㜵敤摤㐱㐹昹搲㡥㔶挳㉢捤㐰㍥㤰㠳㈳㘸㤵敡㠳敢て戹慡㤷㌷㤸㘹㤳㔴戸扦戲㜷ㄷ愶挹㘱㔷㜴敦晦摢㔹㔵户㈵慢㍦㜹ㄵ㑥晦戴改搵ㅣㄱ㜴㐵〷ち㘷㘴昴㤳ㄴ㐹戶㤰㙣㈵搹〶愲㝤ち㌷戹㉥㐷改搸㤵㈵㘵㔹扢㘶搷愲〵㝤㐱搸㤷ㄷ㈲搴〱㔵㘴戳㘴㜷㉤昹㝦〸㔸昱㜷攰ぢ挵戸つ㌵挶敤㈴㜷㠰攴㜲㈹㝤〷㥥㜰搷挶㥤㝣散〴改㙦散㝡〳戱㘶收㔲ㅡ㍤晡搷摦㜷㠸㘵っ戹捤〱㠷㠴㥡㡢㜱挳㜴扡ㄳ㌷㑥㥢攱㐲㐴㐳散摡挸攵ㅡ㜷㤱摣つ㤲扦〷攴散㘹攱挰㡣㙦ㄵ㠴搱戸ぢ摤㜰慢愴㜴㙥㜷㘷㤷扤敡㐲攰㝢〰㜴㘳㘶㘴㡥㔴㠱〷㐲挵搴摤㐹扦㕣㡦㜴昷戴㡤㐷摥㥤ㄱ㡢挲㡣捡㜰搳㔱挱㥤〴㤶㤰㝥㜴愲戶愴戹㌱っㄸㄳ㘱搵㈰㕥㤸㠰㕢㕡搲㤱㠳㥦捤扢㜴㌴㘲㈹攲搰㍤敥戴〹扣ㄱㄹ攸㌴㈸摦㡡㜳㝣戳㈰敢ㅡ㙦攷㤲ㄲ㐶㈸捡㙣搳㈸扤戲㈲ㅥ㈹㐵㔶愶攰㤹㔲改㑣㐲摢㉤攸㝣㘴㍢㘱㈹㘱㙦㘹捣〷㥥ㄴㄲ搲㤲敤扡づ〵搳扢ち慢摤搰〹㌸愶慡昳昱戰㤸捡愹挰慦㉦ㄲ㜴摣慡㜱㌸㔶捡戸ㄷ攴昵捦摦㍥扡敢戵㜷扥㑡㥥㉦挱㠴㘴㌲㠸㐹っ敡㍢㡢㜸挸㘴摣㡦㐷慥㕢㥢㐶挴搲搱搳慥㠳㡤㘸搲㜹ㄷ慢㥤ぢ㠴〴㝢㔹㔹㔸㕥ㄴ〵昷愲ㅦ㕣㤹昷晤㉢ㄴ㝥㥦㉣㠵ぢ㐲㐴㐴㔰扤〹㘰㘴㕥㔱㤴㜴扡〵ㅦ㌵㐱㉤㘲㉦㝤ㄷ㐸㘱挴㜱〶ㅡ㈳㠶晡㐳愸㑡ㄳ换敤㐶㘶挷摣愵㤱扤㤷㑣敦㠵扤㐰㘱㝢㠷㠷㠶㡥っㅦ㉡㉤㌹愱慢晣ㄹ慢㈷晣晡攰慦㐷扤㕦㝣昰敤戳敦昶㝦㜴昸搰搸㑦晦愸晣㈹㘹㘸〷㔴ㅡ摤㔳扢㠲㐸㜰戸戲搵㌴㙤㘲㜴㍣扡㜵摥戳愳戰搷ㅡ愹㐷晥戸ㅤ㡤㠵㔱摥〲㐱㔶扥戲㔳㝡攵愶㤷〶慤ぢ戶戸㌶〷ㄶ摤户戶〹戸戹㕣て㈳㕦敡晥扤㙢摢挷晣戳㝥㌴㘶㠷㡢㡥戹晣㘰㠷收戸攵攲㠲昰〰ㄳ〲愰㠵ㅢ㜵昲ㄷㄷ㐵慤挳ㅣ㘷晤㝡㔰ㄵㄳ㘳㥢〱㘸㈸戱ㄱ愷愰㈷㌰㘱㘵搷晡ㅢ㙢ㄳ摦愹㤹㉡㜴㑢搹搸㍥愵㍦㡡昷㤵㕤㈹㘳㄰㑦ㅣ㔸ㄵ散㈰挶ㅥ㘴戱㤱㘸摣扥扡㉢㐹ㄳ㜸愱愳捤㔹㄰㙣㕣㔷㐸搰昱㠴ㄷ摡㌵㤱㑢㑡㘷㙣慦㉦挹㑥搵愳㤶ㄶ㜳㘹㕢搲〲ㄳ㤸昲㈰晣慡ㄹ搴㌶㠳㕣戰㌰愴㔸㈸㡡㡥摦挶㔸ㅤて㤳㑡㝤搶㠸㌴㝣昶ㄲ扣搴㕥㔴㤳搷㐴〹ㅤ㍤搲㡡㐱㈲搳㠴晤㘸挰〵戲㝢愵㍡换搲ㄹ㘱㝡㔲ち戳㔱㙤㑣㕣敤㤳㍤〴㔴ㅣ〷㔶㐷㙣㙢㉤捡㡤挹戰㐶收㐳摦愹㐷愲㙦㈵㈷㑤摤戰㘶㠴㘳ㄲ挷攷㔷㜲搳搵〸㈷㥤㤵昱㠸搱㌷㡦㠴挰㤱㑣㈲㈵㐵捡㐹敦愲扣慤㡢愰ㄵ㙤㔰慡搸㜲㉤㤹晥㝤㕣㜹攵㘵愶户㡥愷ㅡ㤹ㅣ㔳㑡㈳扥戸㜹愰㑥㑢摡搶㌸㍦挶㍥㑥扡慦㝣愳㡥ㄸ戹㘰㐹捦㠷㠳㌰㘳ㄵ晤㌴ㅤ〷㠱愴挸慥㥡㡥戳摣㘷㑤㜸㔵愷㕥ㄳ㤳收扣㜰ㅡ㕥摢て摣㑤㈲㉦ㄹ㘳㡢㘵搵㠵㉦挹改㘵〲㠱戶挶戱㘰挳㡥㉥㘵㤴挰㔶㠹ㄵ㌰㐶捥ㄸ㐲㠹愲㈱㈶晦摡愷㈲挲㡥慤慢㘷㝡ㄹ〲㠲㙢㕢㔳㐵㥦㐶㠴戸㜲戰㤲ㄶ搷搴㙤搲㥦昴㜱攸慤㌵㔵㥤戶攳慡㑤㘳㔷㔲㑣扡慥㙦㜴㡢㠹㙤攱搷挷挱㌳㈴㌸扤昸㜹㥣㕢つ㈵挰〳㑣㍢戶㙣㠲㈲㜲昷㤷㑥㤰摢㔱㍦㍤㔸っㅤ收散挸ㄱ扤㤶㙣㤷昹㉣㑤㠲摣散戱收ㄶ㠰搳挶ち搶愹挰慥㌹戶㈷〸㐳㄰㠴㘱搸㙤㔲㕣㐶戸㘰摡て㙤㐶㜵ぢ搶㕣㘰㝡攱㈲攱㜸㜵㜹㙢㑢㐹ち㑢戳㐶㙤て〶ㄴ㝦㤳昹㝥㙢㜶挱扦㠶挰㜰摤昵㑥㤹㡢攱愶㄰ㄴ扣㔰㤲㘲慢㔲ㄵ㔵㔵戲㙡㜶愳㝢㤵㐴捦〴〴愹㝤ㄸ㔷㈵㐹挴挵愳㘶ㄷ㥢愵愴㤲㠰つ㙤㤶昳㙡〹戰㜶㍣㉤慥㐴搶改㠷つ㝥㉣扦ㅦ攴昱㔳攷㈷㔶挳㝣摦㈸㍣慥昱㜰摣㘵㍢㤰慡戱ㄲ㔳愰㑡昶挵敡挲㍡㙡㡦㈱愵捥㔲扢ち收㉣搹㠷摡㠸ㅤ㤴摤㤹ㅤ挷㘹㉦て攳㠷晢挵㈹ㄹ㝥户㉦㉥㄰搴戹愶ㄳ㈶㙤㘵摦㜵㑤慡ㄷ㔵㜳ㄶ扥㕢㘴㈵挲㠶㌷㌱㉣㄰愹㠳㐹㤵戹㠴㉡㜳㐹㔶㘱㑢㘶㥣㔰收㌹㤶㝦搹っ散㘸挱戵慢㔹ㄶㄸ换摢ㄴ㝡〹ㄵ㤲㈷㔳㌰㤴㐹㉡㈷攰㙡晢㠹㍣㍥㐴㐲摣㈵㥣㈰挸㍡㡡ㅦ摡慢捡㝤㕣搹㘰㄰〶敡㙢㄰摦ㅡ〷㐱㌴㜹ㄱ挳戳㌱㔳ㄳ〸㐳㡤㜴㐴ち攳㈵㙣㌶扥㤳㘴㔸挸㌰㍣搱昵㕣捣戳㕢㙥搲㌷㙢攳〸昷晡㐱㑦㜲㥤㤳㠵㘸改㔶㠲㈲㘳㈱㘵〴ㄲㄱ愰扣ち㉣ㅣ㘴㔹㌱㡢㈸㐳㠶㔱ㄴ㍤㤶㈱㜹㤳搲戴摥㙣愷㙦㑤㌴挶㝡㌰㌹㌳㌶㕦㑢㑤慣ㄹ晦搳㜳㠷愵户捤攵〸㈵㡣㐳㈴㠷㐱ㄴ㐶㔹戸㥥戶づ㐷搸攱㌱㄰㡤㠷敤㜶㉢㔹㌷㙥挰㑢ㄷ捤㘵㍣㈳敢㜲㌹㠰ㅣ㍡愲ㅣ㠸㡢㠰㈵㝡㙦㤶㜱〵攳㈸挸ㅦ慥㕦㍦㠶㐷㑡戹ㅦ愴昱㝤慡㐵㌲挱敦㈲㙢戰㠷挶㔳挸捤㥤㝢挸昵㘲搳㘱㤴㌶ㅡ㙥戱捥搵㑤〷㌷㌳㔳挰㐳ㄱ慢㌶㠳ㄱ㘴㘲㔴摡㝥搱搰㝡㘱㠳㈳㥤㕣挲搳捦㌰散搱捥㠳搶扥挹摡㐲昶摣ㄸ㙡捤㘹扦㐵㘴攰收扥㐲㉢攸戹捡ㄸ㔶愵㠲搸づ㑡ㄴ㝣捥愰㡡㘱晦㔶㜸㕡㤴㘶㜳〲㤹㐶㔲㜸慥㔹㔳慢ㄱ㠳㜵搹㍣摡〰ㅦ摦摦戶慡敡㜴㙡㠳づ敦㕦㍢搹㐸敢ㅥ㌲挲捦ㄳ攳慤㤹㠳挲敤㐵搶㤶㤳㡣搴㘳扡㠸ㅢ㝡㈵愹戳ㄶ晤搳㙣戴散㘰㑦㘰㤶㜱㥦㌸㐷㈳挰㐹ㄷ㜵㤸戴ㅦ〰攴㘶摡㈳扤㉢敦㌲愶搲扢扤㉤戲㉥㕦㘳ぢ摤㥦昶㍥㐴戴敥晢㕣挱慡㔴昸づ㤳㝥ㄲ㘴晢ㄹ扢ㅡ昸愱㙦㐵〳戳挰㌶〳扣㙢戱㠰㜲㐷戴昷㌰㘲挷㙦㜲㘱ㄹ㡦㤷㤸㔲搰戹㉢㥥㝦捤㤳戳搱㐲㕥㌹㐹㝥昵昴昰㌳挴扥㌲㝤ぢ㕣㉣搲㔵昲㘵攳ㄴ㐸㈱㕤愴慦㘱㉡搲摦㌰ㄵ改㕣㤸㡡㜴㌰㑣晤㜴〹ㅣ㠵慡㜴㑢㔳㤱㡥㠴搲搴㑦㠳㙣㈹㡦㔶㕡敦㙢昵〹㔴攷㔱㉤㕤敥っ㙥㙢昴挷㔱搳㠷㥡㈶搸㔲愴㈷攲㈸挶ㄳ㈴㡣㤴换㕢㔰㠵ち㉦ㄹ㜱ㄶㄹ㜶攰扦㜸〲㠴㐹ㄹ㈱挱摦㌸〱挲挴㐲戱っ㈲ㄹ㌴㡤㑣㈱慤㤱㑦㐷搷㡦散㌴捤㘳㄰搶搰㜲戱㜵ㄲㄷ㔵换摣挵搲搸㌷㌴戹㠶㡣晡搸挶挶愲慦㈱搸㤲晦㜷愰ㄶ摦㘰ㅣ慥㜳㔵ㄵ㌹攲㝤昸ㅢ㌳㈰ち㔹挸㘰慢戱㡢攴㈱㤲摤㈰捡摢昸㘴挷㠸攵㕢㐹㐳㝢挴戲㐸愶㑢㐶㍥挹㐱㥥㈲戹〴㤲搳挸搸㐷搷攷㐲㡣慣㔶慦㐱ㄹ㌸搱㉣ㅡ㙤慦ㄵ摦㐲㤲ㄷ㌲㐰攵㐸㡤捦〳㘴〵戸㠸㥣挴戹〱搰ち㜷敡㠹ㄶ攱㍣挱捤慥戱㡤ㅢ戲挴㤷㜵㙢㉡挰扥摥㘳㑤㠴㌸㥤搴戲㠸敥㐷戸ㄸ昶㌶挳收〳ㅦ㤴愱捥㐰㙢ㄸ㔵㔴㍢㥡㍦敤扡㝤摢㙦㍡㠲慤昲愳㜱っ㔷㠹捤㌶戶昵攸㑦攳㘳慢㌷㔲搲摦㠴慡昲㜳挸㥤敥㈹昷慦㝤㜷㝥挵改〲晦愵㡣㘷昰㤰㕡愳挸㌵攰挸㘸㔴㔸挵㤰扦㈴㈹㡤㙡搶扥㈸㍡攲㜱扥搱㜶㡦搶摢换㤵捥扤晣摥㠹晦敥㝦㘶㐴愱㈶搱ㅥ㤵搷昱㘱ㅡ〱晤㐷㔶搵ㄵ㙡㤷㙣昸㔹搲㐰㤷㤰〵㙥愵挶挹㠶搷㤲〶晡〴愳〶愲㜱慡㌷捤㐳㥡捣〶㜷㌶㠱㔷ㄵ㌲㐱晡ㅡ昸㜵昰㈹晥昷㜳ㅥㄷ㔹㔸㔲慡捦搶㥥㝤昶㡢晥捣挰捥捣㤳㈷昲㉦晦敤愳㑦㝥昴昱昷㡥晤昳换㔷㕦晤昸ㅦ㍦扡晥攵晢昳挷㝥昷收㥢ㅦ㍥晥晡昵㑦戶㕡㙦愸敦㝥㌱昹挶㡢挳㔷㕥㝣摥㍡晦攸愹ㄷ㥦㝡敥摣昰昴㤶挱㜴扡愷㘷昷戶摦敦㜸戸昸挳攷㝦愵晣收㉦㜷㜸㡡晣㌶㍥㘰㕣〶㘱愲㐱ㄶ㌹〷㘹㤹ぢ挸ㄸ㌶㐸㐱㉤戲〷㉢ぢㄹ㠵搵㤲㘹㍦㐹㤸㌶㡡㡡㉣㘲捤散㉡ㅢ㝥㥣㌴昰㠴㙦㌸㈰ち㠹ㄴ扥换㤲㈴㙣㍢〱搲㐸扤晦〳㌶㔴㜷昶</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</si>
</sst>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5" formatCode="&quot;$&quot;#,##0_);\(&quot;$&quot;#,##0\)"/>
    <numFmt numFmtId="6" formatCode="&quot;$&quot;#,##0_);[Red]\(&quot;$&quot;#,##0\)"/>
    <numFmt numFmtId="7" formatCode="&quot;$&quot;#,##0.00_);\(&quot;$&quot;#,##0.00\)"/>
    <numFmt numFmtId="44" formatCode="_(&quot;$&quot;* #,##0.00_);_(&quot;$&quot;* \(#,##0.00\);_(&quot;$&quot;* &quot;-&quot;??_);_(@_)"/>
    <numFmt numFmtId="43" formatCode="_(* #,##0.00_);_(* \(#,##0.00\);_(* &quot;-&quot;??_);_(@_)"/>
    <numFmt numFmtId="164" formatCode="_-&quot;£&quot;* #,##0.00_-;\-&quot;£&quot;* #,##0.00_-;_-&quot;£&quot;* &quot;-&quot;??_-;_-@_-"/>
    <numFmt numFmtId="165" formatCode="_-* #,##0.00_-;\-* #,##0.00_-;_-* &quot;-&quot;??_-;_-@_-"/>
    <numFmt numFmtId="166" formatCode="0.0"/>
    <numFmt numFmtId="167" formatCode="0.0000"/>
    <numFmt numFmtId="168" formatCode="0.000"/>
    <numFmt numFmtId="169" formatCode="#,##0.0"/>
    <numFmt numFmtId="170" formatCode="0.0%"/>
    <numFmt numFmtId="171" formatCode="#,##0_ ;[Red]\-#,##0\ "/>
    <numFmt numFmtId="172" formatCode="_(* #,##0_);_(* \(#,##0\);_(* &quot;-&quot;??_);_(@_)"/>
    <numFmt numFmtId="173" formatCode="_-* #,##0.0_-;\-* #,##0.0_-;_-* &quot;-&quot;??_-;_-@_-"/>
    <numFmt numFmtId="174" formatCode="_-* #,##0.000_-;\-* #,##0.000_-;_-* &quot;-&quot;??_-;_-@_-"/>
    <numFmt numFmtId="175" formatCode="_-* #,##0_-;\-* #,##0_-;_-* &quot;-&quot;??_-;_-@_-"/>
    <numFmt numFmtId="176" formatCode="#,##0.00_ ;\-#,##0.00\ "/>
    <numFmt numFmtId="177" formatCode="_(&quot;$&quot;* #,##0_);_(&quot;$&quot;* \(#,##0\);_(&quot;$&quot;* &quot;-&quot;??_);_(@_)"/>
    <numFmt numFmtId="178" formatCode="&quot;$&quot;#,##0.00"/>
    <numFmt numFmtId="179" formatCode="&quot;$&quot;#,##0.0"/>
    <numFmt numFmtId="180" formatCode="&quot;$&quot;#,##0"/>
    <numFmt numFmtId="181" formatCode="_(* #,##0.0000_);_(* \(#,##0.0000\);_(* &quot;-&quot;??_);_(@_)"/>
    <numFmt numFmtId="182" formatCode="_([$$-409]* #,##0_);_([$$-409]* \(#,##0\);_([$$-409]* &quot;-&quot;??_);_(@_)"/>
    <numFmt numFmtId="183" formatCode="_([$$-409]* #,##0.00_);_([$$-409]* \(#,##0.00\);_([$$-409]* &quot;-&quot;??_);_(@_)"/>
  </numFmts>
  <fonts count="55" x14ac:knownFonts="1">
    <font>
      <sz val="10"/>
      <name val="Times New Roman"/>
    </font>
    <font>
      <sz val="10"/>
      <name val="Times New Roman"/>
      <family val="1"/>
    </font>
    <font>
      <sz val="8"/>
      <name val="Times New Roman"/>
      <family val="1"/>
    </font>
    <font>
      <sz val="8"/>
      <name val="Arial"/>
      <family val="2"/>
    </font>
    <font>
      <b/>
      <sz val="10"/>
      <name val="Arial"/>
      <family val="2"/>
    </font>
    <font>
      <sz val="10"/>
      <name val="Arial"/>
      <family val="2"/>
    </font>
    <font>
      <sz val="10"/>
      <color indexed="10"/>
      <name val="Arial"/>
      <family val="2"/>
    </font>
    <font>
      <sz val="12"/>
      <name val="Arial"/>
      <family val="2"/>
    </font>
    <font>
      <b/>
      <i/>
      <sz val="10"/>
      <name val="Arial"/>
      <family val="2"/>
    </font>
    <font>
      <u/>
      <sz val="10"/>
      <color indexed="12"/>
      <name val="Times New Roman"/>
      <family val="1"/>
    </font>
    <font>
      <i/>
      <sz val="10"/>
      <name val="Arial"/>
      <family val="2"/>
    </font>
    <font>
      <sz val="10"/>
      <color indexed="12"/>
      <name val="Arial"/>
      <family val="2"/>
    </font>
    <font>
      <u/>
      <sz val="10"/>
      <name val="Arial"/>
      <family val="2"/>
    </font>
    <font>
      <b/>
      <sz val="12"/>
      <name val="Arial"/>
      <family val="2"/>
    </font>
    <font>
      <b/>
      <sz val="10"/>
      <color indexed="12"/>
      <name val="Arial"/>
      <family val="2"/>
    </font>
    <font>
      <sz val="10"/>
      <color indexed="20"/>
      <name val="Arial"/>
      <family val="2"/>
    </font>
    <font>
      <b/>
      <u/>
      <sz val="10"/>
      <name val="Arial"/>
      <family val="2"/>
    </font>
    <font>
      <b/>
      <sz val="10"/>
      <color indexed="16"/>
      <name val="Arial"/>
      <family val="2"/>
    </font>
    <font>
      <sz val="10"/>
      <name val="Times New Roman"/>
      <family val="1"/>
    </font>
    <font>
      <i/>
      <u/>
      <sz val="10"/>
      <name val="Arial"/>
      <family val="2"/>
    </font>
    <font>
      <sz val="8.5"/>
      <name val="Arial"/>
      <family val="2"/>
    </font>
    <font>
      <sz val="10"/>
      <color indexed="9"/>
      <name val="Arial"/>
      <family val="2"/>
    </font>
    <font>
      <b/>
      <sz val="10"/>
      <color indexed="9"/>
      <name val="Arial"/>
      <family val="2"/>
    </font>
    <font>
      <b/>
      <sz val="10"/>
      <color theme="0"/>
      <name val="Arial"/>
      <family val="2"/>
    </font>
    <font>
      <b/>
      <sz val="8.5"/>
      <color rgb="FFFFFFFF"/>
      <name val="Arial"/>
      <family val="2"/>
    </font>
    <font>
      <sz val="8"/>
      <color rgb="FF008000"/>
      <name val="Arial"/>
      <family val="2"/>
    </font>
    <font>
      <b/>
      <sz val="16"/>
      <name val="Arial"/>
      <family val="2"/>
    </font>
    <font>
      <sz val="14"/>
      <name val="Arial"/>
      <family val="2"/>
    </font>
    <font>
      <b/>
      <sz val="10"/>
      <color theme="0" tint="-0.499984740745262"/>
      <name val="Arial"/>
      <family val="2"/>
    </font>
    <font>
      <sz val="10"/>
      <color theme="0" tint="-0.34998626667073579"/>
      <name val="Arial"/>
      <family val="2"/>
    </font>
    <font>
      <u/>
      <sz val="10"/>
      <color indexed="12"/>
      <name val="Arial"/>
      <family val="2"/>
    </font>
    <font>
      <sz val="8"/>
      <color indexed="17"/>
      <name val="Arial"/>
      <family val="2"/>
    </font>
    <font>
      <sz val="10"/>
      <color rgb="FF0000FF"/>
      <name val="Arial"/>
      <family val="2"/>
    </font>
    <font>
      <sz val="10"/>
      <color indexed="23"/>
      <name val="Arial"/>
      <family val="2"/>
    </font>
    <font>
      <b/>
      <sz val="10"/>
      <color indexed="55"/>
      <name val="Arial"/>
      <family val="2"/>
    </font>
    <font>
      <sz val="9"/>
      <color indexed="55"/>
      <name val="Arial"/>
      <family val="2"/>
    </font>
    <font>
      <b/>
      <sz val="10"/>
      <color theme="0" tint="-0.34998626667073579"/>
      <name val="Arial"/>
      <family val="2"/>
    </font>
    <font>
      <vertAlign val="superscript"/>
      <sz val="8"/>
      <name val="Arial"/>
      <family val="2"/>
    </font>
    <font>
      <b/>
      <sz val="12"/>
      <color indexed="12"/>
      <name val="Arial"/>
      <family val="2"/>
    </font>
    <font>
      <sz val="10"/>
      <color indexed="42"/>
      <name val="Arial"/>
      <family val="2"/>
    </font>
    <font>
      <b/>
      <sz val="11"/>
      <name val="Arial"/>
      <family val="2"/>
    </font>
    <font>
      <sz val="9"/>
      <name val="Arial"/>
      <family val="2"/>
    </font>
    <font>
      <b/>
      <u/>
      <sz val="9"/>
      <name val="Arial"/>
      <family val="2"/>
    </font>
    <font>
      <b/>
      <sz val="9"/>
      <name val="Arial"/>
      <family val="2"/>
    </font>
    <font>
      <b/>
      <sz val="8"/>
      <name val="Arial"/>
      <family val="2"/>
    </font>
    <font>
      <vertAlign val="superscript"/>
      <sz val="9"/>
      <name val="Arial"/>
      <family val="2"/>
    </font>
    <font>
      <sz val="9"/>
      <color indexed="12"/>
      <name val="Arial"/>
      <family val="2"/>
    </font>
    <font>
      <b/>
      <vertAlign val="superscript"/>
      <sz val="9"/>
      <name val="Arial"/>
      <family val="2"/>
    </font>
    <font>
      <b/>
      <sz val="9"/>
      <color indexed="12"/>
      <name val="Arial"/>
      <family val="2"/>
    </font>
    <font>
      <b/>
      <sz val="10"/>
      <color rgb="FF0000FF"/>
      <name val="Arial"/>
      <family val="2"/>
    </font>
    <font>
      <b/>
      <sz val="10"/>
      <name val="Times New Roman"/>
      <family val="1"/>
    </font>
    <font>
      <b/>
      <sz val="10"/>
      <color rgb="FFC00000"/>
      <name val="Arial"/>
      <family val="2"/>
    </font>
    <font>
      <vertAlign val="superscript"/>
      <sz val="10"/>
      <name val="Arial"/>
      <family val="2"/>
    </font>
    <font>
      <sz val="9"/>
      <color indexed="17"/>
      <name val="Arial"/>
      <family val="2"/>
    </font>
    <font>
      <b/>
      <sz val="8.5"/>
      <name val="Arial"/>
      <family val="2"/>
    </font>
  </fonts>
  <fills count="1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80A1B6"/>
        <bgColor indexed="64"/>
      </patternFill>
    </fill>
    <fill>
      <patternFill patternType="solid">
        <fgColor rgb="FFFFFFFF"/>
        <bgColor indexed="64"/>
      </patternFill>
    </fill>
    <fill>
      <patternFill patternType="solid">
        <fgColor theme="0"/>
        <bgColor indexed="64"/>
      </patternFill>
    </fill>
    <fill>
      <patternFill patternType="solid">
        <fgColor rgb="FFC00000"/>
        <bgColor indexed="64"/>
      </patternFill>
    </fill>
    <fill>
      <patternFill patternType="solid">
        <fgColor indexed="65"/>
        <bgColor indexed="64"/>
      </patternFill>
    </fill>
    <fill>
      <patternFill patternType="solid">
        <fgColor theme="6"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9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double">
        <color indexed="64"/>
      </left>
      <right/>
      <top/>
      <bottom/>
      <diagonal/>
    </border>
    <border>
      <left/>
      <right style="double">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rgb="FF80A1B6"/>
      </bottom>
      <diagonal/>
    </border>
    <border>
      <left/>
      <right/>
      <top style="medium">
        <color rgb="FF80A1B6"/>
      </top>
      <bottom/>
      <diagonal/>
    </border>
    <border>
      <left/>
      <right/>
      <top style="medium">
        <color rgb="FF80A1B6"/>
      </top>
      <bottom style="medium">
        <color rgb="FFFFFFFF"/>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top style="thin">
        <color indexed="64"/>
      </top>
      <bottom/>
      <diagonal/>
    </border>
    <border>
      <left style="thin">
        <color indexed="64"/>
      </left>
      <right style="double">
        <color indexed="64"/>
      </right>
      <top/>
      <bottom/>
      <diagonal/>
    </border>
    <border>
      <left style="double">
        <color indexed="64"/>
      </left>
      <right/>
      <top/>
      <bottom style="thin">
        <color indexed="64"/>
      </bottom>
      <diagonal/>
    </border>
    <border>
      <left style="thin">
        <color indexed="64"/>
      </left>
      <right style="thin">
        <color indexed="64"/>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12"/>
      </left>
      <right/>
      <top style="medium">
        <color indexed="12"/>
      </top>
      <bottom/>
      <diagonal/>
    </border>
    <border>
      <left/>
      <right/>
      <top style="medium">
        <color indexed="12"/>
      </top>
      <bottom/>
      <diagonal/>
    </border>
    <border>
      <left/>
      <right style="medium">
        <color indexed="12"/>
      </right>
      <top style="medium">
        <color indexed="12"/>
      </top>
      <bottom/>
      <diagonal/>
    </border>
    <border>
      <left style="medium">
        <color indexed="12"/>
      </left>
      <right/>
      <top/>
      <bottom/>
      <diagonal/>
    </border>
    <border>
      <left/>
      <right style="medium">
        <color indexed="12"/>
      </right>
      <top/>
      <bottom/>
      <diagonal/>
    </border>
    <border>
      <left/>
      <right/>
      <top/>
      <bottom style="thin">
        <color indexed="39"/>
      </bottom>
      <diagonal/>
    </border>
    <border>
      <left style="medium">
        <color indexed="12"/>
      </left>
      <right/>
      <top/>
      <bottom style="thin">
        <color indexed="39"/>
      </bottom>
      <diagonal/>
    </border>
    <border>
      <left style="medium">
        <color indexed="12"/>
      </left>
      <right/>
      <top style="thin">
        <color indexed="39"/>
      </top>
      <bottom/>
      <diagonal/>
    </border>
    <border>
      <left/>
      <right/>
      <top style="thin">
        <color indexed="39"/>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top/>
      <bottom style="thin">
        <color auto="1"/>
      </bottom>
      <diagonal/>
    </border>
    <border>
      <left/>
      <right/>
      <top/>
      <bottom style="thin">
        <color auto="1"/>
      </bottom>
      <diagonal/>
    </border>
    <border>
      <left style="hair">
        <color auto="1"/>
      </left>
      <right style="hair">
        <color auto="1"/>
      </right>
      <top/>
      <bottom style="thin">
        <color auto="1"/>
      </bottom>
      <diagonal/>
    </border>
    <border>
      <left/>
      <right style="thin">
        <color auto="1"/>
      </right>
      <top/>
      <bottom style="thin">
        <color auto="1"/>
      </bottom>
      <diagonal/>
    </border>
    <border>
      <left style="medium">
        <color indexed="12"/>
      </left>
      <right/>
      <top/>
      <bottom style="medium">
        <color indexed="12"/>
      </bottom>
      <diagonal/>
    </border>
    <border>
      <left/>
      <right/>
      <top/>
      <bottom style="medium">
        <color indexed="12"/>
      </bottom>
      <diagonal/>
    </border>
    <border>
      <left/>
      <right style="medium">
        <color indexed="12"/>
      </right>
      <top/>
      <bottom style="medium">
        <color indexed="12"/>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indexed="64"/>
      </right>
      <top style="thin">
        <color indexed="64"/>
      </top>
      <bottom style="thin">
        <color auto="1"/>
      </bottom>
      <diagonal/>
    </border>
    <border>
      <left style="hair">
        <color auto="1"/>
      </left>
      <right style="thin">
        <color indexed="64"/>
      </right>
      <top style="thin">
        <color auto="1"/>
      </top>
      <bottom/>
      <diagonal/>
    </border>
    <border>
      <left style="thin">
        <color indexed="64"/>
      </left>
      <right style="double">
        <color indexed="64"/>
      </right>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top style="medium">
        <color rgb="FF80A1B6"/>
      </top>
      <bottom style="medium">
        <color rgb="FF80A1B6"/>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auto="1"/>
      </top>
      <bottom style="thin">
        <color auto="1"/>
      </bottom>
      <diagonal/>
    </border>
  </borders>
  <cellStyleXfs count="17">
    <xf numFmtId="0" fontId="0"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2" borderId="0" applyNumberFormat="0" applyBorder="0" applyAlignment="0">
      <protection locked="0"/>
    </xf>
    <xf numFmtId="0" fontId="9" fillId="0" borderId="0" applyNumberFormat="0" applyFill="0" applyBorder="0" applyAlignment="0" applyProtection="0">
      <alignment vertical="top"/>
      <protection locked="0"/>
    </xf>
    <xf numFmtId="0" fontId="3" fillId="0" borderId="0" applyBorder="0"/>
    <xf numFmtId="9" fontId="1" fillId="0" borderId="0" applyFont="0" applyFill="0" applyBorder="0" applyAlignment="0" applyProtection="0"/>
    <xf numFmtId="0" fontId="5" fillId="0" borderId="0"/>
    <xf numFmtId="0" fontId="18" fillId="0" borderId="0"/>
    <xf numFmtId="0" fontId="5" fillId="0" borderId="0"/>
    <xf numFmtId="0" fontId="5" fillId="0" borderId="0"/>
    <xf numFmtId="0" fontId="5" fillId="0" borderId="0"/>
    <xf numFmtId="0"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836">
    <xf numFmtId="0" fontId="0" fillId="0" borderId="0" xfId="0"/>
    <xf numFmtId="0" fontId="4" fillId="3" borderId="0" xfId="0" applyFont="1" applyFill="1"/>
    <xf numFmtId="0" fontId="5" fillId="3" borderId="0" xfId="0" applyFont="1" applyFill="1"/>
    <xf numFmtId="0" fontId="5" fillId="0" borderId="0" xfId="0" applyFont="1" applyFill="1" applyBorder="1"/>
    <xf numFmtId="166" fontId="5" fillId="0" borderId="0" xfId="5" applyNumberFormat="1" applyFont="1" applyFill="1" applyBorder="1" applyAlignment="1">
      <alignment horizontal="right" wrapText="1"/>
    </xf>
    <xf numFmtId="166" fontId="5" fillId="0" borderId="0" xfId="5" applyNumberFormat="1" applyFont="1" applyFill="1" applyBorder="1" applyAlignment="1">
      <alignment horizontal="right"/>
    </xf>
    <xf numFmtId="9" fontId="5" fillId="0" borderId="0" xfId="6" applyFont="1" applyFill="1" applyBorder="1"/>
    <xf numFmtId="0" fontId="20" fillId="7" borderId="26" xfId="0" applyFont="1" applyFill="1" applyBorder="1" applyAlignment="1">
      <alignment vertical="center"/>
    </xf>
    <xf numFmtId="10" fontId="20" fillId="7" borderId="26" xfId="0" applyNumberFormat="1" applyFont="1" applyFill="1" applyBorder="1" applyAlignment="1">
      <alignment vertical="center"/>
    </xf>
    <xf numFmtId="9" fontId="20" fillId="7" borderId="26" xfId="0" applyNumberFormat="1" applyFont="1" applyFill="1" applyBorder="1" applyAlignment="1">
      <alignment vertical="center"/>
    </xf>
    <xf numFmtId="0" fontId="20" fillId="7" borderId="26" xfId="0" applyFont="1" applyFill="1" applyBorder="1" applyAlignment="1">
      <alignment vertical="center" wrapText="1"/>
    </xf>
    <xf numFmtId="170" fontId="20" fillId="7" borderId="26" xfId="0" applyNumberFormat="1" applyFont="1" applyFill="1" applyBorder="1" applyAlignment="1">
      <alignment vertical="center"/>
    </xf>
    <xf numFmtId="0" fontId="5" fillId="0" borderId="0" xfId="7"/>
    <xf numFmtId="0" fontId="5" fillId="0" borderId="0" xfId="7" applyAlignment="1">
      <alignment vertical="center"/>
    </xf>
    <xf numFmtId="0" fontId="4" fillId="0" borderId="29" xfId="7" applyFont="1" applyBorder="1" applyAlignment="1">
      <alignment horizontal="left" vertical="center" wrapText="1"/>
    </xf>
    <xf numFmtId="0" fontId="28" fillId="0" borderId="30" xfId="0" applyFont="1" applyBorder="1"/>
    <xf numFmtId="0" fontId="4" fillId="0" borderId="31" xfId="0" applyFont="1" applyFill="1" applyBorder="1"/>
    <xf numFmtId="0" fontId="4" fillId="0" borderId="0" xfId="7" applyFont="1" applyAlignment="1">
      <alignment vertical="center"/>
    </xf>
    <xf numFmtId="0" fontId="4" fillId="0" borderId="32" xfId="7" applyFont="1" applyBorder="1" applyAlignment="1">
      <alignment horizontal="left" vertical="center" wrapText="1"/>
    </xf>
    <xf numFmtId="14" fontId="29" fillId="0" borderId="4" xfId="7" applyNumberFormat="1" applyFont="1" applyFill="1" applyBorder="1" applyAlignment="1">
      <alignment horizontal="left" vertical="center" wrapText="1"/>
    </xf>
    <xf numFmtId="14" fontId="5" fillId="0" borderId="33" xfId="7" applyNumberFormat="1" applyFont="1" applyFill="1" applyBorder="1" applyAlignment="1">
      <alignment horizontal="left" vertical="center" wrapText="1"/>
    </xf>
    <xf numFmtId="6" fontId="5" fillId="0" borderId="33" xfId="7" applyNumberFormat="1" applyFont="1" applyFill="1" applyBorder="1" applyAlignment="1">
      <alignment horizontal="left" vertical="center" wrapText="1"/>
    </xf>
    <xf numFmtId="0" fontId="4" fillId="0" borderId="34" xfId="0" applyFont="1" applyBorder="1" applyAlignment="1">
      <alignment vertical="center"/>
    </xf>
    <xf numFmtId="0" fontId="29" fillId="0" borderId="24" xfId="7" applyFont="1" applyFill="1" applyBorder="1" applyAlignment="1">
      <alignment horizontal="justify" vertical="center" wrapText="1"/>
    </xf>
    <xf numFmtId="0" fontId="5" fillId="0" borderId="35" xfId="7" applyFont="1" applyFill="1" applyBorder="1" applyAlignment="1">
      <alignment horizontal="justify" vertical="center" wrapText="1"/>
    </xf>
    <xf numFmtId="0" fontId="5" fillId="0" borderId="37" xfId="7" applyFont="1" applyFill="1" applyBorder="1" applyAlignment="1">
      <alignment horizontal="justify" vertical="center" wrapText="1"/>
    </xf>
    <xf numFmtId="0" fontId="29" fillId="0" borderId="39" xfId="7" applyFont="1" applyFill="1" applyBorder="1" applyAlignment="1">
      <alignment vertical="center" wrapText="1"/>
    </xf>
    <xf numFmtId="0" fontId="5" fillId="0" borderId="0" xfId="7" applyBorder="1"/>
    <xf numFmtId="0" fontId="4" fillId="0" borderId="40" xfId="0" applyFont="1" applyBorder="1"/>
    <xf numFmtId="9" fontId="29" fillId="0" borderId="41" xfId="7" applyNumberFormat="1" applyFont="1" applyFill="1" applyBorder="1" applyAlignment="1">
      <alignment horizontal="left" vertical="center" wrapText="1"/>
    </xf>
    <xf numFmtId="0" fontId="5" fillId="0" borderId="42" xfId="7" applyFont="1" applyFill="1" applyBorder="1" applyAlignment="1">
      <alignment horizontal="left" vertical="center" wrapText="1"/>
    </xf>
    <xf numFmtId="0" fontId="5" fillId="0" borderId="0" xfId="7" applyFont="1" applyFill="1" applyBorder="1" applyAlignment="1">
      <alignment horizontal="left" vertical="center" wrapText="1"/>
    </xf>
    <xf numFmtId="9" fontId="5" fillId="0" borderId="0" xfId="7" applyNumberFormat="1" applyFont="1" applyBorder="1" applyAlignment="1">
      <alignment horizontal="left" vertical="center" wrapText="1"/>
    </xf>
    <xf numFmtId="0" fontId="4" fillId="0" borderId="0" xfId="0" applyFont="1" applyBorder="1" applyAlignment="1">
      <alignment horizontal="left" wrapText="1"/>
    </xf>
    <xf numFmtId="0" fontId="30" fillId="0" borderId="0" xfId="4" applyFont="1" applyBorder="1" applyAlignment="1" applyProtection="1">
      <alignment horizontal="left" vertical="top" wrapText="1"/>
    </xf>
    <xf numFmtId="0" fontId="5" fillId="0" borderId="0" xfId="7" applyFont="1"/>
    <xf numFmtId="0" fontId="5" fillId="0" borderId="0" xfId="7" applyAlignment="1">
      <alignment wrapText="1"/>
    </xf>
    <xf numFmtId="0" fontId="30" fillId="0" borderId="0" xfId="4" applyFont="1" applyFill="1" applyBorder="1" applyAlignment="1" applyProtection="1">
      <alignment horizontal="left" vertical="top" wrapText="1"/>
    </xf>
    <xf numFmtId="0" fontId="5" fillId="0" borderId="0" xfId="7" applyFont="1" applyAlignment="1">
      <alignment wrapText="1"/>
    </xf>
    <xf numFmtId="0" fontId="30" fillId="0" borderId="0" xfId="4" applyNumberFormat="1" applyFont="1" applyBorder="1" applyAlignment="1" applyProtection="1">
      <alignment horizontal="left" wrapText="1"/>
    </xf>
    <xf numFmtId="0" fontId="26" fillId="0" borderId="0" xfId="7" applyFont="1" applyBorder="1" applyAlignment="1"/>
    <xf numFmtId="0" fontId="5" fillId="0" borderId="0" xfId="7" applyFont="1" applyBorder="1"/>
    <xf numFmtId="0" fontId="4" fillId="0" borderId="0" xfId="7" applyFont="1" applyBorder="1" applyAlignment="1"/>
    <xf numFmtId="0" fontId="27" fillId="0" borderId="0" xfId="7" applyFont="1" applyBorder="1" applyAlignment="1">
      <alignment horizontal="left"/>
    </xf>
    <xf numFmtId="0" fontId="27" fillId="0" borderId="0" xfId="7" applyFont="1" applyBorder="1"/>
    <xf numFmtId="0" fontId="16" fillId="0" borderId="0" xfId="7" applyFont="1" applyBorder="1"/>
    <xf numFmtId="0" fontId="12" fillId="0" borderId="0" xfId="7" applyFont="1" applyBorder="1" applyAlignment="1">
      <alignment vertical="center"/>
    </xf>
    <xf numFmtId="0" fontId="4" fillId="0" borderId="0" xfId="7" applyFont="1" applyBorder="1" applyAlignment="1">
      <alignment vertical="center"/>
    </xf>
    <xf numFmtId="0" fontId="5" fillId="0" borderId="0" xfId="0" applyFont="1" applyAlignment="1">
      <alignment vertical="center" wrapText="1"/>
    </xf>
    <xf numFmtId="0" fontId="5" fillId="0" borderId="0" xfId="7" applyBorder="1" applyAlignment="1">
      <alignment horizontal="left" vertical="top"/>
    </xf>
    <xf numFmtId="0" fontId="5" fillId="0" borderId="0" xfId="7" applyNumberFormat="1" applyFont="1" applyFill="1" applyBorder="1" applyAlignment="1">
      <alignment horizontal="justify" vertical="top" wrapText="1"/>
    </xf>
    <xf numFmtId="0" fontId="5" fillId="0" borderId="0" xfId="7" applyBorder="1" applyAlignment="1">
      <alignment horizontal="left" vertical="center"/>
    </xf>
    <xf numFmtId="0" fontId="4" fillId="0" borderId="0" xfId="7" applyNumberFormat="1" applyFont="1" applyFill="1" applyBorder="1" applyAlignment="1">
      <alignment horizontal="left" vertical="center" wrapText="1"/>
    </xf>
    <xf numFmtId="0" fontId="5" fillId="0" borderId="0" xfId="7" applyBorder="1" applyAlignment="1">
      <alignment vertical="center"/>
    </xf>
    <xf numFmtId="0" fontId="5" fillId="0" borderId="0" xfId="7" applyNumberFormat="1" applyFont="1" applyFill="1" applyBorder="1" applyAlignment="1">
      <alignment horizontal="left" vertical="center" wrapText="1"/>
    </xf>
    <xf numFmtId="0" fontId="16" fillId="0" borderId="0" xfId="7" applyNumberFormat="1" applyFont="1" applyFill="1" applyBorder="1" applyAlignment="1">
      <alignment horizontal="justify" vertical="top" wrapText="1"/>
    </xf>
    <xf numFmtId="0" fontId="16" fillId="0" borderId="0" xfId="7" applyFont="1" applyBorder="1" applyAlignment="1">
      <alignment horizontal="justify" vertical="top" wrapText="1"/>
    </xf>
    <xf numFmtId="0" fontId="5" fillId="0" borderId="0" xfId="7" applyFont="1" applyBorder="1" applyAlignment="1">
      <alignment horizontal="justify" vertical="center" wrapText="1"/>
    </xf>
    <xf numFmtId="0" fontId="4" fillId="0" borderId="0" xfId="7" applyNumberFormat="1" applyFont="1" applyFill="1" applyBorder="1" applyAlignment="1">
      <alignment horizontal="justify" vertical="center" wrapText="1"/>
    </xf>
    <xf numFmtId="14" fontId="31" fillId="0" borderId="0" xfId="7" applyNumberFormat="1" applyFont="1" applyBorder="1" applyAlignment="1">
      <alignment horizontal="right" vertical="top"/>
    </xf>
    <xf numFmtId="0" fontId="31" fillId="0" borderId="0" xfId="7" applyFont="1" applyAlignment="1"/>
    <xf numFmtId="49" fontId="25" fillId="0" borderId="0" xfId="7" applyNumberFormat="1" applyFont="1" applyAlignment="1">
      <alignment horizontal="left"/>
    </xf>
    <xf numFmtId="0" fontId="5" fillId="0" borderId="0" xfId="9"/>
    <xf numFmtId="0" fontId="26" fillId="8" borderId="0" xfId="7" applyFont="1" applyFill="1" applyBorder="1" applyAlignment="1"/>
    <xf numFmtId="0" fontId="31" fillId="0" borderId="0" xfId="9" applyFont="1" applyAlignment="1">
      <alignment horizontal="right" vertical="top"/>
    </xf>
    <xf numFmtId="0" fontId="5" fillId="0" borderId="0" xfId="10"/>
    <xf numFmtId="0" fontId="27" fillId="0" borderId="0" xfId="9" applyFont="1"/>
    <xf numFmtId="14" fontId="31" fillId="0" borderId="0" xfId="9" applyNumberFormat="1" applyFont="1" applyAlignment="1">
      <alignment horizontal="right" vertical="top"/>
    </xf>
    <xf numFmtId="0" fontId="13" fillId="0" borderId="0" xfId="10" applyFont="1"/>
    <xf numFmtId="0" fontId="14" fillId="0" borderId="22" xfId="10" applyFont="1" applyBorder="1" applyAlignment="1">
      <alignment horizontal="center" vertical="center" wrapText="1"/>
    </xf>
    <xf numFmtId="0" fontId="5" fillId="0" borderId="22" xfId="10" applyFont="1" applyBorder="1" applyAlignment="1">
      <alignment horizontal="center" vertical="center" wrapText="1"/>
    </xf>
    <xf numFmtId="0" fontId="5" fillId="0" borderId="44" xfId="10" applyFont="1" applyBorder="1" applyAlignment="1">
      <alignment horizontal="center" vertical="center" wrapText="1"/>
    </xf>
    <xf numFmtId="0" fontId="5" fillId="0" borderId="0" xfId="10" applyFont="1"/>
    <xf numFmtId="0" fontId="5" fillId="0" borderId="39" xfId="10" applyFill="1" applyBorder="1" applyAlignment="1">
      <alignment vertical="center"/>
    </xf>
    <xf numFmtId="0" fontId="5" fillId="0" borderId="0" xfId="10" applyBorder="1" applyAlignment="1">
      <alignment vertical="center" wrapText="1"/>
    </xf>
    <xf numFmtId="9" fontId="5" fillId="0" borderId="39" xfId="10" applyNumberFormat="1" applyBorder="1" applyAlignment="1">
      <alignment horizontal="center" vertical="center"/>
    </xf>
    <xf numFmtId="9" fontId="5" fillId="5" borderId="39" xfId="10" applyNumberFormat="1" applyFont="1" applyFill="1" applyBorder="1" applyAlignment="1">
      <alignment horizontal="center" vertical="center"/>
    </xf>
    <xf numFmtId="0" fontId="5" fillId="0" borderId="39" xfId="10" applyBorder="1" applyAlignment="1">
      <alignment vertical="center"/>
    </xf>
    <xf numFmtId="0" fontId="4" fillId="0" borderId="0" xfId="10" applyFont="1" applyAlignment="1">
      <alignment horizontal="right"/>
    </xf>
    <xf numFmtId="6" fontId="4" fillId="0" borderId="0" xfId="10" applyNumberFormat="1" applyFont="1" applyFill="1" applyBorder="1" applyAlignment="1">
      <alignment horizontal="center" vertical="center"/>
    </xf>
    <xf numFmtId="0" fontId="4" fillId="0" borderId="0" xfId="0" applyFont="1" applyFill="1" applyAlignment="1">
      <alignment horizontal="right"/>
    </xf>
    <xf numFmtId="177" fontId="4" fillId="0" borderId="0" xfId="2" applyNumberFormat="1" applyFont="1" applyFill="1"/>
    <xf numFmtId="0" fontId="5" fillId="0" borderId="0" xfId="10" applyFill="1"/>
    <xf numFmtId="0" fontId="3" fillId="0" borderId="0" xfId="10" applyFont="1"/>
    <xf numFmtId="0" fontId="5" fillId="8" borderId="0" xfId="12" applyFill="1" applyBorder="1"/>
    <xf numFmtId="0" fontId="4" fillId="8" borderId="0" xfId="13" applyFont="1" applyFill="1" applyAlignment="1">
      <alignment vertical="center"/>
    </xf>
    <xf numFmtId="0" fontId="5" fillId="8" borderId="0" xfId="12" applyFill="1"/>
    <xf numFmtId="0" fontId="5" fillId="0" borderId="0" xfId="12"/>
    <xf numFmtId="0" fontId="13" fillId="8" borderId="0" xfId="12" applyFont="1" applyFill="1" applyBorder="1" applyAlignment="1"/>
    <xf numFmtId="0" fontId="38" fillId="8" borderId="0" xfId="12" applyFont="1" applyFill="1" applyBorder="1" applyAlignment="1"/>
    <xf numFmtId="0" fontId="39" fillId="8" borderId="0" xfId="12" applyFont="1" applyFill="1" applyBorder="1"/>
    <xf numFmtId="0" fontId="5" fillId="8" borderId="0" xfId="12" applyFont="1" applyFill="1" applyBorder="1"/>
    <xf numFmtId="0" fontId="40" fillId="8" borderId="0" xfId="12" applyFont="1" applyFill="1" applyBorder="1" applyAlignment="1">
      <alignment horizontal="right"/>
    </xf>
    <xf numFmtId="0" fontId="5" fillId="0" borderId="0" xfId="12" applyFont="1"/>
    <xf numFmtId="0" fontId="3" fillId="0" borderId="0" xfId="12" applyFont="1"/>
    <xf numFmtId="0" fontId="41" fillId="8" borderId="45" xfId="12" applyFont="1" applyFill="1" applyBorder="1" applyAlignment="1">
      <alignment wrapText="1"/>
    </xf>
    <xf numFmtId="178" fontId="42" fillId="8" borderId="46" xfId="12" applyNumberFormat="1" applyFont="1" applyFill="1" applyBorder="1" applyAlignment="1">
      <alignment horizontal="center" wrapText="1"/>
    </xf>
    <xf numFmtId="0" fontId="42" fillId="8" borderId="46" xfId="12" applyFont="1" applyFill="1" applyBorder="1" applyAlignment="1">
      <alignment horizontal="center"/>
    </xf>
    <xf numFmtId="0" fontId="5" fillId="8" borderId="46" xfId="12" applyFont="1" applyFill="1" applyBorder="1"/>
    <xf numFmtId="0" fontId="5" fillId="8" borderId="47" xfId="12" applyFill="1" applyBorder="1"/>
    <xf numFmtId="0" fontId="3" fillId="0" borderId="4" xfId="12" applyFont="1" applyBorder="1" applyAlignment="1">
      <alignment horizontal="center"/>
    </xf>
    <xf numFmtId="0" fontId="3" fillId="0" borderId="4" xfId="12" applyFont="1" applyBorder="1" applyAlignment="1">
      <alignment horizontal="center" vertical="top" wrapText="1"/>
    </xf>
    <xf numFmtId="0" fontId="3" fillId="0" borderId="2" xfId="12" applyFont="1" applyBorder="1" applyAlignment="1">
      <alignment horizontal="center" vertical="center" wrapText="1"/>
    </xf>
    <xf numFmtId="0" fontId="4" fillId="0" borderId="0" xfId="12" applyFont="1" applyBorder="1" applyAlignment="1">
      <alignment horizontal="center" vertical="center" wrapText="1"/>
    </xf>
    <xf numFmtId="0" fontId="43" fillId="8" borderId="48" xfId="12" applyFont="1" applyFill="1" applyBorder="1" applyAlignment="1">
      <alignment wrapText="1"/>
    </xf>
    <xf numFmtId="179" fontId="43" fillId="8" borderId="0" xfId="12" applyNumberFormat="1" applyFont="1" applyFill="1" applyBorder="1" applyAlignment="1">
      <alignment horizontal="center" wrapText="1"/>
    </xf>
    <xf numFmtId="0" fontId="41" fillId="8" borderId="0" xfId="12" applyFont="1" applyFill="1" applyBorder="1"/>
    <xf numFmtId="179" fontId="41" fillId="8" borderId="0" xfId="12" applyNumberFormat="1" applyFont="1" applyFill="1" applyBorder="1" applyAlignment="1">
      <alignment horizontal="center"/>
    </xf>
    <xf numFmtId="0" fontId="5" fillId="8" borderId="49" xfId="12" applyFill="1" applyBorder="1"/>
    <xf numFmtId="0" fontId="3" fillId="0" borderId="39" xfId="12" applyFont="1" applyBorder="1"/>
    <xf numFmtId="44" fontId="3" fillId="0" borderId="39" xfId="2" applyNumberFormat="1" applyFont="1" applyBorder="1"/>
    <xf numFmtId="9" fontId="5" fillId="0" borderId="0" xfId="6" applyFont="1" applyBorder="1"/>
    <xf numFmtId="170" fontId="43" fillId="8" borderId="0" xfId="14" applyNumberFormat="1" applyFont="1" applyFill="1" applyBorder="1" applyAlignment="1">
      <alignment horizontal="center" wrapText="1"/>
    </xf>
    <xf numFmtId="0" fontId="43" fillId="8" borderId="48" xfId="12" applyFont="1" applyFill="1" applyBorder="1" applyAlignment="1">
      <alignment horizontal="left" wrapText="1"/>
    </xf>
    <xf numFmtId="179" fontId="43" fillId="8" borderId="0" xfId="14" applyNumberFormat="1" applyFont="1" applyFill="1" applyBorder="1" applyAlignment="1">
      <alignment horizontal="center" wrapText="1"/>
    </xf>
    <xf numFmtId="0" fontId="3" fillId="0" borderId="25" xfId="12" applyFont="1" applyBorder="1"/>
    <xf numFmtId="44" fontId="3" fillId="0" borderId="25" xfId="2" applyNumberFormat="1" applyFont="1" applyBorder="1"/>
    <xf numFmtId="0" fontId="43" fillId="8" borderId="48" xfId="12" applyFont="1" applyFill="1" applyBorder="1" applyAlignment="1"/>
    <xf numFmtId="0" fontId="43" fillId="8" borderId="51" xfId="12" applyFont="1" applyFill="1" applyBorder="1" applyAlignment="1"/>
    <xf numFmtId="0" fontId="43" fillId="8" borderId="50" xfId="12" applyFont="1" applyFill="1" applyBorder="1" applyAlignment="1">
      <alignment horizontal="center"/>
    </xf>
    <xf numFmtId="0" fontId="43" fillId="8" borderId="50" xfId="12" applyFont="1" applyFill="1" applyBorder="1" applyAlignment="1">
      <alignment horizontal="right"/>
    </xf>
    <xf numFmtId="0" fontId="43" fillId="8" borderId="52" xfId="12" applyFont="1" applyFill="1" applyBorder="1" applyAlignment="1"/>
    <xf numFmtId="0" fontId="43" fillId="8" borderId="53" xfId="12" applyFont="1" applyFill="1" applyBorder="1" applyAlignment="1">
      <alignment horizontal="center"/>
    </xf>
    <xf numFmtId="0" fontId="43" fillId="8" borderId="53" xfId="12" applyFont="1" applyFill="1" applyBorder="1" applyAlignment="1">
      <alignment horizontal="right"/>
    </xf>
    <xf numFmtId="0" fontId="5" fillId="0" borderId="0" xfId="12" applyBorder="1"/>
    <xf numFmtId="0" fontId="41" fillId="8" borderId="48" xfId="12" applyFont="1" applyFill="1" applyBorder="1"/>
    <xf numFmtId="3" fontId="41" fillId="8" borderId="0" xfId="12" applyNumberFormat="1" applyFont="1" applyFill="1" applyBorder="1" applyAlignment="1">
      <alignment horizontal="center" wrapText="1"/>
    </xf>
    <xf numFmtId="0" fontId="41" fillId="8" borderId="0" xfId="12" applyFont="1" applyFill="1" applyBorder="1" applyAlignment="1">
      <alignment horizontal="right" indent="2"/>
    </xf>
    <xf numFmtId="0" fontId="43" fillId="8" borderId="0" xfId="12" applyFont="1" applyFill="1" applyBorder="1" applyAlignment="1">
      <alignment horizontal="right" wrapText="1" indent="1"/>
    </xf>
    <xf numFmtId="0" fontId="44" fillId="10" borderId="54" xfId="0" applyFont="1" applyFill="1" applyBorder="1" applyAlignment="1">
      <alignment vertical="center" wrapText="1"/>
    </xf>
    <xf numFmtId="0" fontId="3" fillId="10" borderId="55" xfId="0" applyFont="1" applyFill="1" applyBorder="1" applyAlignment="1">
      <alignment horizontal="center" vertical="center" wrapText="1"/>
    </xf>
    <xf numFmtId="0" fontId="3" fillId="10" borderId="5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1" fillId="8" borderId="48" xfId="12" applyFont="1" applyFill="1" applyBorder="1" applyAlignment="1">
      <alignment wrapText="1"/>
    </xf>
    <xf numFmtId="3" fontId="41" fillId="8" borderId="0" xfId="12" applyNumberFormat="1" applyFont="1" applyFill="1" applyBorder="1" applyAlignment="1">
      <alignment horizontal="center"/>
    </xf>
    <xf numFmtId="172" fontId="41" fillId="8" borderId="0" xfId="15" applyNumberFormat="1" applyFont="1" applyFill="1" applyBorder="1" applyAlignment="1">
      <alignment horizontal="right" wrapText="1" indent="1"/>
    </xf>
    <xf numFmtId="0" fontId="3" fillId="10" borderId="57" xfId="0" applyFont="1" applyFill="1" applyBorder="1"/>
    <xf numFmtId="9" fontId="3" fillId="10" borderId="58" xfId="6" applyFont="1" applyFill="1" applyBorder="1" applyAlignment="1">
      <alignment vertical="center"/>
    </xf>
    <xf numFmtId="165" fontId="3" fillId="10" borderId="58" xfId="1" applyFont="1" applyFill="1" applyBorder="1" applyAlignment="1">
      <alignment vertical="center"/>
    </xf>
    <xf numFmtId="175" fontId="3" fillId="10" borderId="58" xfId="1" applyNumberFormat="1" applyFont="1" applyFill="1" applyBorder="1" applyAlignment="1">
      <alignment vertical="center"/>
    </xf>
    <xf numFmtId="43" fontId="3" fillId="10" borderId="58" xfId="0" applyNumberFormat="1" applyFont="1" applyFill="1" applyBorder="1" applyAlignment="1">
      <alignment vertical="center"/>
    </xf>
    <xf numFmtId="172" fontId="3" fillId="10" borderId="58" xfId="0" applyNumberFormat="1" applyFont="1" applyFill="1" applyBorder="1" applyAlignment="1">
      <alignment vertical="center"/>
    </xf>
    <xf numFmtId="9" fontId="3" fillId="10" borderId="59" xfId="6" applyFont="1" applyFill="1" applyBorder="1" applyAlignment="1">
      <alignment vertical="center"/>
    </xf>
    <xf numFmtId="9" fontId="3" fillId="0" borderId="0" xfId="0" applyNumberFormat="1" applyFont="1" applyFill="1" applyBorder="1" applyAlignment="1">
      <alignment vertical="center"/>
    </xf>
    <xf numFmtId="0" fontId="44" fillId="0" borderId="0" xfId="0" applyFont="1" applyFill="1" applyBorder="1" applyAlignment="1">
      <alignment vertical="center"/>
    </xf>
    <xf numFmtId="0" fontId="41" fillId="8" borderId="0" xfId="12" applyFont="1" applyFill="1" applyBorder="1" applyAlignment="1">
      <alignment horizontal="right" indent="1"/>
    </xf>
    <xf numFmtId="0" fontId="3" fillId="0" borderId="0" xfId="0" applyFont="1" applyFill="1" applyBorder="1" applyAlignment="1">
      <alignment vertical="center"/>
    </xf>
    <xf numFmtId="3" fontId="41" fillId="8" borderId="0" xfId="12" applyNumberFormat="1" applyFont="1" applyFill="1" applyBorder="1" applyAlignment="1">
      <alignment horizontal="right" indent="2"/>
    </xf>
    <xf numFmtId="9" fontId="41" fillId="8" borderId="0" xfId="12" applyNumberFormat="1" applyFont="1" applyFill="1" applyBorder="1" applyAlignment="1">
      <alignment horizontal="center" wrapText="1"/>
    </xf>
    <xf numFmtId="9" fontId="5" fillId="8" borderId="49" xfId="12" applyNumberFormat="1" applyFill="1" applyBorder="1"/>
    <xf numFmtId="9" fontId="5" fillId="8" borderId="0" xfId="12" applyNumberFormat="1" applyFill="1"/>
    <xf numFmtId="0" fontId="41" fillId="8" borderId="51" xfId="12" applyFont="1" applyFill="1" applyBorder="1" applyAlignment="1">
      <alignment wrapText="1"/>
    </xf>
    <xf numFmtId="0" fontId="41" fillId="8" borderId="50" xfId="12" applyFont="1" applyFill="1" applyBorder="1" applyAlignment="1">
      <alignment horizontal="right" indent="2"/>
    </xf>
    <xf numFmtId="9" fontId="41" fillId="8" borderId="50" xfId="12" applyNumberFormat="1" applyFont="1" applyFill="1" applyBorder="1" applyAlignment="1">
      <alignment horizontal="center" wrapText="1"/>
    </xf>
    <xf numFmtId="0" fontId="3" fillId="10" borderId="60" xfId="0" applyFont="1" applyFill="1" applyBorder="1"/>
    <xf numFmtId="9" fontId="3" fillId="0" borderId="61" xfId="12" applyNumberFormat="1" applyFont="1" applyBorder="1"/>
    <xf numFmtId="165" fontId="3" fillId="0" borderId="61" xfId="1" applyFont="1" applyBorder="1"/>
    <xf numFmtId="172" fontId="3" fillId="10" borderId="62" xfId="0" applyNumberFormat="1" applyFont="1" applyFill="1" applyBorder="1" applyAlignment="1">
      <alignment vertical="center"/>
    </xf>
    <xf numFmtId="9" fontId="3" fillId="0" borderId="63" xfId="6" applyFont="1" applyBorder="1"/>
    <xf numFmtId="0" fontId="21" fillId="8" borderId="0" xfId="12" applyFont="1" applyFill="1" applyBorder="1"/>
    <xf numFmtId="0" fontId="41" fillId="8" borderId="52" xfId="12" applyFont="1" applyFill="1" applyBorder="1"/>
    <xf numFmtId="0" fontId="46" fillId="8" borderId="53" xfId="12" applyFont="1" applyFill="1" applyBorder="1" applyAlignment="1">
      <alignment horizontal="right" indent="2"/>
    </xf>
    <xf numFmtId="0" fontId="46" fillId="8" borderId="53" xfId="12" applyFont="1" applyFill="1" applyBorder="1" applyAlignment="1">
      <alignment horizontal="right" indent="1"/>
    </xf>
    <xf numFmtId="9" fontId="46" fillId="8" borderId="53" xfId="14" applyFont="1" applyFill="1" applyBorder="1" applyAlignment="1">
      <alignment horizontal="right" indent="1"/>
    </xf>
    <xf numFmtId="9" fontId="5" fillId="0" borderId="0" xfId="12" applyNumberFormat="1"/>
    <xf numFmtId="9" fontId="3" fillId="0" borderId="0" xfId="6" applyFont="1"/>
    <xf numFmtId="9" fontId="3" fillId="0" borderId="0" xfId="6" applyFont="1" applyFill="1" applyBorder="1" applyAlignment="1">
      <alignment vertical="center"/>
    </xf>
    <xf numFmtId="180" fontId="41" fillId="8" borderId="0" xfId="12" applyNumberFormat="1" applyFont="1" applyFill="1" applyBorder="1" applyAlignment="1">
      <alignment horizontal="center"/>
    </xf>
    <xf numFmtId="0" fontId="41" fillId="8" borderId="0" xfId="12" applyFont="1" applyFill="1" applyBorder="1" applyAlignment="1">
      <alignment horizontal="center"/>
    </xf>
    <xf numFmtId="180" fontId="5" fillId="8" borderId="0" xfId="12" applyNumberFormat="1" applyFill="1"/>
    <xf numFmtId="180" fontId="41" fillId="8" borderId="0" xfId="12" applyNumberFormat="1" applyFont="1" applyFill="1" applyAlignment="1">
      <alignment horizontal="center"/>
    </xf>
    <xf numFmtId="178" fontId="5" fillId="8" borderId="49" xfId="12" applyNumberFormat="1" applyFill="1" applyBorder="1"/>
    <xf numFmtId="0" fontId="44" fillId="10" borderId="0" xfId="0" applyFont="1" applyFill="1" applyBorder="1" applyAlignment="1">
      <alignment vertical="center"/>
    </xf>
    <xf numFmtId="0" fontId="41" fillId="8" borderId="51" xfId="12" applyFont="1" applyFill="1" applyBorder="1"/>
    <xf numFmtId="9" fontId="41" fillId="8" borderId="50" xfId="14" applyNumberFormat="1" applyFont="1" applyFill="1" applyBorder="1" applyAlignment="1">
      <alignment horizontal="center"/>
    </xf>
    <xf numFmtId="9" fontId="46" fillId="8" borderId="50" xfId="12" applyNumberFormat="1" applyFont="1" applyFill="1" applyBorder="1" applyAlignment="1">
      <alignment horizontal="right" indent="2"/>
    </xf>
    <xf numFmtId="9" fontId="5" fillId="8" borderId="0" xfId="6" applyFont="1" applyFill="1"/>
    <xf numFmtId="0" fontId="41" fillId="8" borderId="52" xfId="12" applyFont="1" applyFill="1" applyBorder="1" applyAlignment="1">
      <alignment wrapText="1"/>
    </xf>
    <xf numFmtId="9" fontId="46" fillId="8" borderId="53" xfId="12" applyNumberFormat="1" applyFont="1" applyFill="1" applyBorder="1" applyAlignment="1">
      <alignment horizontal="right" indent="1"/>
    </xf>
    <xf numFmtId="0" fontId="46" fillId="8" borderId="50" xfId="12" applyFont="1" applyFill="1" applyBorder="1" applyAlignment="1">
      <alignment horizontal="right" indent="2"/>
    </xf>
    <xf numFmtId="0" fontId="46" fillId="8" borderId="50" xfId="12" applyFont="1" applyFill="1" applyBorder="1" applyAlignment="1">
      <alignment horizontal="right" indent="1"/>
    </xf>
    <xf numFmtId="0" fontId="46" fillId="8" borderId="0" xfId="12" applyFont="1" applyFill="1" applyBorder="1" applyAlignment="1">
      <alignment horizontal="right" indent="2"/>
    </xf>
    <xf numFmtId="0" fontId="46" fillId="8" borderId="0" xfId="12" applyFont="1" applyFill="1" applyBorder="1" applyAlignment="1">
      <alignment horizontal="right" indent="1"/>
    </xf>
    <xf numFmtId="178" fontId="46" fillId="8" borderId="0" xfId="12" applyNumberFormat="1" applyFont="1" applyFill="1" applyBorder="1" applyAlignment="1">
      <alignment horizontal="right" indent="2"/>
    </xf>
    <xf numFmtId="0" fontId="3" fillId="10" borderId="0" xfId="0" applyFont="1" applyFill="1" applyBorder="1"/>
    <xf numFmtId="9" fontId="3" fillId="10" borderId="0" xfId="6" applyFont="1" applyFill="1" applyBorder="1" applyAlignment="1">
      <alignment vertical="center"/>
    </xf>
    <xf numFmtId="165" fontId="3" fillId="10" borderId="0" xfId="1" applyFont="1" applyFill="1" applyBorder="1" applyAlignment="1">
      <alignment vertical="center"/>
    </xf>
    <xf numFmtId="175" fontId="3" fillId="10" borderId="0" xfId="1" applyNumberFormat="1" applyFont="1" applyFill="1" applyBorder="1" applyAlignment="1">
      <alignment vertical="center"/>
    </xf>
    <xf numFmtId="9" fontId="3" fillId="10" borderId="0" xfId="0" applyNumberFormat="1" applyFont="1" applyFill="1" applyBorder="1" applyAlignment="1">
      <alignment vertical="center"/>
    </xf>
    <xf numFmtId="0" fontId="41" fillId="8" borderId="48" xfId="12" applyFont="1" applyFill="1" applyBorder="1" applyAlignment="1"/>
    <xf numFmtId="178" fontId="41" fillId="8" borderId="0" xfId="12" applyNumberFormat="1" applyFont="1" applyFill="1" applyBorder="1" applyAlignment="1">
      <alignment horizontal="center"/>
    </xf>
    <xf numFmtId="178" fontId="41" fillId="8" borderId="50" xfId="16" applyNumberFormat="1" applyFont="1" applyFill="1" applyBorder="1" applyAlignment="1">
      <alignment horizontal="center"/>
    </xf>
    <xf numFmtId="44" fontId="41" fillId="8" borderId="50" xfId="16" applyFont="1" applyFill="1" applyBorder="1" applyAlignment="1">
      <alignment horizontal="right" indent="2"/>
    </xf>
    <xf numFmtId="2" fontId="41" fillId="8" borderId="50" xfId="16" applyNumberFormat="1" applyFont="1" applyFill="1" applyBorder="1" applyAlignment="1">
      <alignment horizontal="center" wrapText="1"/>
    </xf>
    <xf numFmtId="178" fontId="5" fillId="8" borderId="0" xfId="12" applyNumberFormat="1" applyFill="1"/>
    <xf numFmtId="9" fontId="44" fillId="0" borderId="0" xfId="0" applyNumberFormat="1" applyFont="1" applyFill="1" applyBorder="1" applyAlignment="1">
      <alignment vertical="center"/>
    </xf>
    <xf numFmtId="175" fontId="44" fillId="0" borderId="0" xfId="0" applyNumberFormat="1" applyFont="1" applyFill="1" applyBorder="1" applyAlignment="1">
      <alignment vertical="center"/>
    </xf>
    <xf numFmtId="0" fontId="48" fillId="8" borderId="0" xfId="12" applyFont="1" applyFill="1" applyBorder="1" applyAlignment="1"/>
    <xf numFmtId="0" fontId="48" fillId="8" borderId="0" xfId="12" applyFont="1" applyFill="1" applyBorder="1" applyAlignment="1">
      <alignment wrapText="1"/>
    </xf>
    <xf numFmtId="178" fontId="41" fillId="8" borderId="0" xfId="12" applyNumberFormat="1" applyFont="1" applyFill="1" applyBorder="1"/>
    <xf numFmtId="9" fontId="41" fillId="8" borderId="0" xfId="14" applyFont="1" applyFill="1" applyBorder="1" applyAlignment="1">
      <alignment horizontal="center"/>
    </xf>
    <xf numFmtId="44" fontId="41" fillId="8" borderId="0" xfId="16" applyFont="1" applyFill="1" applyBorder="1" applyAlignment="1">
      <alignment horizontal="right" indent="2"/>
    </xf>
    <xf numFmtId="7" fontId="41" fillId="8" borderId="0" xfId="16" applyNumberFormat="1" applyFont="1" applyFill="1" applyBorder="1" applyAlignment="1">
      <alignment horizontal="right" wrapText="1" indent="1"/>
    </xf>
    <xf numFmtId="7" fontId="41" fillId="8" borderId="0" xfId="16" applyNumberFormat="1" applyFont="1" applyFill="1" applyBorder="1" applyAlignment="1">
      <alignment horizontal="center"/>
    </xf>
    <xf numFmtId="5" fontId="41" fillId="0" borderId="0" xfId="16" applyNumberFormat="1" applyFont="1" applyFill="1" applyBorder="1" applyAlignment="1">
      <alignment horizontal="center"/>
    </xf>
    <xf numFmtId="180" fontId="41" fillId="8" borderId="0" xfId="12" applyNumberFormat="1" applyFont="1" applyFill="1" applyBorder="1" applyAlignment="1">
      <alignment horizontal="center" wrapText="1"/>
    </xf>
    <xf numFmtId="172" fontId="3" fillId="10" borderId="0" xfId="0" applyNumberFormat="1" applyFont="1" applyFill="1" applyBorder="1" applyAlignment="1">
      <alignment vertical="center"/>
    </xf>
    <xf numFmtId="3" fontId="41" fillId="8" borderId="0" xfId="15" applyNumberFormat="1" applyFont="1" applyFill="1" applyBorder="1" applyAlignment="1">
      <alignment horizontal="center" wrapText="1"/>
    </xf>
    <xf numFmtId="0" fontId="5" fillId="0" borderId="0" xfId="12" quotePrefix="1" applyFont="1" applyFill="1" applyBorder="1"/>
    <xf numFmtId="175" fontId="5" fillId="0" borderId="0" xfId="6" applyNumberFormat="1" applyFont="1" applyFill="1" applyBorder="1"/>
    <xf numFmtId="0" fontId="5" fillId="0" borderId="0" xfId="12" applyFill="1" applyBorder="1"/>
    <xf numFmtId="180" fontId="41" fillId="8" borderId="0" xfId="12" applyNumberFormat="1" applyFont="1" applyFill="1" applyBorder="1" applyAlignment="1">
      <alignment horizontal="right" wrapText="1"/>
    </xf>
    <xf numFmtId="175" fontId="3" fillId="0" borderId="0" xfId="0" applyNumberFormat="1" applyFont="1" applyFill="1" applyBorder="1" applyAlignment="1">
      <alignment vertical="center"/>
    </xf>
    <xf numFmtId="0" fontId="3" fillId="8" borderId="48" xfId="12" applyFont="1" applyFill="1" applyBorder="1" applyAlignment="1"/>
    <xf numFmtId="0" fontId="41" fillId="8" borderId="0" xfId="12" applyFont="1" applyFill="1" applyBorder="1" applyAlignment="1"/>
    <xf numFmtId="9" fontId="41" fillId="8" borderId="0" xfId="12" applyNumberFormat="1" applyFont="1" applyFill="1" applyBorder="1" applyAlignment="1">
      <alignment wrapText="1"/>
    </xf>
    <xf numFmtId="0" fontId="37" fillId="8" borderId="48" xfId="12" applyFont="1" applyFill="1" applyBorder="1" applyAlignment="1">
      <alignment horizontal="left"/>
    </xf>
    <xf numFmtId="0" fontId="37" fillId="8" borderId="48" xfId="12" applyFont="1" applyFill="1" applyBorder="1"/>
    <xf numFmtId="0" fontId="3" fillId="8" borderId="48" xfId="12" applyFont="1" applyFill="1" applyBorder="1"/>
    <xf numFmtId="9" fontId="5" fillId="0" borderId="0" xfId="12" applyNumberFormat="1" applyBorder="1"/>
    <xf numFmtId="165" fontId="41" fillId="0" borderId="0" xfId="1" applyFont="1" applyBorder="1"/>
    <xf numFmtId="172" fontId="5" fillId="0" borderId="0" xfId="12" applyNumberFormat="1" applyBorder="1"/>
    <xf numFmtId="0" fontId="3" fillId="8" borderId="64" xfId="12" applyFont="1" applyFill="1" applyBorder="1"/>
    <xf numFmtId="0" fontId="5" fillId="8" borderId="65" xfId="12" applyFill="1" applyBorder="1"/>
    <xf numFmtId="0" fontId="5" fillId="8" borderId="66" xfId="12" applyFill="1" applyBorder="1"/>
    <xf numFmtId="1" fontId="5" fillId="0" borderId="0" xfId="12" applyNumberFormat="1" applyFill="1" applyBorder="1"/>
    <xf numFmtId="178" fontId="5" fillId="0" borderId="0" xfId="12" applyNumberFormat="1" applyFill="1" applyBorder="1"/>
    <xf numFmtId="0" fontId="5" fillId="0" borderId="0" xfId="12" applyFont="1" applyFill="1" applyBorder="1"/>
    <xf numFmtId="172" fontId="5" fillId="0" borderId="0" xfId="1" applyNumberFormat="1" applyFont="1" applyFill="1" applyBorder="1"/>
    <xf numFmtId="9" fontId="5" fillId="0" borderId="0" xfId="14" applyFill="1"/>
    <xf numFmtId="9" fontId="3" fillId="10" borderId="67" xfId="6" applyFont="1" applyFill="1" applyBorder="1" applyAlignment="1">
      <alignment vertical="center"/>
    </xf>
    <xf numFmtId="0" fontId="5" fillId="0" borderId="0" xfId="12" applyFill="1"/>
    <xf numFmtId="0" fontId="5" fillId="0" borderId="0" xfId="12" applyFill="1" applyBorder="1" applyAlignment="1">
      <alignment horizontal="right"/>
    </xf>
    <xf numFmtId="181" fontId="5" fillId="0" borderId="0" xfId="12" applyNumberFormat="1" applyFill="1" applyBorder="1"/>
    <xf numFmtId="0" fontId="0" fillId="0" borderId="0" xfId="0" applyFill="1" applyBorder="1"/>
    <xf numFmtId="0" fontId="4" fillId="0" borderId="0" xfId="12" applyFont="1" applyFill="1" applyBorder="1" applyAlignment="1">
      <alignment horizontal="right"/>
    </xf>
    <xf numFmtId="0" fontId="4" fillId="0" borderId="0" xfId="12" applyFont="1" applyAlignment="1">
      <alignment horizontal="right"/>
    </xf>
    <xf numFmtId="1" fontId="5" fillId="0" borderId="69" xfId="12" applyNumberFormat="1" applyBorder="1"/>
    <xf numFmtId="1" fontId="5" fillId="0" borderId="63" xfId="12" applyNumberFormat="1" applyBorder="1"/>
    <xf numFmtId="1" fontId="5" fillId="0" borderId="70" xfId="12" applyNumberFormat="1" applyBorder="1"/>
    <xf numFmtId="0" fontId="5" fillId="0" borderId="61" xfId="12" applyBorder="1" applyAlignment="1">
      <alignment horizontal="right"/>
    </xf>
    <xf numFmtId="1" fontId="5" fillId="0" borderId="0" xfId="12" applyNumberFormat="1"/>
    <xf numFmtId="0" fontId="5" fillId="0" borderId="61" xfId="12" applyBorder="1"/>
    <xf numFmtId="168" fontId="5" fillId="0" borderId="0" xfId="12" applyNumberFormat="1" applyFill="1" applyBorder="1"/>
    <xf numFmtId="180" fontId="5" fillId="0" borderId="0" xfId="12" applyNumberFormat="1" applyFill="1" applyBorder="1"/>
    <xf numFmtId="178" fontId="5" fillId="0" borderId="0" xfId="12" applyNumberFormat="1"/>
    <xf numFmtId="0" fontId="10" fillId="0" borderId="0" xfId="12" applyFont="1" applyFill="1" applyBorder="1"/>
    <xf numFmtId="0" fontId="16" fillId="0" borderId="0" xfId="12" applyFont="1" applyFill="1" applyBorder="1"/>
    <xf numFmtId="0" fontId="5" fillId="0" borderId="0" xfId="12" applyFill="1" applyBorder="1" applyAlignment="1">
      <alignment horizontal="left" wrapText="1"/>
    </xf>
    <xf numFmtId="0" fontId="4" fillId="0" borderId="0" xfId="0" applyFont="1"/>
    <xf numFmtId="0" fontId="4" fillId="0" borderId="0" xfId="0" applyFont="1" applyAlignment="1">
      <alignment horizontal="center"/>
    </xf>
    <xf numFmtId="49" fontId="25" fillId="8" borderId="0" xfId="7" applyNumberFormat="1" applyFont="1" applyFill="1" applyAlignment="1">
      <alignment horizontal="left"/>
    </xf>
    <xf numFmtId="0" fontId="27" fillId="8" borderId="0" xfId="9" applyFont="1" applyFill="1"/>
    <xf numFmtId="0" fontId="31" fillId="8" borderId="0" xfId="9" applyFont="1" applyFill="1" applyAlignment="1">
      <alignment horizontal="right" vertical="top"/>
    </xf>
    <xf numFmtId="0" fontId="5" fillId="8" borderId="0" xfId="9" applyFont="1" applyFill="1"/>
    <xf numFmtId="0" fontId="5" fillId="8" borderId="0" xfId="10" applyFont="1" applyFill="1"/>
    <xf numFmtId="0" fontId="5" fillId="8" borderId="0" xfId="0" applyFont="1" applyFill="1" applyBorder="1"/>
    <xf numFmtId="0" fontId="43" fillId="8" borderId="48" xfId="12" applyFont="1" applyFill="1" applyBorder="1" applyAlignment="1">
      <alignment horizontal="left"/>
    </xf>
    <xf numFmtId="165" fontId="3" fillId="10" borderId="67" xfId="1" applyFont="1" applyFill="1" applyBorder="1" applyAlignment="1">
      <alignment vertical="center"/>
    </xf>
    <xf numFmtId="175" fontId="3" fillId="10" borderId="67" xfId="1" applyNumberFormat="1" applyFont="1" applyFill="1" applyBorder="1" applyAlignment="1">
      <alignment vertical="center"/>
    </xf>
    <xf numFmtId="0" fontId="3" fillId="0" borderId="0" xfId="12" applyFont="1" applyFill="1" applyBorder="1"/>
    <xf numFmtId="0" fontId="3" fillId="0" borderId="0" xfId="0" applyFont="1" applyFill="1" applyBorder="1"/>
    <xf numFmtId="175" fontId="3" fillId="0" borderId="0" xfId="1" applyNumberFormat="1" applyFont="1" applyFill="1" applyBorder="1" applyAlignment="1">
      <alignment vertical="center"/>
    </xf>
    <xf numFmtId="3" fontId="3" fillId="0" borderId="0" xfId="0" applyNumberFormat="1" applyFont="1" applyFill="1" applyBorder="1" applyAlignment="1">
      <alignment vertical="center"/>
    </xf>
    <xf numFmtId="0" fontId="44" fillId="10" borderId="75" xfId="0" applyFont="1" applyFill="1" applyBorder="1" applyAlignment="1">
      <alignment vertical="center" wrapText="1"/>
    </xf>
    <xf numFmtId="0" fontId="3" fillId="10" borderId="76" xfId="0" applyFont="1" applyFill="1" applyBorder="1" applyAlignment="1">
      <alignment horizontal="center" vertical="center" wrapText="1"/>
    </xf>
    <xf numFmtId="0" fontId="3" fillId="10" borderId="77" xfId="0" applyFont="1" applyFill="1" applyBorder="1" applyAlignment="1">
      <alignment horizontal="center" vertical="center" wrapText="1"/>
    </xf>
    <xf numFmtId="172" fontId="3" fillId="10" borderId="67" xfId="0" applyNumberFormat="1" applyFont="1" applyFill="1" applyBorder="1" applyAlignment="1">
      <alignment vertical="center"/>
    </xf>
    <xf numFmtId="172" fontId="3" fillId="10" borderId="67" xfId="1" applyNumberFormat="1" applyFont="1" applyFill="1" applyBorder="1" applyAlignment="1">
      <alignment vertical="center"/>
    </xf>
    <xf numFmtId="0" fontId="4" fillId="0" borderId="0" xfId="10" applyFont="1" applyFill="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vertical="center" wrapText="1"/>
    </xf>
    <xf numFmtId="0" fontId="5" fillId="0" borderId="60" xfId="0" applyFont="1" applyBorder="1" applyAlignment="1">
      <alignment vertical="center" wrapText="1"/>
    </xf>
    <xf numFmtId="0" fontId="5" fillId="0" borderId="14" xfId="7" applyFont="1" applyFill="1" applyBorder="1" applyAlignment="1">
      <alignment vertical="center" wrapText="1"/>
    </xf>
    <xf numFmtId="0" fontId="5" fillId="0" borderId="83" xfId="7" applyFont="1" applyFill="1" applyBorder="1" applyAlignment="1">
      <alignment vertical="center" wrapText="1"/>
    </xf>
    <xf numFmtId="0" fontId="5" fillId="0" borderId="24" xfId="7" applyFont="1" applyFill="1" applyBorder="1" applyAlignment="1">
      <alignment vertical="center" wrapText="1"/>
    </xf>
    <xf numFmtId="0" fontId="29" fillId="0" borderId="82" xfId="7" applyFont="1" applyFill="1" applyBorder="1" applyAlignment="1">
      <alignment vertical="center" wrapText="1"/>
    </xf>
    <xf numFmtId="0" fontId="5" fillId="0" borderId="79" xfId="7" applyFont="1" applyFill="1" applyBorder="1" applyAlignment="1">
      <alignment horizontal="justify" vertical="center" wrapText="1"/>
    </xf>
    <xf numFmtId="0" fontId="5" fillId="0" borderId="0" xfId="8" applyFont="1" applyBorder="1" applyAlignment="1">
      <alignment horizontal="left" wrapText="1"/>
    </xf>
    <xf numFmtId="0" fontId="5" fillId="0" borderId="0" xfId="8" applyFont="1" applyBorder="1" applyAlignment="1">
      <alignment horizontal="left" vertical="top" wrapText="1"/>
    </xf>
    <xf numFmtId="0" fontId="5" fillId="0" borderId="0" xfId="8" applyNumberFormat="1" applyFont="1" applyBorder="1" applyAlignment="1">
      <alignment horizontal="left" wrapText="1"/>
    </xf>
    <xf numFmtId="0" fontId="30" fillId="0" borderId="0" xfId="4" applyFont="1" applyBorder="1" applyAlignment="1" applyProtection="1">
      <alignment horizontal="left" wrapText="1"/>
    </xf>
    <xf numFmtId="0" fontId="5" fillId="0" borderId="0" xfId="7" applyBorder="1" applyAlignment="1">
      <alignment horizontal="left" vertical="top"/>
    </xf>
    <xf numFmtId="0" fontId="50" fillId="0" borderId="0" xfId="0" applyFont="1"/>
    <xf numFmtId="0" fontId="33" fillId="0" borderId="84" xfId="10" applyFont="1" applyBorder="1" applyAlignment="1">
      <alignment horizontal="center" vertical="center" wrapText="1"/>
    </xf>
    <xf numFmtId="0" fontId="34" fillId="0" borderId="82" xfId="10" applyFont="1" applyFill="1" applyBorder="1" applyAlignment="1">
      <alignment horizontal="center" vertical="center" wrapText="1"/>
    </xf>
    <xf numFmtId="0" fontId="5" fillId="0" borderId="82" xfId="10" applyFill="1" applyBorder="1" applyAlignment="1">
      <alignment vertical="center"/>
    </xf>
    <xf numFmtId="0" fontId="5" fillId="0" borderId="61" xfId="10" applyBorder="1" applyAlignment="1">
      <alignment vertical="center" wrapText="1"/>
    </xf>
    <xf numFmtId="9" fontId="14" fillId="4" borderId="60" xfId="10" applyNumberFormat="1" applyFont="1" applyFill="1" applyBorder="1" applyAlignment="1">
      <alignment horizontal="center" vertical="center"/>
    </xf>
    <xf numFmtId="9" fontId="5" fillId="0" borderId="82" xfId="10" applyNumberFormat="1" applyBorder="1" applyAlignment="1">
      <alignment horizontal="center" vertical="center"/>
    </xf>
    <xf numFmtId="9" fontId="5" fillId="5" borderId="82" xfId="10" applyNumberFormat="1" applyFont="1" applyFill="1" applyBorder="1" applyAlignment="1">
      <alignment horizontal="center" vertical="center"/>
    </xf>
    <xf numFmtId="0" fontId="4" fillId="0" borderId="71" xfId="10" applyFont="1" applyFill="1" applyBorder="1" applyAlignment="1">
      <alignment vertical="center" wrapText="1"/>
    </xf>
    <xf numFmtId="0" fontId="5" fillId="0" borderId="84" xfId="10" applyBorder="1" applyAlignment="1">
      <alignment vertical="center"/>
    </xf>
    <xf numFmtId="0" fontId="5" fillId="0" borderId="85" xfId="11" applyFont="1" applyFill="1" applyBorder="1" applyAlignment="1">
      <alignment vertical="center" wrapText="1"/>
    </xf>
    <xf numFmtId="9" fontId="5" fillId="3" borderId="84" xfId="14" applyNumberFormat="1" applyFont="1" applyFill="1" applyBorder="1" applyAlignment="1">
      <alignment horizontal="center" vertical="center"/>
    </xf>
    <xf numFmtId="9" fontId="5" fillId="0" borderId="69" xfId="14" applyFont="1" applyFill="1" applyBorder="1" applyAlignment="1">
      <alignment horizontal="center" vertical="center"/>
    </xf>
    <xf numFmtId="9" fontId="5" fillId="5" borderId="84" xfId="1" applyNumberFormat="1" applyFont="1" applyFill="1" applyBorder="1" applyAlignment="1">
      <alignment horizontal="center" vertical="center"/>
    </xf>
    <xf numFmtId="0" fontId="5" fillId="0" borderId="0" xfId="11" applyFont="1" applyFill="1" applyBorder="1" applyAlignment="1">
      <alignment vertical="center" wrapText="1"/>
    </xf>
    <xf numFmtId="178" fontId="5" fillId="3" borderId="39" xfId="14" applyNumberFormat="1" applyFont="1" applyFill="1" applyBorder="1" applyAlignment="1">
      <alignment horizontal="center" vertical="center"/>
    </xf>
    <xf numFmtId="0" fontId="5" fillId="0" borderId="15" xfId="11" applyFont="1" applyFill="1" applyBorder="1" applyAlignment="1">
      <alignment horizontal="center" vertical="center"/>
    </xf>
    <xf numFmtId="178" fontId="5" fillId="5" borderId="39" xfId="14" applyNumberFormat="1" applyFont="1" applyFill="1" applyBorder="1" applyAlignment="1">
      <alignment horizontal="center" vertical="center"/>
    </xf>
    <xf numFmtId="0" fontId="5" fillId="0" borderId="82" xfId="10" applyFont="1" applyBorder="1" applyAlignment="1">
      <alignment vertical="center"/>
    </xf>
    <xf numFmtId="0" fontId="5" fillId="0" borderId="82" xfId="11" applyFont="1" applyFill="1" applyBorder="1" applyAlignment="1">
      <alignment vertical="center" wrapText="1"/>
    </xf>
    <xf numFmtId="170" fontId="23" fillId="9" borderId="73" xfId="14" applyNumberFormat="1" applyFont="1" applyFill="1" applyBorder="1" applyAlignment="1">
      <alignment horizontal="center" vertical="center"/>
    </xf>
    <xf numFmtId="170" fontId="22" fillId="0" borderId="0" xfId="14" applyNumberFormat="1" applyFont="1" applyFill="1" applyBorder="1" applyAlignment="1">
      <alignment horizontal="center"/>
    </xf>
    <xf numFmtId="0" fontId="5" fillId="0" borderId="73" xfId="10" applyFont="1" applyBorder="1"/>
    <xf numFmtId="0" fontId="36" fillId="0" borderId="73" xfId="10" applyFont="1" applyBorder="1" applyAlignment="1">
      <alignment horizontal="center"/>
    </xf>
    <xf numFmtId="0" fontId="4" fillId="0" borderId="73" xfId="10" applyFont="1" applyBorder="1" applyAlignment="1">
      <alignment horizontal="center"/>
    </xf>
    <xf numFmtId="0" fontId="4" fillId="0" borderId="73" xfId="10" applyFont="1" applyBorder="1"/>
    <xf numFmtId="14" fontId="29" fillId="0" borderId="73" xfId="7" applyNumberFormat="1" applyFont="1" applyBorder="1" applyAlignment="1">
      <alignment horizontal="center" vertical="center" wrapText="1"/>
    </xf>
    <xf numFmtId="14" fontId="4" fillId="0" borderId="73" xfId="7" applyNumberFormat="1" applyFont="1" applyFill="1" applyBorder="1" applyAlignment="1">
      <alignment horizontal="center" vertical="center" wrapText="1"/>
    </xf>
    <xf numFmtId="177" fontId="4" fillId="0" borderId="73" xfId="2" applyNumberFormat="1" applyFont="1" applyFill="1" applyBorder="1"/>
    <xf numFmtId="0" fontId="0" fillId="0" borderId="0" xfId="0" applyAlignment="1">
      <alignment vertical="center"/>
    </xf>
    <xf numFmtId="0" fontId="10" fillId="0" borderId="4" xfId="5" applyFont="1" applyFill="1" applyBorder="1" applyAlignment="1">
      <alignment horizontal="left" vertical="center" wrapText="1"/>
    </xf>
    <xf numFmtId="175" fontId="0" fillId="0" borderId="0" xfId="1" applyNumberFormat="1" applyFont="1" applyBorder="1" applyAlignment="1">
      <alignment vertical="center"/>
    </xf>
    <xf numFmtId="0" fontId="10" fillId="0" borderId="4" xfId="5" applyFont="1" applyFill="1" applyBorder="1" applyAlignment="1">
      <alignment horizontal="left" vertical="center"/>
    </xf>
    <xf numFmtId="170" fontId="5" fillId="0" borderId="63" xfId="11" applyNumberFormat="1" applyFont="1" applyFill="1" applyBorder="1" applyAlignment="1">
      <alignment horizontal="center" vertical="center"/>
    </xf>
    <xf numFmtId="170" fontId="5" fillId="3" borderId="82" xfId="14" applyNumberFormat="1" applyFont="1" applyFill="1" applyBorder="1" applyAlignment="1">
      <alignment horizontal="center" vertical="center"/>
    </xf>
    <xf numFmtId="170" fontId="5" fillId="5" borderId="82" xfId="1" applyNumberFormat="1" applyFont="1" applyFill="1" applyBorder="1" applyAlignment="1">
      <alignment horizontal="center" vertical="center"/>
    </xf>
    <xf numFmtId="9" fontId="20" fillId="7" borderId="26" xfId="6" applyFont="1" applyFill="1" applyBorder="1" applyAlignment="1">
      <alignment vertical="center"/>
    </xf>
    <xf numFmtId="0" fontId="26" fillId="0" borderId="0" xfId="7" applyFont="1" applyBorder="1" applyAlignment="1">
      <alignment vertical="center"/>
    </xf>
    <xf numFmtId="0" fontId="5" fillId="0" borderId="0" xfId="0" applyFont="1" applyFill="1" applyBorder="1" applyAlignment="1">
      <alignment vertical="center"/>
    </xf>
    <xf numFmtId="0" fontId="5" fillId="11" borderId="0" xfId="0" applyFont="1" applyFill="1" applyBorder="1" applyAlignment="1">
      <alignment vertical="center"/>
    </xf>
    <xf numFmtId="0" fontId="27" fillId="0" borderId="0" xfId="9" applyFont="1" applyAlignment="1">
      <alignment vertical="center"/>
    </xf>
    <xf numFmtId="0" fontId="5" fillId="0" borderId="0" xfId="0" applyFont="1" applyFill="1" applyBorder="1" applyAlignment="1">
      <alignment horizontal="right" vertical="center"/>
    </xf>
    <xf numFmtId="0" fontId="5" fillId="11" borderId="0" xfId="0" applyFont="1" applyFill="1" applyBorder="1" applyAlignment="1">
      <alignment horizontal="right" vertical="center"/>
    </xf>
    <xf numFmtId="0" fontId="4" fillId="0" borderId="0" xfId="0" applyFont="1" applyFill="1" applyBorder="1" applyAlignment="1">
      <alignment vertical="center"/>
    </xf>
    <xf numFmtId="0" fontId="4" fillId="11" borderId="0" xfId="0" applyFont="1" applyFill="1" applyBorder="1" applyAlignment="1">
      <alignment vertical="center"/>
    </xf>
    <xf numFmtId="0" fontId="16" fillId="0" borderId="0" xfId="0" applyFont="1" applyAlignment="1">
      <alignment vertical="center"/>
    </xf>
    <xf numFmtId="0" fontId="0" fillId="0" borderId="0" xfId="0" applyFill="1" applyAlignment="1">
      <alignment vertical="center"/>
    </xf>
    <xf numFmtId="0" fontId="0" fillId="11" borderId="0" xfId="0" applyFill="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Fill="1" applyAlignment="1">
      <alignment vertical="center"/>
    </xf>
    <xf numFmtId="0" fontId="4" fillId="11" borderId="0" xfId="0" applyFont="1" applyFill="1" applyAlignment="1">
      <alignment vertical="center"/>
    </xf>
    <xf numFmtId="170" fontId="0" fillId="0" borderId="0" xfId="14" applyNumberFormat="1" applyFont="1" applyAlignment="1">
      <alignment vertical="center"/>
    </xf>
    <xf numFmtId="3" fontId="0" fillId="0" borderId="0" xfId="0" applyNumberFormat="1" applyAlignment="1">
      <alignment vertical="center"/>
    </xf>
    <xf numFmtId="175" fontId="0" fillId="0" borderId="0" xfId="1" applyNumberFormat="1" applyFont="1" applyAlignment="1">
      <alignment vertical="center"/>
    </xf>
    <xf numFmtId="175" fontId="0" fillId="0" borderId="0" xfId="0" applyNumberFormat="1" applyAlignment="1">
      <alignment vertical="center"/>
    </xf>
    <xf numFmtId="175" fontId="0" fillId="11" borderId="0" xfId="0" applyNumberFormat="1" applyFill="1" applyAlignment="1">
      <alignment vertical="center"/>
    </xf>
    <xf numFmtId="0" fontId="18" fillId="0" borderId="0" xfId="0" applyFont="1" applyAlignment="1">
      <alignment horizontal="left" vertical="center"/>
    </xf>
    <xf numFmtId="0" fontId="0" fillId="0" borderId="0" xfId="0" applyAlignment="1">
      <alignment horizontal="left" vertical="center"/>
    </xf>
    <xf numFmtId="3" fontId="5" fillId="0" borderId="0" xfId="0" applyNumberFormat="1" applyFont="1" applyFill="1" applyBorder="1" applyAlignment="1">
      <alignment vertical="center"/>
    </xf>
    <xf numFmtId="0" fontId="50" fillId="0" borderId="0" xfId="0" applyFont="1" applyAlignment="1">
      <alignment vertical="center"/>
    </xf>
    <xf numFmtId="0" fontId="1" fillId="0" borderId="0" xfId="0" applyFont="1" applyAlignment="1">
      <alignment vertical="center"/>
    </xf>
    <xf numFmtId="0" fontId="1" fillId="0" borderId="0" xfId="0" applyFont="1" applyBorder="1" applyAlignment="1">
      <alignment vertical="center"/>
    </xf>
    <xf numFmtId="175" fontId="0" fillId="11" borderId="0" xfId="1" applyNumberFormat="1" applyFont="1" applyFill="1" applyBorder="1" applyAlignment="1">
      <alignment vertical="center"/>
    </xf>
    <xf numFmtId="9" fontId="0" fillId="0" borderId="0" xfId="6" applyFont="1" applyBorder="1" applyAlignment="1">
      <alignment vertical="center"/>
    </xf>
    <xf numFmtId="172" fontId="0" fillId="0" borderId="0" xfId="1" applyNumberFormat="1" applyFont="1" applyBorder="1" applyAlignment="1">
      <alignment vertical="center"/>
    </xf>
    <xf numFmtId="172" fontId="0" fillId="11" borderId="0" xfId="1" applyNumberFormat="1" applyFont="1" applyFill="1" applyBorder="1" applyAlignment="1">
      <alignment vertical="center"/>
    </xf>
    <xf numFmtId="0" fontId="0" fillId="0" borderId="0" xfId="0" applyBorder="1" applyAlignment="1">
      <alignment vertical="center"/>
    </xf>
    <xf numFmtId="0" fontId="5" fillId="0" borderId="0" xfId="0" applyFont="1" applyAlignment="1">
      <alignment vertical="center"/>
    </xf>
    <xf numFmtId="0" fontId="18" fillId="0" borderId="16" xfId="0" applyFont="1" applyBorder="1" applyAlignment="1">
      <alignment horizontal="left" vertical="center"/>
    </xf>
    <xf numFmtId="0" fontId="5" fillId="0" borderId="85" xfId="0" applyFont="1" applyFill="1" applyBorder="1" applyAlignment="1">
      <alignment vertical="center"/>
    </xf>
    <xf numFmtId="0" fontId="0" fillId="0" borderId="85" xfId="0" applyBorder="1" applyAlignment="1">
      <alignment horizontal="center" vertical="center"/>
    </xf>
    <xf numFmtId="0" fontId="50" fillId="0" borderId="17" xfId="0" applyFont="1" applyBorder="1" applyAlignment="1">
      <alignment horizontal="center" vertical="center"/>
    </xf>
    <xf numFmtId="0" fontId="5" fillId="0" borderId="3" xfId="0" applyFont="1" applyFill="1" applyBorder="1" applyAlignment="1">
      <alignment vertical="center"/>
    </xf>
    <xf numFmtId="0" fontId="0" fillId="0" borderId="0" xfId="0" applyBorder="1" applyAlignment="1">
      <alignment horizontal="left" vertical="center"/>
    </xf>
    <xf numFmtId="9" fontId="0" fillId="0" borderId="15" xfId="6" applyFont="1" applyBorder="1" applyAlignment="1">
      <alignment vertical="center"/>
    </xf>
    <xf numFmtId="0" fontId="18" fillId="0" borderId="3" xfId="0" applyFont="1" applyBorder="1" applyAlignment="1">
      <alignment horizontal="left" vertical="center"/>
    </xf>
    <xf numFmtId="0" fontId="50" fillId="0" borderId="60" xfId="0" applyFont="1" applyBorder="1" applyAlignment="1">
      <alignment vertical="center"/>
    </xf>
    <xf numFmtId="0" fontId="50" fillId="0" borderId="61" xfId="0" applyFont="1" applyBorder="1" applyAlignment="1">
      <alignment vertical="center"/>
    </xf>
    <xf numFmtId="0" fontId="0" fillId="0" borderId="61" xfId="0" applyBorder="1" applyAlignment="1">
      <alignment vertical="center"/>
    </xf>
    <xf numFmtId="0" fontId="0" fillId="0" borderId="63" xfId="0" applyBorder="1" applyAlignment="1">
      <alignment vertical="center"/>
    </xf>
    <xf numFmtId="0" fontId="50" fillId="0" borderId="24" xfId="0" applyFont="1" applyBorder="1" applyAlignment="1">
      <alignment horizontal="center" vertical="center"/>
    </xf>
    <xf numFmtId="0" fontId="0" fillId="0" borderId="39" xfId="0" applyBorder="1" applyAlignment="1">
      <alignment vertical="center"/>
    </xf>
    <xf numFmtId="173" fontId="50" fillId="0" borderId="82" xfId="1" applyNumberFormat="1" applyFont="1" applyBorder="1" applyAlignment="1">
      <alignment vertical="center"/>
    </xf>
    <xf numFmtId="3" fontId="50" fillId="0" borderId="24" xfId="0" applyNumberFormat="1" applyFont="1" applyBorder="1" applyAlignment="1">
      <alignment horizontal="center" vertical="center"/>
    </xf>
    <xf numFmtId="3" fontId="0" fillId="0" borderId="39" xfId="0" applyNumberFormat="1" applyBorder="1" applyAlignment="1">
      <alignment vertical="center"/>
    </xf>
    <xf numFmtId="3" fontId="5" fillId="0" borderId="39" xfId="0" applyNumberFormat="1" applyFont="1" applyFill="1" applyBorder="1" applyAlignment="1">
      <alignment vertical="center"/>
    </xf>
    <xf numFmtId="0" fontId="0" fillId="0" borderId="82" xfId="0" applyBorder="1" applyAlignment="1">
      <alignment vertical="center"/>
    </xf>
    <xf numFmtId="175" fontId="0" fillId="11" borderId="0" xfId="1" applyNumberFormat="1" applyFont="1" applyFill="1" applyAlignment="1">
      <alignment vertical="center"/>
    </xf>
    <xf numFmtId="6" fontId="29" fillId="0" borderId="4" xfId="7" applyNumberFormat="1" applyFont="1" applyFill="1" applyBorder="1" applyAlignment="1">
      <alignment horizontal="left" vertical="center" wrapText="1"/>
    </xf>
    <xf numFmtId="0" fontId="30" fillId="0" borderId="0" xfId="4" applyFont="1" applyBorder="1" applyAlignment="1" applyProtection="1">
      <alignment horizontal="left" wrapText="1" indent="3"/>
    </xf>
    <xf numFmtId="0" fontId="5" fillId="0" borderId="0" xfId="7" applyFont="1" applyAlignment="1">
      <alignment horizontal="left" wrapText="1" indent="3"/>
    </xf>
    <xf numFmtId="0" fontId="5" fillId="0" borderId="0" xfId="7" applyNumberFormat="1" applyFont="1" applyBorder="1" applyAlignment="1">
      <alignment horizontal="left" wrapText="1" indent="3"/>
    </xf>
    <xf numFmtId="0" fontId="5" fillId="0" borderId="0" xfId="0" applyFont="1" applyBorder="1" applyAlignment="1">
      <alignment horizontal="left" vertical="center"/>
    </xf>
    <xf numFmtId="0" fontId="25" fillId="0" borderId="0" xfId="7" applyFont="1" applyAlignment="1">
      <alignment horizontal="right"/>
    </xf>
    <xf numFmtId="0" fontId="5" fillId="0" borderId="0" xfId="0" applyFont="1" applyFill="1" applyBorder="1" applyAlignment="1">
      <alignment vertical="center" wrapText="1"/>
    </xf>
    <xf numFmtId="0" fontId="52" fillId="0" borderId="0" xfId="0" applyFont="1" applyAlignment="1">
      <alignment vertical="center" wrapText="1"/>
    </xf>
    <xf numFmtId="0" fontId="5" fillId="0" borderId="0" xfId="7" applyFont="1" applyFill="1" applyBorder="1" applyAlignment="1">
      <alignment horizontal="justify" vertical="center" wrapText="1"/>
    </xf>
    <xf numFmtId="0" fontId="5" fillId="0" borderId="0" xfId="7" applyFont="1" applyFill="1" applyBorder="1" applyAlignment="1">
      <alignment vertical="center" wrapText="1"/>
    </xf>
    <xf numFmtId="0" fontId="9" fillId="0" borderId="0" xfId="4" applyBorder="1" applyAlignment="1" applyProtection="1">
      <alignment horizontal="left" vertical="top" wrapText="1"/>
    </xf>
    <xf numFmtId="0" fontId="9" fillId="0" borderId="0" xfId="4" applyFill="1" applyBorder="1" applyAlignment="1" applyProtection="1">
      <alignment horizontal="left" vertical="top" wrapText="1"/>
    </xf>
    <xf numFmtId="0" fontId="9" fillId="0" borderId="0" xfId="4" applyBorder="1" applyAlignment="1" applyProtection="1">
      <alignment horizontal="left" wrapText="1"/>
    </xf>
    <xf numFmtId="0" fontId="9" fillId="0" borderId="0" xfId="4" applyBorder="1" applyAlignment="1" applyProtection="1">
      <alignment vertical="center" wrapText="1"/>
    </xf>
    <xf numFmtId="0" fontId="9" fillId="0" borderId="0" xfId="4" applyBorder="1" applyAlignment="1" applyProtection="1">
      <alignment horizontal="left" vertical="center"/>
    </xf>
    <xf numFmtId="0" fontId="0" fillId="0" borderId="0" xfId="0" quotePrefix="1"/>
    <xf numFmtId="0" fontId="5" fillId="0" borderId="0" xfId="0" applyFont="1"/>
    <xf numFmtId="7" fontId="5" fillId="0" borderId="0" xfId="0" applyNumberFormat="1" applyFont="1"/>
    <xf numFmtId="0" fontId="5" fillId="0" borderId="0" xfId="0" applyFont="1" applyAlignment="1">
      <alignment horizontal="right" vertical="top"/>
    </xf>
    <xf numFmtId="0" fontId="5" fillId="0" borderId="0" xfId="0" applyFont="1" applyAlignment="1">
      <alignment horizontal="center"/>
    </xf>
    <xf numFmtId="0" fontId="16" fillId="0" borderId="0" xfId="0" applyFont="1" applyAlignment="1">
      <alignment horizontal="center"/>
    </xf>
    <xf numFmtId="0" fontId="5" fillId="0" borderId="3" xfId="0" applyFont="1" applyBorder="1"/>
    <xf numFmtId="0" fontId="5" fillId="0" borderId="0" xfId="0" applyFont="1" applyBorder="1"/>
    <xf numFmtId="0" fontId="5" fillId="0" borderId="0" xfId="0" applyFont="1" applyBorder="1" applyAlignment="1">
      <alignment horizontal="center"/>
    </xf>
    <xf numFmtId="3" fontId="5" fillId="0" borderId="0" xfId="0" applyNumberFormat="1" applyFont="1" applyBorder="1"/>
    <xf numFmtId="0" fontId="5" fillId="0" borderId="60" xfId="0" applyFont="1" applyBorder="1"/>
    <xf numFmtId="0" fontId="5" fillId="0" borderId="61" xfId="0" applyFont="1" applyBorder="1"/>
    <xf numFmtId="0" fontId="5" fillId="0" borderId="61" xfId="0" applyFont="1" applyBorder="1" applyAlignment="1">
      <alignment horizontal="center"/>
    </xf>
    <xf numFmtId="0" fontId="5" fillId="0" borderId="85" xfId="0" applyFont="1" applyBorder="1"/>
    <xf numFmtId="0" fontId="5" fillId="0" borderId="85" xfId="0" applyFont="1" applyBorder="1" applyAlignment="1">
      <alignment horizontal="center"/>
    </xf>
    <xf numFmtId="0" fontId="5" fillId="0" borderId="85" xfId="0" applyFont="1" applyBorder="1" applyAlignment="1">
      <alignment horizontal="right" vertical="top"/>
    </xf>
    <xf numFmtId="0" fontId="5" fillId="0" borderId="0" xfId="0" applyFont="1" applyBorder="1" applyAlignment="1">
      <alignment horizontal="right" vertical="top"/>
    </xf>
    <xf numFmtId="0" fontId="5" fillId="0" borderId="15" xfId="0" applyFont="1" applyBorder="1"/>
    <xf numFmtId="10" fontId="5" fillId="0" borderId="0" xfId="0" applyNumberFormat="1" applyFont="1" applyBorder="1"/>
    <xf numFmtId="2" fontId="5" fillId="0" borderId="0" xfId="0" applyNumberFormat="1" applyFont="1" applyBorder="1"/>
    <xf numFmtId="0" fontId="5" fillId="0" borderId="61" xfId="0" applyFont="1" applyBorder="1" applyAlignment="1">
      <alignment horizontal="right" vertical="top"/>
    </xf>
    <xf numFmtId="0" fontId="5" fillId="0" borderId="63" xfId="0" applyFont="1" applyBorder="1"/>
    <xf numFmtId="0" fontId="41" fillId="8" borderId="0" xfId="9" applyFont="1" applyFill="1"/>
    <xf numFmtId="0" fontId="41" fillId="8" borderId="0" xfId="10" applyFont="1" applyFill="1"/>
    <xf numFmtId="0" fontId="53" fillId="8" borderId="0" xfId="9" applyFont="1" applyFill="1" applyAlignment="1">
      <alignment horizontal="right" vertical="top"/>
    </xf>
    <xf numFmtId="9" fontId="14" fillId="12" borderId="3" xfId="10" applyNumberFormat="1" applyFont="1" applyFill="1" applyBorder="1" applyAlignment="1">
      <alignment horizontal="center" vertical="center"/>
    </xf>
    <xf numFmtId="9" fontId="14" fillId="12" borderId="74" xfId="14" applyNumberFormat="1" applyFont="1" applyFill="1" applyBorder="1" applyAlignment="1">
      <alignment horizontal="center" vertical="center"/>
    </xf>
    <xf numFmtId="178" fontId="14" fillId="12" borderId="3" xfId="14" quotePrefix="1" applyNumberFormat="1" applyFont="1" applyFill="1" applyBorder="1" applyAlignment="1">
      <alignment horizontal="center" vertical="center"/>
    </xf>
    <xf numFmtId="170" fontId="14" fillId="12" borderId="60" xfId="14" applyNumberFormat="1" applyFont="1" applyFill="1" applyBorder="1" applyAlignment="1">
      <alignment horizontal="center" vertical="center"/>
    </xf>
    <xf numFmtId="165" fontId="0" fillId="0" borderId="0" xfId="0" applyNumberFormat="1" applyAlignment="1">
      <alignment vertical="center"/>
    </xf>
    <xf numFmtId="183" fontId="3" fillId="0" borderId="84" xfId="6" applyNumberFormat="1" applyFont="1" applyBorder="1"/>
    <xf numFmtId="183" fontId="3" fillId="0" borderId="39" xfId="6" applyNumberFormat="1" applyFont="1" applyBorder="1"/>
    <xf numFmtId="183" fontId="3" fillId="0" borderId="82" xfId="6" applyNumberFormat="1" applyFont="1" applyBorder="1"/>
    <xf numFmtId="165" fontId="20" fillId="7" borderId="26" xfId="1" applyFont="1" applyFill="1" applyBorder="1" applyAlignment="1">
      <alignment vertical="center"/>
    </xf>
    <xf numFmtId="0" fontId="24" fillId="6" borderId="27" xfId="0" applyFont="1" applyFill="1" applyBorder="1" applyAlignment="1">
      <alignment vertical="center"/>
    </xf>
    <xf numFmtId="0" fontId="24" fillId="6" borderId="26" xfId="0" applyFont="1" applyFill="1" applyBorder="1" applyAlignment="1">
      <alignment vertical="center"/>
    </xf>
    <xf numFmtId="0" fontId="24" fillId="6" borderId="28" xfId="0" applyFont="1" applyFill="1" applyBorder="1" applyAlignment="1">
      <alignment vertical="center"/>
    </xf>
    <xf numFmtId="0" fontId="5" fillId="13" borderId="11" xfId="0" applyFont="1" applyFill="1" applyBorder="1"/>
    <xf numFmtId="0" fontId="5" fillId="13" borderId="6" xfId="0" applyFont="1" applyFill="1" applyBorder="1"/>
    <xf numFmtId="0" fontId="16" fillId="13" borderId="5" xfId="0" applyFont="1" applyFill="1" applyBorder="1" applyAlignment="1">
      <alignment horizontal="left"/>
    </xf>
    <xf numFmtId="0" fontId="16" fillId="13" borderId="0" xfId="0" applyFont="1" applyFill="1" applyBorder="1" applyAlignment="1">
      <alignment horizontal="left"/>
    </xf>
    <xf numFmtId="0" fontId="16" fillId="13" borderId="0" xfId="0" applyFont="1" applyFill="1" applyBorder="1" applyAlignment="1">
      <alignment horizontal="center"/>
    </xf>
    <xf numFmtId="0" fontId="16" fillId="13" borderId="7" xfId="0" applyFont="1" applyFill="1" applyBorder="1" applyAlignment="1">
      <alignment horizontal="center" wrapText="1"/>
    </xf>
    <xf numFmtId="0" fontId="16" fillId="0" borderId="0" xfId="0" applyFont="1" applyFill="1" applyBorder="1" applyAlignment="1">
      <alignment horizontal="center"/>
    </xf>
    <xf numFmtId="0" fontId="16" fillId="0" borderId="5" xfId="0" applyFont="1" applyFill="1" applyBorder="1" applyAlignment="1">
      <alignment horizontal="left"/>
    </xf>
    <xf numFmtId="0" fontId="16" fillId="0" borderId="0" xfId="0" applyFont="1" applyFill="1" applyBorder="1" applyAlignment="1">
      <alignment horizontal="left"/>
    </xf>
    <xf numFmtId="0" fontId="4" fillId="0" borderId="0" xfId="0" applyFont="1" applyFill="1" applyBorder="1" applyAlignment="1">
      <alignment horizontal="center"/>
    </xf>
    <xf numFmtId="0" fontId="4" fillId="0" borderId="8" xfId="0" applyFont="1" applyFill="1" applyBorder="1" applyAlignment="1">
      <alignment horizontal="left"/>
    </xf>
    <xf numFmtId="0" fontId="4" fillId="0" borderId="9" xfId="0" applyFont="1" applyFill="1" applyBorder="1" applyAlignment="1">
      <alignment horizontal="center"/>
    </xf>
    <xf numFmtId="0" fontId="26" fillId="0" borderId="0" xfId="7" applyFont="1" applyFill="1" applyBorder="1" applyAlignment="1"/>
    <xf numFmtId="4" fontId="10" fillId="0" borderId="0" xfId="5" applyNumberFormat="1" applyFont="1" applyFill="1" applyBorder="1"/>
    <xf numFmtId="166" fontId="10" fillId="0" borderId="0" xfId="6" applyNumberFormat="1" applyFont="1" applyFill="1" applyBorder="1" applyAlignment="1">
      <alignment horizontal="right"/>
    </xf>
    <xf numFmtId="9" fontId="10" fillId="0" borderId="0" xfId="6" applyFont="1" applyFill="1" applyBorder="1"/>
    <xf numFmtId="170" fontId="4" fillId="0" borderId="0" xfId="6" applyNumberFormat="1" applyFont="1" applyFill="1" applyBorder="1" applyAlignment="1">
      <alignment horizontal="right"/>
    </xf>
    <xf numFmtId="9" fontId="10" fillId="0" borderId="0" xfId="6" applyFont="1" applyFill="1" applyBorder="1" applyAlignment="1">
      <alignment horizontal="right"/>
    </xf>
    <xf numFmtId="1" fontId="10" fillId="0" borderId="0" xfId="5" applyNumberFormat="1" applyFont="1" applyFill="1" applyBorder="1"/>
    <xf numFmtId="0" fontId="10" fillId="0" borderId="0" xfId="5" applyFont="1" applyFill="1" applyBorder="1" applyAlignment="1">
      <alignment horizontal="right"/>
    </xf>
    <xf numFmtId="0" fontId="4" fillId="0" borderId="0" xfId="5" applyFont="1" applyFill="1" applyBorder="1"/>
    <xf numFmtId="0" fontId="10" fillId="0" borderId="0" xfId="5" applyFont="1" applyFill="1" applyBorder="1"/>
    <xf numFmtId="9" fontId="4" fillId="0" borderId="0" xfId="6" applyFont="1" applyFill="1" applyBorder="1" applyAlignment="1">
      <alignment horizontal="right"/>
    </xf>
    <xf numFmtId="0" fontId="10" fillId="0" borderId="0" xfId="0" applyFont="1" applyFill="1" applyBorder="1"/>
    <xf numFmtId="168" fontId="5" fillId="0" borderId="0" xfId="5" applyNumberFormat="1" applyFont="1" applyFill="1" applyBorder="1" applyAlignment="1">
      <alignment horizontal="right" wrapText="1"/>
    </xf>
    <xf numFmtId="167" fontId="5" fillId="0" borderId="0" xfId="5" applyNumberFormat="1" applyFont="1" applyFill="1" applyBorder="1" applyAlignment="1">
      <alignment horizontal="right" wrapText="1"/>
    </xf>
    <xf numFmtId="0" fontId="5" fillId="0" borderId="7" xfId="0" applyFont="1" applyFill="1" applyBorder="1"/>
    <xf numFmtId="0" fontId="4" fillId="0" borderId="0" xfId="0" applyFont="1" applyFill="1" applyBorder="1"/>
    <xf numFmtId="0" fontId="5" fillId="0" borderId="5" xfId="5" applyFont="1" applyFill="1" applyBorder="1" applyAlignment="1"/>
    <xf numFmtId="0" fontId="8" fillId="0" borderId="0" xfId="5" applyFont="1" applyFill="1" applyBorder="1" applyAlignment="1"/>
    <xf numFmtId="0" fontId="4" fillId="0" borderId="0" xfId="5" applyFont="1" applyFill="1" applyBorder="1" applyAlignment="1">
      <alignment horizontal="right"/>
    </xf>
    <xf numFmtId="0" fontId="4" fillId="0" borderId="7" xfId="5" applyFont="1" applyFill="1" applyBorder="1" applyAlignment="1">
      <alignment horizontal="right"/>
    </xf>
    <xf numFmtId="0" fontId="5" fillId="0" borderId="0" xfId="5" applyFont="1" applyFill="1" applyBorder="1" applyAlignment="1">
      <alignment horizontal="right"/>
    </xf>
    <xf numFmtId="0" fontId="5" fillId="0" borderId="7" xfId="5" applyFont="1" applyFill="1" applyBorder="1" applyAlignment="1">
      <alignment horizontal="right"/>
    </xf>
    <xf numFmtId="0" fontId="16" fillId="0" borderId="0" xfId="0" applyFont="1" applyFill="1" applyBorder="1"/>
    <xf numFmtId="0" fontId="8" fillId="0" borderId="5" xfId="5" applyFont="1" applyFill="1" applyBorder="1" applyAlignment="1"/>
    <xf numFmtId="0" fontId="10" fillId="0" borderId="0" xfId="5" applyFont="1" applyFill="1" applyBorder="1" applyAlignment="1"/>
    <xf numFmtId="0" fontId="8" fillId="0" borderId="5" xfId="5" applyFont="1" applyFill="1" applyBorder="1" applyAlignment="1">
      <alignment horizontal="left"/>
    </xf>
    <xf numFmtId="0" fontId="12" fillId="0" borderId="0" xfId="5" applyFont="1" applyFill="1" applyBorder="1" applyAlignment="1">
      <alignment horizontal="left"/>
    </xf>
    <xf numFmtId="0" fontId="10" fillId="0" borderId="0" xfId="5" applyFont="1" applyFill="1" applyBorder="1" applyAlignment="1">
      <alignment horizontal="left"/>
    </xf>
    <xf numFmtId="0" fontId="5" fillId="0" borderId="0" xfId="5" applyFont="1" applyFill="1" applyBorder="1" applyAlignment="1">
      <alignment horizontal="center"/>
    </xf>
    <xf numFmtId="170" fontId="5" fillId="0" borderId="0" xfId="6" applyNumberFormat="1" applyFont="1" applyFill="1" applyBorder="1" applyAlignment="1">
      <alignment horizontal="right"/>
    </xf>
    <xf numFmtId="170" fontId="5" fillId="0" borderId="7" xfId="6" applyNumberFormat="1" applyFont="1" applyFill="1" applyBorder="1" applyAlignment="1">
      <alignment horizontal="right"/>
    </xf>
    <xf numFmtId="169" fontId="5" fillId="0" borderId="0" xfId="5" applyNumberFormat="1" applyFont="1" applyFill="1" applyBorder="1" applyAlignment="1">
      <alignment horizontal="right"/>
    </xf>
    <xf numFmtId="169" fontId="5" fillId="0" borderId="7" xfId="5" applyNumberFormat="1" applyFont="1" applyFill="1" applyBorder="1" applyAlignment="1">
      <alignment horizontal="right"/>
    </xf>
    <xf numFmtId="0" fontId="10" fillId="0" borderId="5" xfId="5" applyFont="1" applyFill="1" applyBorder="1" applyAlignment="1">
      <alignment horizontal="center" wrapText="1"/>
    </xf>
    <xf numFmtId="0" fontId="10" fillId="0" borderId="0" xfId="5" applyFont="1" applyFill="1" applyBorder="1" applyAlignment="1">
      <alignment horizontal="center" wrapText="1"/>
    </xf>
    <xf numFmtId="9" fontId="5" fillId="0" borderId="0" xfId="6" applyFont="1" applyFill="1" applyBorder="1" applyAlignment="1">
      <alignment horizontal="right"/>
    </xf>
    <xf numFmtId="9" fontId="5" fillId="0" borderId="7" xfId="6" applyFont="1" applyFill="1" applyBorder="1" applyAlignment="1">
      <alignment horizontal="right"/>
    </xf>
    <xf numFmtId="166" fontId="5" fillId="0" borderId="7" xfId="5" applyNumberFormat="1" applyFont="1" applyFill="1" applyBorder="1" applyAlignment="1">
      <alignment horizontal="right"/>
    </xf>
    <xf numFmtId="0" fontId="10" fillId="0" borderId="5" xfId="5" applyFont="1" applyFill="1" applyBorder="1" applyAlignment="1">
      <alignment wrapText="1"/>
    </xf>
    <xf numFmtId="0" fontId="10" fillId="0" borderId="0" xfId="5" applyFont="1" applyFill="1" applyBorder="1" applyAlignment="1">
      <alignment wrapText="1"/>
    </xf>
    <xf numFmtId="166" fontId="5" fillId="0" borderId="7" xfId="5" applyNumberFormat="1" applyFont="1" applyFill="1" applyBorder="1" applyAlignment="1">
      <alignment horizontal="right" wrapText="1"/>
    </xf>
    <xf numFmtId="170" fontId="5" fillId="0" borderId="0" xfId="6" applyNumberFormat="1" applyFont="1" applyFill="1" applyBorder="1" applyAlignment="1">
      <alignment horizontal="right" wrapText="1"/>
    </xf>
    <xf numFmtId="170" fontId="5" fillId="0" borderId="7" xfId="6" applyNumberFormat="1" applyFont="1" applyFill="1" applyBorder="1" applyAlignment="1">
      <alignment horizontal="right" wrapText="1"/>
    </xf>
    <xf numFmtId="0" fontId="12" fillId="0" borderId="0" xfId="5" applyFont="1" applyFill="1" applyBorder="1" applyAlignment="1">
      <alignment horizontal="left" wrapText="1"/>
    </xf>
    <xf numFmtId="0" fontId="5" fillId="0" borderId="0" xfId="5" applyFont="1" applyFill="1" applyBorder="1" applyAlignment="1">
      <alignment horizontal="left" wrapText="1"/>
    </xf>
    <xf numFmtId="4" fontId="5" fillId="0" borderId="0" xfId="5" applyNumberFormat="1" applyFont="1" applyFill="1" applyBorder="1" applyAlignment="1">
      <alignment horizontal="right" wrapText="1"/>
    </xf>
    <xf numFmtId="166" fontId="5" fillId="0" borderId="0" xfId="6" applyNumberFormat="1" applyFont="1" applyFill="1" applyBorder="1" applyAlignment="1">
      <alignment horizontal="right" wrapText="1"/>
    </xf>
    <xf numFmtId="166" fontId="5" fillId="0" borderId="7" xfId="6" applyNumberFormat="1" applyFont="1" applyFill="1" applyBorder="1" applyAlignment="1">
      <alignment horizontal="right" wrapText="1"/>
    </xf>
    <xf numFmtId="9" fontId="5" fillId="0" borderId="0" xfId="6" applyFont="1" applyFill="1" applyBorder="1" applyAlignment="1">
      <alignment horizontal="right" wrapText="1"/>
    </xf>
    <xf numFmtId="0" fontId="19" fillId="0" borderId="0" xfId="5" applyFont="1" applyFill="1" applyBorder="1" applyAlignment="1">
      <alignment wrapText="1"/>
    </xf>
    <xf numFmtId="169" fontId="5" fillId="0" borderId="0" xfId="5" applyNumberFormat="1" applyFont="1" applyFill="1" applyBorder="1"/>
    <xf numFmtId="169" fontId="4" fillId="0" borderId="0" xfId="5" applyNumberFormat="1" applyFont="1" applyFill="1" applyBorder="1"/>
    <xf numFmtId="169" fontId="5" fillId="0" borderId="0" xfId="5" applyNumberFormat="1" applyFont="1" applyFill="1" applyBorder="1" applyAlignment="1">
      <alignment horizontal="right" wrapText="1"/>
    </xf>
    <xf numFmtId="169" fontId="5" fillId="0" borderId="7" xfId="5" applyNumberFormat="1" applyFont="1" applyFill="1" applyBorder="1" applyAlignment="1">
      <alignment horizontal="right" wrapText="1"/>
    </xf>
    <xf numFmtId="168" fontId="5" fillId="0" borderId="7" xfId="5" applyNumberFormat="1" applyFont="1" applyFill="1" applyBorder="1" applyAlignment="1">
      <alignment horizontal="right" wrapText="1"/>
    </xf>
    <xf numFmtId="0" fontId="10" fillId="0" borderId="0" xfId="0" applyFont="1" applyFill="1" applyBorder="1" applyAlignment="1">
      <alignment horizontal="left"/>
    </xf>
    <xf numFmtId="173" fontId="5" fillId="0" borderId="0" xfId="1" applyNumberFormat="1" applyFont="1" applyFill="1" applyBorder="1" applyAlignment="1">
      <alignment horizontal="right" wrapText="1"/>
    </xf>
    <xf numFmtId="0" fontId="10" fillId="0" borderId="0" xfId="0" applyFont="1" applyFill="1" applyBorder="1" applyAlignment="1">
      <alignment horizontal="left" indent="6"/>
    </xf>
    <xf numFmtId="0" fontId="10" fillId="0" borderId="0" xfId="5" applyFont="1" applyFill="1" applyBorder="1" applyAlignment="1">
      <alignment horizontal="left" wrapText="1"/>
    </xf>
    <xf numFmtId="2" fontId="5" fillId="0" borderId="0" xfId="5" applyNumberFormat="1" applyFont="1" applyFill="1" applyBorder="1" applyAlignment="1">
      <alignment horizontal="right" wrapText="1"/>
    </xf>
    <xf numFmtId="2" fontId="5" fillId="0" borderId="7" xfId="5" applyNumberFormat="1" applyFont="1" applyFill="1" applyBorder="1" applyAlignment="1">
      <alignment horizontal="right" wrapText="1"/>
    </xf>
    <xf numFmtId="173" fontId="5" fillId="0" borderId="7" xfId="1" applyNumberFormat="1" applyFont="1" applyFill="1" applyBorder="1" applyAlignment="1">
      <alignment horizontal="right" wrapText="1"/>
    </xf>
    <xf numFmtId="0" fontId="8" fillId="0" borderId="5" xfId="5" applyFont="1" applyFill="1" applyBorder="1" applyAlignment="1">
      <alignment horizontal="center" wrapText="1"/>
    </xf>
    <xf numFmtId="0" fontId="8" fillId="0" borderId="0" xfId="5" applyFont="1" applyFill="1" applyBorder="1" applyAlignment="1">
      <alignment horizontal="center" wrapText="1"/>
    </xf>
    <xf numFmtId="166" fontId="4" fillId="0" borderId="0" xfId="5" applyNumberFormat="1" applyFont="1" applyFill="1" applyBorder="1" applyAlignment="1">
      <alignment horizontal="right" wrapText="1"/>
    </xf>
    <xf numFmtId="168" fontId="4" fillId="0" borderId="0" xfId="5" applyNumberFormat="1" applyFont="1" applyFill="1" applyBorder="1" applyAlignment="1">
      <alignment horizontal="right" wrapText="1"/>
    </xf>
    <xf numFmtId="169" fontId="4" fillId="0" borderId="0" xfId="5" applyNumberFormat="1" applyFont="1" applyFill="1" applyBorder="1" applyAlignment="1">
      <alignment horizontal="right" wrapText="1"/>
    </xf>
    <xf numFmtId="169" fontId="4" fillId="0" borderId="7" xfId="5" applyNumberFormat="1" applyFont="1" applyFill="1" applyBorder="1" applyAlignment="1">
      <alignment horizontal="right" wrapText="1"/>
    </xf>
    <xf numFmtId="169" fontId="10" fillId="0" borderId="0" xfId="5" applyNumberFormat="1" applyFont="1" applyFill="1" applyBorder="1" applyAlignment="1">
      <alignment horizontal="center" wrapText="1"/>
    </xf>
    <xf numFmtId="0" fontId="8" fillId="0" borderId="0" xfId="0" applyFont="1" applyFill="1" applyBorder="1" applyAlignment="1">
      <alignment horizontal="left" wrapText="1"/>
    </xf>
    <xf numFmtId="3" fontId="4" fillId="0" borderId="0" xfId="0" applyNumberFormat="1" applyFont="1" applyFill="1" applyBorder="1"/>
    <xf numFmtId="0" fontId="15" fillId="0" borderId="0" xfId="0" applyFont="1" applyFill="1" applyBorder="1"/>
    <xf numFmtId="0" fontId="10" fillId="0" borderId="0" xfId="0" applyFont="1" applyFill="1" applyBorder="1" applyAlignment="1"/>
    <xf numFmtId="0" fontId="10" fillId="0" borderId="0" xfId="0" applyFont="1" applyFill="1" applyBorder="1" applyAlignment="1">
      <alignment wrapText="1"/>
    </xf>
    <xf numFmtId="1" fontId="5" fillId="0" borderId="0" xfId="0" applyNumberFormat="1" applyFont="1" applyFill="1" applyBorder="1"/>
    <xf numFmtId="1" fontId="5" fillId="0" borderId="7" xfId="0" applyNumberFormat="1" applyFont="1" applyFill="1" applyBorder="1"/>
    <xf numFmtId="0" fontId="10" fillId="0" borderId="5" xfId="0" applyFont="1" applyFill="1" applyBorder="1" applyAlignment="1">
      <alignment horizontal="left" indent="5"/>
    </xf>
    <xf numFmtId="2" fontId="5" fillId="0" borderId="0" xfId="0" applyNumberFormat="1" applyFont="1" applyFill="1" applyBorder="1" applyAlignment="1"/>
    <xf numFmtId="9" fontId="5" fillId="0" borderId="7" xfId="6" applyFont="1" applyFill="1" applyBorder="1"/>
    <xf numFmtId="170" fontId="5" fillId="0" borderId="0" xfId="6" applyNumberFormat="1" applyFont="1" applyFill="1" applyBorder="1" applyAlignment="1"/>
    <xf numFmtId="170" fontId="5" fillId="0" borderId="0" xfId="6" applyNumberFormat="1" applyFont="1" applyFill="1" applyBorder="1"/>
    <xf numFmtId="170" fontId="5" fillId="0" borderId="7" xfId="6" applyNumberFormat="1" applyFont="1" applyFill="1" applyBorder="1"/>
    <xf numFmtId="168" fontId="5" fillId="0" borderId="0" xfId="6" applyNumberFormat="1" applyFont="1" applyFill="1" applyBorder="1"/>
    <xf numFmtId="168" fontId="5" fillId="0" borderId="7" xfId="6" applyNumberFormat="1" applyFont="1" applyFill="1" applyBorder="1"/>
    <xf numFmtId="0" fontId="8" fillId="0" borderId="0" xfId="0" applyFont="1" applyFill="1" applyBorder="1" applyAlignment="1">
      <alignment wrapText="1"/>
    </xf>
    <xf numFmtId="1" fontId="5" fillId="0" borderId="0" xfId="0" applyNumberFormat="1" applyFont="1" applyFill="1" applyBorder="1" applyAlignment="1"/>
    <xf numFmtId="3" fontId="5" fillId="0" borderId="0" xfId="1" applyNumberFormat="1" applyFont="1" applyFill="1" applyBorder="1"/>
    <xf numFmtId="3" fontId="5" fillId="0" borderId="7" xfId="1" applyNumberFormat="1" applyFont="1" applyFill="1" applyBorder="1"/>
    <xf numFmtId="0" fontId="8" fillId="0" borderId="5" xfId="5" applyFont="1" applyFill="1" applyBorder="1" applyAlignment="1">
      <alignment wrapText="1"/>
    </xf>
    <xf numFmtId="0" fontId="8" fillId="0" borderId="0" xfId="5" applyFont="1" applyFill="1" applyBorder="1" applyAlignment="1">
      <alignment wrapText="1"/>
    </xf>
    <xf numFmtId="0" fontId="4" fillId="0" borderId="0" xfId="5" applyFont="1" applyFill="1" applyBorder="1" applyAlignment="1"/>
    <xf numFmtId="169" fontId="4" fillId="0" borderId="7" xfId="5" applyNumberFormat="1" applyFont="1" applyFill="1" applyBorder="1"/>
    <xf numFmtId="0" fontId="10" fillId="0" borderId="8" xfId="5" applyFont="1" applyFill="1" applyBorder="1" applyAlignment="1">
      <alignment wrapText="1"/>
    </xf>
    <xf numFmtId="0" fontId="5" fillId="0" borderId="61" xfId="0" applyFont="1" applyFill="1" applyBorder="1"/>
    <xf numFmtId="0" fontId="4" fillId="0" borderId="0" xfId="0" applyFont="1" applyFill="1" applyBorder="1" applyAlignment="1">
      <alignment horizontal="left" indent="1"/>
    </xf>
    <xf numFmtId="0" fontId="5" fillId="0" borderId="10" xfId="0" applyFont="1" applyFill="1" applyBorder="1"/>
    <xf numFmtId="0" fontId="16" fillId="14" borderId="12" xfId="0" applyFont="1" applyFill="1" applyBorder="1"/>
    <xf numFmtId="0" fontId="16" fillId="14" borderId="11" xfId="0" applyFont="1" applyFill="1" applyBorder="1"/>
    <xf numFmtId="0" fontId="5" fillId="14" borderId="11" xfId="0" applyFont="1" applyFill="1" applyBorder="1"/>
    <xf numFmtId="0" fontId="5" fillId="14" borderId="6" xfId="0" applyFont="1" applyFill="1" applyBorder="1"/>
    <xf numFmtId="0" fontId="5" fillId="14" borderId="0" xfId="0" applyFont="1" applyFill="1" applyBorder="1"/>
    <xf numFmtId="0" fontId="10" fillId="14" borderId="0" xfId="0" applyFont="1" applyFill="1" applyBorder="1"/>
    <xf numFmtId="168" fontId="5" fillId="14" borderId="0" xfId="5" applyNumberFormat="1" applyFont="1" applyFill="1" applyBorder="1" applyAlignment="1">
      <alignment horizontal="right" wrapText="1"/>
    </xf>
    <xf numFmtId="167" fontId="5" fillId="14" borderId="0" xfId="5" applyNumberFormat="1" applyFont="1" applyFill="1" applyBorder="1" applyAlignment="1">
      <alignment horizontal="right" wrapText="1"/>
    </xf>
    <xf numFmtId="0" fontId="5" fillId="14" borderId="7" xfId="0" applyFont="1" applyFill="1" applyBorder="1"/>
    <xf numFmtId="49" fontId="25" fillId="0" borderId="0" xfId="7" applyNumberFormat="1" applyFont="1" applyFill="1" applyBorder="1" applyAlignment="1">
      <alignment horizontal="left"/>
    </xf>
    <xf numFmtId="0" fontId="27" fillId="0" borderId="0" xfId="9" applyFont="1" applyFill="1" applyBorder="1"/>
    <xf numFmtId="0" fontId="31" fillId="0" borderId="0" xfId="9" applyFont="1" applyFill="1" applyBorder="1" applyAlignment="1">
      <alignment horizontal="right" vertical="top"/>
    </xf>
    <xf numFmtId="0" fontId="6" fillId="0" borderId="0" xfId="0" applyFont="1" applyFill="1" applyBorder="1"/>
    <xf numFmtId="0" fontId="16" fillId="13" borderId="0" xfId="0" applyFont="1" applyFill="1" applyBorder="1" applyAlignment="1">
      <alignment horizontal="center" wrapText="1"/>
    </xf>
    <xf numFmtId="0" fontId="5" fillId="0" borderId="0" xfId="5" applyFont="1" applyFill="1" applyBorder="1" applyAlignment="1"/>
    <xf numFmtId="0" fontId="5" fillId="0" borderId="0" xfId="0" applyFont="1" applyFill="1" applyBorder="1" applyAlignment="1">
      <alignment horizontal="right"/>
    </xf>
    <xf numFmtId="0" fontId="12" fillId="0" borderId="9" xfId="5" applyFont="1" applyFill="1" applyBorder="1" applyAlignment="1">
      <alignment horizontal="left" wrapText="1"/>
    </xf>
    <xf numFmtId="0" fontId="5" fillId="0" borderId="9" xfId="5" applyFont="1" applyFill="1" applyBorder="1" applyAlignment="1">
      <alignment horizontal="left" wrapText="1"/>
    </xf>
    <xf numFmtId="4" fontId="5" fillId="0" borderId="9" xfId="5" applyNumberFormat="1" applyFont="1" applyFill="1" applyBorder="1" applyAlignment="1">
      <alignment horizontal="right" wrapText="1"/>
    </xf>
    <xf numFmtId="166" fontId="5" fillId="0" borderId="9" xfId="6" applyNumberFormat="1" applyFont="1" applyFill="1" applyBorder="1" applyAlignment="1">
      <alignment horizontal="right" wrapText="1"/>
    </xf>
    <xf numFmtId="166" fontId="5" fillId="0" borderId="10" xfId="6" applyNumberFormat="1" applyFont="1" applyFill="1" applyBorder="1" applyAlignment="1">
      <alignment horizontal="right" wrapText="1"/>
    </xf>
    <xf numFmtId="0" fontId="5" fillId="15" borderId="0" xfId="0" applyFont="1" applyFill="1" applyBorder="1"/>
    <xf numFmtId="0" fontId="10" fillId="15" borderId="0" xfId="5" applyFont="1" applyFill="1" applyBorder="1" applyAlignment="1">
      <alignment horizontal="left"/>
    </xf>
    <xf numFmtId="166" fontId="5" fillId="15" borderId="0" xfId="5" applyNumberFormat="1" applyFont="1" applyFill="1" applyBorder="1" applyAlignment="1">
      <alignment horizontal="right" wrapText="1"/>
    </xf>
    <xf numFmtId="168" fontId="5" fillId="15" borderId="0" xfId="5" applyNumberFormat="1" applyFont="1" applyFill="1" applyBorder="1" applyAlignment="1">
      <alignment horizontal="right" wrapText="1"/>
    </xf>
    <xf numFmtId="0" fontId="5" fillId="11" borderId="0" xfId="0" applyFont="1" applyFill="1" applyBorder="1"/>
    <xf numFmtId="166" fontId="5" fillId="11" borderId="0" xfId="5" applyNumberFormat="1" applyFont="1" applyFill="1" applyBorder="1" applyAlignment="1">
      <alignment horizontal="right" wrapText="1"/>
    </xf>
    <xf numFmtId="168" fontId="5" fillId="11" borderId="0" xfId="5" applyNumberFormat="1" applyFont="1" applyFill="1" applyBorder="1" applyAlignment="1">
      <alignment horizontal="right" wrapText="1"/>
    </xf>
    <xf numFmtId="0" fontId="12" fillId="0" borderId="0" xfId="5" applyFont="1" applyFill="1" applyBorder="1" applyAlignment="1"/>
    <xf numFmtId="0" fontId="4" fillId="0" borderId="0" xfId="5" applyFont="1" applyFill="1" applyBorder="1" applyAlignment="1">
      <alignment horizontal="left" wrapText="1"/>
    </xf>
    <xf numFmtId="0" fontId="10" fillId="15" borderId="12" xfId="5" applyFont="1" applyFill="1" applyBorder="1" applyAlignment="1">
      <alignment wrapText="1"/>
    </xf>
    <xf numFmtId="0" fontId="12" fillId="15" borderId="11" xfId="5" applyFont="1" applyFill="1" applyBorder="1" applyAlignment="1">
      <alignment horizontal="left" wrapText="1"/>
    </xf>
    <xf numFmtId="0" fontId="5" fillId="15" borderId="11" xfId="5" applyFont="1" applyFill="1" applyBorder="1" applyAlignment="1">
      <alignment horizontal="left" wrapText="1"/>
    </xf>
    <xf numFmtId="4" fontId="5" fillId="15" borderId="11" xfId="5" applyNumberFormat="1" applyFont="1" applyFill="1" applyBorder="1" applyAlignment="1">
      <alignment horizontal="right" wrapText="1"/>
    </xf>
    <xf numFmtId="166" fontId="5" fillId="15" borderId="11" xfId="6" applyNumberFormat="1" applyFont="1" applyFill="1" applyBorder="1" applyAlignment="1">
      <alignment horizontal="right" wrapText="1"/>
    </xf>
    <xf numFmtId="166" fontId="5" fillId="15" borderId="6" xfId="6" applyNumberFormat="1" applyFont="1" applyFill="1" applyBorder="1" applyAlignment="1">
      <alignment horizontal="right" wrapText="1"/>
    </xf>
    <xf numFmtId="0" fontId="16" fillId="15" borderId="5" xfId="0" applyFont="1" applyFill="1" applyBorder="1"/>
    <xf numFmtId="166" fontId="5" fillId="15" borderId="7" xfId="5" applyNumberFormat="1" applyFont="1" applyFill="1" applyBorder="1" applyAlignment="1">
      <alignment horizontal="right" wrapText="1"/>
    </xf>
    <xf numFmtId="0" fontId="4" fillId="0" borderId="5" xfId="0" applyFont="1" applyFill="1" applyBorder="1"/>
    <xf numFmtId="0" fontId="10" fillId="0" borderId="8" xfId="5" applyFont="1" applyFill="1" applyBorder="1" applyAlignment="1">
      <alignment horizontal="center" wrapText="1"/>
    </xf>
    <xf numFmtId="169" fontId="10" fillId="0" borderId="9" xfId="5" applyNumberFormat="1" applyFont="1" applyFill="1" applyBorder="1" applyAlignment="1">
      <alignment horizontal="center" wrapText="1"/>
    </xf>
    <xf numFmtId="0" fontId="10" fillId="0" borderId="9" xfId="0" applyFont="1" applyFill="1" applyBorder="1" applyAlignment="1">
      <alignment horizontal="left" indent="6"/>
    </xf>
    <xf numFmtId="166" fontId="5" fillId="0" borderId="9" xfId="5" applyNumberFormat="1" applyFont="1" applyFill="1" applyBorder="1" applyAlignment="1">
      <alignment horizontal="right" wrapText="1"/>
    </xf>
    <xf numFmtId="168" fontId="5" fillId="0" borderId="9" xfId="5" applyNumberFormat="1" applyFont="1" applyFill="1" applyBorder="1" applyAlignment="1">
      <alignment horizontal="right" wrapText="1"/>
    </xf>
    <xf numFmtId="169" fontId="5" fillId="0" borderId="9" xfId="5" applyNumberFormat="1" applyFont="1" applyFill="1" applyBorder="1" applyAlignment="1">
      <alignment horizontal="right" wrapText="1"/>
    </xf>
    <xf numFmtId="169" fontId="5" fillId="0" borderId="10" xfId="5" applyNumberFormat="1" applyFont="1" applyFill="1" applyBorder="1" applyAlignment="1">
      <alignment horizontal="right" wrapText="1"/>
    </xf>
    <xf numFmtId="0" fontId="10" fillId="11" borderId="0" xfId="5" applyFont="1" applyFill="1" applyBorder="1" applyAlignment="1">
      <alignment horizontal="left" wrapText="1"/>
    </xf>
    <xf numFmtId="0" fontId="10" fillId="11" borderId="12" xfId="5" applyFont="1" applyFill="1" applyBorder="1" applyAlignment="1">
      <alignment horizontal="center" wrapText="1"/>
    </xf>
    <xf numFmtId="0" fontId="10" fillId="11" borderId="11" xfId="5" applyFont="1" applyFill="1" applyBorder="1" applyAlignment="1">
      <alignment horizontal="center" wrapText="1"/>
    </xf>
    <xf numFmtId="0" fontId="10" fillId="11" borderId="11" xfId="5" applyFont="1" applyFill="1" applyBorder="1" applyAlignment="1">
      <alignment horizontal="left" wrapText="1"/>
    </xf>
    <xf numFmtId="166" fontId="5" fillId="11" borderId="11" xfId="5" applyNumberFormat="1" applyFont="1" applyFill="1" applyBorder="1" applyAlignment="1">
      <alignment horizontal="right" wrapText="1"/>
    </xf>
    <xf numFmtId="168" fontId="5" fillId="11" borderId="11" xfId="5" applyNumberFormat="1" applyFont="1" applyFill="1" applyBorder="1" applyAlignment="1">
      <alignment horizontal="right" wrapText="1"/>
    </xf>
    <xf numFmtId="166" fontId="5" fillId="11" borderId="6" xfId="5" applyNumberFormat="1" applyFont="1" applyFill="1" applyBorder="1" applyAlignment="1">
      <alignment horizontal="right" wrapText="1"/>
    </xf>
    <xf numFmtId="0" fontId="16" fillId="11" borderId="5" xfId="0" applyFont="1" applyFill="1" applyBorder="1"/>
    <xf numFmtId="166" fontId="5" fillId="11" borderId="7" xfId="5" applyNumberFormat="1" applyFont="1" applyFill="1" applyBorder="1" applyAlignment="1">
      <alignment horizontal="right" wrapText="1"/>
    </xf>
    <xf numFmtId="169" fontId="5" fillId="0" borderId="7" xfId="5" applyNumberFormat="1" applyFont="1" applyFill="1" applyBorder="1"/>
    <xf numFmtId="0" fontId="5" fillId="0" borderId="8" xfId="0" applyFont="1" applyFill="1" applyBorder="1"/>
    <xf numFmtId="0" fontId="5" fillId="0" borderId="9" xfId="0" applyFont="1" applyFill="1" applyBorder="1"/>
    <xf numFmtId="0" fontId="16" fillId="13" borderId="12" xfId="0" applyFont="1" applyFill="1" applyBorder="1" applyAlignment="1"/>
    <xf numFmtId="0" fontId="16" fillId="13" borderId="11" xfId="0" applyFont="1" applyFill="1" applyBorder="1" applyAlignment="1"/>
    <xf numFmtId="0" fontId="16" fillId="0" borderId="7" xfId="0" applyFont="1" applyFill="1" applyBorder="1" applyAlignment="1">
      <alignment horizontal="left"/>
    </xf>
    <xf numFmtId="0" fontId="5" fillId="0" borderId="5" xfId="0" applyFont="1" applyFill="1" applyBorder="1"/>
    <xf numFmtId="0" fontId="4" fillId="0" borderId="7" xfId="0" applyFont="1" applyFill="1" applyBorder="1" applyAlignment="1">
      <alignment horizontal="center"/>
    </xf>
    <xf numFmtId="0" fontId="4" fillId="0" borderId="10" xfId="0" applyFont="1" applyFill="1" applyBorder="1" applyAlignment="1">
      <alignment horizontal="center"/>
    </xf>
    <xf numFmtId="170" fontId="51" fillId="0" borderId="0" xfId="0" applyNumberFormat="1" applyFont="1" applyFill="1" applyBorder="1" applyAlignment="1">
      <alignment horizontal="right"/>
    </xf>
    <xf numFmtId="170" fontId="17" fillId="0" borderId="0" xfId="0" applyNumberFormat="1" applyFont="1" applyFill="1" applyBorder="1" applyAlignment="1">
      <alignment horizontal="right"/>
    </xf>
    <xf numFmtId="166" fontId="4" fillId="0" borderId="0" xfId="0" applyNumberFormat="1" applyFont="1" applyFill="1" applyBorder="1" applyAlignment="1">
      <alignment horizontal="right"/>
    </xf>
    <xf numFmtId="166" fontId="4" fillId="0" borderId="9" xfId="0" applyNumberFormat="1" applyFont="1" applyFill="1" applyBorder="1" applyAlignment="1">
      <alignment horizontal="right"/>
    </xf>
    <xf numFmtId="0" fontId="12" fillId="0" borderId="0" xfId="0" applyFont="1" applyFill="1" applyBorder="1" applyAlignment="1"/>
    <xf numFmtId="0" fontId="5" fillId="0" borderId="21" xfId="0" applyFont="1" applyFill="1" applyBorder="1"/>
    <xf numFmtId="174" fontId="5" fillId="0" borderId="4" xfId="1" applyNumberFormat="1" applyFont="1" applyFill="1" applyBorder="1" applyAlignment="1">
      <alignment vertical="center"/>
    </xf>
    <xf numFmtId="0" fontId="3" fillId="3" borderId="0" xfId="0" applyFont="1" applyFill="1"/>
    <xf numFmtId="0" fontId="16" fillId="8" borderId="0" xfId="0" applyFont="1" applyFill="1" applyBorder="1"/>
    <xf numFmtId="0" fontId="7" fillId="8" borderId="0" xfId="0" applyFont="1" applyFill="1" applyBorder="1" applyAlignment="1">
      <alignment horizontal="center" vertical="center"/>
    </xf>
    <xf numFmtId="0" fontId="3" fillId="3" borderId="0" xfId="0" applyFont="1" applyFill="1" applyAlignment="1">
      <alignment vertical="top"/>
    </xf>
    <xf numFmtId="0" fontId="24" fillId="6" borderId="88" xfId="0" applyFont="1" applyFill="1" applyBorder="1" applyAlignment="1">
      <alignment vertical="center"/>
    </xf>
    <xf numFmtId="0" fontId="24" fillId="6" borderId="88" xfId="0" applyFont="1" applyFill="1" applyBorder="1" applyAlignment="1">
      <alignment vertical="center" wrapText="1"/>
    </xf>
    <xf numFmtId="3" fontId="20" fillId="7" borderId="26" xfId="0" applyNumberFormat="1" applyFont="1" applyFill="1" applyBorder="1" applyAlignment="1">
      <alignment vertical="center"/>
    </xf>
    <xf numFmtId="0" fontId="20" fillId="7" borderId="27" xfId="0" applyFont="1" applyFill="1" applyBorder="1" applyAlignment="1">
      <alignment vertical="center"/>
    </xf>
    <xf numFmtId="0" fontId="20" fillId="7" borderId="0" xfId="0" applyFont="1" applyFill="1" applyAlignment="1">
      <alignment vertical="center"/>
    </xf>
    <xf numFmtId="175" fontId="54" fillId="7" borderId="26" xfId="1" applyNumberFormat="1" applyFont="1" applyFill="1" applyBorder="1" applyAlignment="1">
      <alignment vertical="center"/>
    </xf>
    <xf numFmtId="0" fontId="54" fillId="7" borderId="26" xfId="0" applyFont="1" applyFill="1" applyBorder="1" applyAlignment="1">
      <alignment horizontal="left" vertical="center" wrapText="1"/>
    </xf>
    <xf numFmtId="0" fontId="10" fillId="0" borderId="1"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3" xfId="0" applyFont="1" applyFill="1" applyBorder="1"/>
    <xf numFmtId="9" fontId="5" fillId="0" borderId="0" xfId="14" applyNumberFormat="1" applyFont="1" applyFill="1" applyBorder="1"/>
    <xf numFmtId="176" fontId="5" fillId="0" borderId="0" xfId="2" applyNumberFormat="1" applyFont="1" applyFill="1" applyBorder="1"/>
    <xf numFmtId="168" fontId="4" fillId="0" borderId="4" xfId="0" applyNumberFormat="1" applyFont="1" applyFill="1" applyBorder="1"/>
    <xf numFmtId="0" fontId="7" fillId="0" borderId="0" xfId="0" applyFont="1" applyFill="1" applyBorder="1" applyAlignment="1">
      <alignment horizontal="center" vertical="center"/>
    </xf>
    <xf numFmtId="0" fontId="5" fillId="8" borderId="0" xfId="7" applyFont="1" applyFill="1"/>
    <xf numFmtId="49" fontId="3" fillId="8" borderId="0" xfId="7" applyNumberFormat="1" applyFont="1" applyFill="1" applyAlignment="1">
      <alignment horizontal="left"/>
    </xf>
    <xf numFmtId="0" fontId="3" fillId="8" borderId="0" xfId="9" applyFont="1" applyFill="1" applyAlignment="1">
      <alignment horizontal="right" vertical="top"/>
    </xf>
    <xf numFmtId="0" fontId="5" fillId="8" borderId="0" xfId="9" applyFont="1" applyFill="1" applyAlignment="1">
      <alignment horizontal="right" vertical="top"/>
    </xf>
    <xf numFmtId="9" fontId="5" fillId="0" borderId="0" xfId="14" applyFont="1" applyFill="1" applyBorder="1"/>
    <xf numFmtId="3" fontId="5" fillId="0" borderId="0" xfId="0" applyNumberFormat="1" applyFont="1" applyFill="1" applyBorder="1"/>
    <xf numFmtId="166" fontId="5" fillId="0" borderId="0" xfId="0" applyNumberFormat="1" applyFont="1" applyFill="1" applyBorder="1"/>
    <xf numFmtId="168" fontId="5" fillId="0" borderId="0" xfId="0" applyNumberFormat="1" applyFont="1" applyFill="1" applyBorder="1"/>
    <xf numFmtId="170" fontId="5" fillId="0" borderId="0" xfId="14" applyNumberFormat="1" applyFont="1" applyFill="1" applyBorder="1"/>
    <xf numFmtId="170" fontId="5" fillId="0" borderId="61" xfId="14" applyNumberFormat="1" applyFont="1" applyFill="1" applyBorder="1"/>
    <xf numFmtId="0" fontId="5" fillId="0" borderId="18" xfId="0" applyFont="1" applyFill="1" applyBorder="1"/>
    <xf numFmtId="171" fontId="5" fillId="0" borderId="0" xfId="0" applyNumberFormat="1" applyFont="1" applyFill="1" applyBorder="1"/>
    <xf numFmtId="168" fontId="5" fillId="0" borderId="15" xfId="0" applyNumberFormat="1" applyFont="1" applyFill="1" applyBorder="1"/>
    <xf numFmtId="0" fontId="5" fillId="0" borderId="60" xfId="0" applyFont="1" applyFill="1" applyBorder="1"/>
    <xf numFmtId="9" fontId="5" fillId="0" borderId="61" xfId="0" applyNumberFormat="1" applyFont="1" applyFill="1" applyBorder="1"/>
    <xf numFmtId="170" fontId="5" fillId="3" borderId="0" xfId="6" applyNumberFormat="1" applyFont="1" applyFill="1"/>
    <xf numFmtId="2" fontId="5" fillId="3" borderId="0" xfId="0" applyNumberFormat="1" applyFont="1" applyFill="1"/>
    <xf numFmtId="9" fontId="5" fillId="0" borderId="15" xfId="14" applyFont="1" applyBorder="1" applyAlignment="1">
      <alignment horizontal="center" vertical="center"/>
    </xf>
    <xf numFmtId="9" fontId="5" fillId="0" borderId="63" xfId="14" applyFont="1" applyBorder="1" applyAlignment="1">
      <alignment horizontal="center" vertical="center"/>
    </xf>
    <xf numFmtId="0" fontId="5" fillId="0" borderId="0" xfId="9" applyFill="1"/>
    <xf numFmtId="0" fontId="5" fillId="0" borderId="0" xfId="7" applyFill="1"/>
    <xf numFmtId="49" fontId="25" fillId="0" borderId="0" xfId="7" applyNumberFormat="1" applyFont="1" applyFill="1" applyAlignment="1">
      <alignment horizontal="left"/>
    </xf>
    <xf numFmtId="0" fontId="0" fillId="0" borderId="0" xfId="0" applyFill="1"/>
    <xf numFmtId="0" fontId="27" fillId="0" borderId="0" xfId="9" applyFont="1" applyFill="1"/>
    <xf numFmtId="0" fontId="31" fillId="0" borderId="0" xfId="9" applyFont="1" applyFill="1" applyAlignment="1">
      <alignment horizontal="right" vertical="top"/>
    </xf>
    <xf numFmtId="0" fontId="6" fillId="0" borderId="0" xfId="0" applyFont="1" applyFill="1"/>
    <xf numFmtId="0" fontId="10" fillId="0" borderId="0" xfId="0" applyFont="1" applyFill="1" applyAlignment="1">
      <alignment horizontal="left"/>
    </xf>
    <xf numFmtId="168" fontId="0" fillId="0" borderId="0" xfId="0" applyNumberFormat="1" applyFill="1"/>
    <xf numFmtId="168" fontId="11" fillId="0" borderId="0" xfId="0" applyNumberFormat="1" applyFont="1" applyFill="1"/>
    <xf numFmtId="9" fontId="11" fillId="0" borderId="0" xfId="6" applyFont="1" applyFill="1"/>
    <xf numFmtId="9" fontId="0" fillId="0" borderId="0" xfId="0" applyNumberFormat="1" applyFill="1"/>
    <xf numFmtId="0" fontId="10" fillId="0" borderId="19" xfId="0" applyFont="1" applyFill="1" applyBorder="1" applyAlignment="1">
      <alignment horizontal="left"/>
    </xf>
    <xf numFmtId="168" fontId="5" fillId="0" borderId="20" xfId="0" applyNumberFormat="1" applyFont="1" applyFill="1" applyBorder="1" applyAlignment="1">
      <alignment horizontal="center"/>
    </xf>
    <xf numFmtId="0" fontId="5" fillId="0" borderId="73" xfId="0" applyFont="1" applyFill="1" applyBorder="1"/>
    <xf numFmtId="9" fontId="5" fillId="0" borderId="73" xfId="6" applyFont="1" applyFill="1" applyBorder="1" applyAlignment="1">
      <alignment horizontal="center"/>
    </xf>
    <xf numFmtId="0" fontId="5" fillId="0" borderId="73" xfId="0" applyFont="1" applyFill="1" applyBorder="1" applyAlignment="1">
      <alignment horizontal="center"/>
    </xf>
    <xf numFmtId="9" fontId="5" fillId="0" borderId="73" xfId="14" applyFont="1" applyFill="1" applyBorder="1"/>
    <xf numFmtId="166" fontId="5" fillId="0" borderId="73" xfId="0" applyNumberFormat="1" applyFont="1" applyFill="1" applyBorder="1" applyAlignment="1">
      <alignment horizontal="center"/>
    </xf>
    <xf numFmtId="0" fontId="5" fillId="0" borderId="82" xfId="0" applyFont="1" applyFill="1" applyBorder="1" applyAlignment="1">
      <alignment horizontal="center"/>
    </xf>
    <xf numFmtId="0" fontId="5" fillId="0" borderId="22" xfId="0" applyFont="1" applyFill="1" applyBorder="1" applyAlignment="1">
      <alignment horizontal="center"/>
    </xf>
    <xf numFmtId="0" fontId="5" fillId="0" borderId="86" xfId="0" applyFont="1" applyFill="1" applyBorder="1"/>
    <xf numFmtId="0" fontId="5" fillId="0" borderId="89" xfId="0" applyFont="1" applyFill="1" applyBorder="1"/>
    <xf numFmtId="0" fontId="10" fillId="0" borderId="90" xfId="0" applyFont="1" applyFill="1" applyBorder="1" applyAlignment="1"/>
    <xf numFmtId="0" fontId="5" fillId="0" borderId="91" xfId="0" applyFont="1" applyFill="1" applyBorder="1" applyAlignment="1">
      <alignment horizontal="center"/>
    </xf>
    <xf numFmtId="0" fontId="5" fillId="0" borderId="90" xfId="0" applyFont="1" applyFill="1" applyBorder="1"/>
    <xf numFmtId="0" fontId="5" fillId="0" borderId="91" xfId="0" applyFont="1" applyFill="1" applyBorder="1"/>
    <xf numFmtId="2" fontId="5" fillId="0" borderId="22" xfId="1" applyNumberFormat="1" applyFont="1" applyFill="1" applyBorder="1" applyAlignment="1">
      <alignment horizontal="center"/>
    </xf>
    <xf numFmtId="9" fontId="5" fillId="0" borderId="22" xfId="14" applyFont="1" applyFill="1" applyBorder="1"/>
    <xf numFmtId="166" fontId="5" fillId="0" borderId="22" xfId="0" applyNumberFormat="1" applyFont="1" applyFill="1" applyBorder="1" applyAlignment="1">
      <alignment horizontal="center"/>
    </xf>
    <xf numFmtId="0" fontId="5" fillId="0" borderId="23" xfId="0" applyFont="1" applyFill="1" applyBorder="1"/>
    <xf numFmtId="170" fontId="29" fillId="0" borderId="73" xfId="10" applyNumberFormat="1" applyFont="1" applyBorder="1" applyAlignment="1">
      <alignment horizontal="center"/>
    </xf>
    <xf numFmtId="170" fontId="4" fillId="0" borderId="73" xfId="10" applyNumberFormat="1" applyFont="1" applyBorder="1" applyAlignment="1">
      <alignment horizontal="center"/>
    </xf>
    <xf numFmtId="0" fontId="5" fillId="0" borderId="0" xfId="0" applyFont="1" applyFill="1"/>
    <xf numFmtId="0" fontId="16" fillId="0" borderId="0" xfId="0" applyFont="1" applyFill="1"/>
    <xf numFmtId="0" fontId="3" fillId="0" borderId="0" xfId="0" applyFont="1" applyFill="1" applyAlignment="1">
      <alignment vertical="center"/>
    </xf>
    <xf numFmtId="0" fontId="26" fillId="0" borderId="0" xfId="7" applyFont="1" applyFill="1" applyBorder="1" applyAlignment="1">
      <alignment vertical="center"/>
    </xf>
    <xf numFmtId="0" fontId="5" fillId="0" borderId="0" xfId="9" applyFont="1" applyFill="1" applyAlignment="1">
      <alignment vertical="center"/>
    </xf>
    <xf numFmtId="0" fontId="5" fillId="0" borderId="0" xfId="7" applyFont="1" applyFill="1" applyAlignment="1">
      <alignment vertical="center"/>
    </xf>
    <xf numFmtId="3" fontId="4" fillId="0" borderId="0" xfId="0" applyNumberFormat="1" applyFont="1" applyFill="1" applyAlignment="1">
      <alignment vertical="center"/>
    </xf>
    <xf numFmtId="0" fontId="27" fillId="0" borderId="0" xfId="9" applyFont="1" applyFill="1" applyAlignment="1">
      <alignment vertical="center"/>
    </xf>
    <xf numFmtId="0" fontId="5" fillId="0" borderId="0" xfId="10" applyFont="1" applyFill="1" applyAlignment="1">
      <alignment vertical="center"/>
    </xf>
    <xf numFmtId="0" fontId="13" fillId="0" borderId="0" xfId="0" applyFont="1" applyFill="1" applyAlignment="1">
      <alignment vertical="center"/>
    </xf>
    <xf numFmtId="0" fontId="5" fillId="0" borderId="0" xfId="0" applyFont="1" applyFill="1" applyAlignment="1">
      <alignment vertical="center"/>
    </xf>
    <xf numFmtId="3" fontId="5" fillId="0" borderId="0" xfId="0" applyNumberFormat="1" applyFont="1" applyFill="1" applyAlignment="1">
      <alignment vertical="center"/>
    </xf>
    <xf numFmtId="0" fontId="4" fillId="0" borderId="72" xfId="0" applyFont="1" applyFill="1" applyBorder="1" applyAlignment="1">
      <alignment vertical="center"/>
    </xf>
    <xf numFmtId="0" fontId="5" fillId="0" borderId="70" xfId="0" applyFont="1" applyFill="1" applyBorder="1" applyAlignment="1">
      <alignment vertical="center"/>
    </xf>
    <xf numFmtId="10" fontId="5" fillId="0" borderId="4" xfId="0" applyNumberFormat="1" applyFont="1" applyFill="1" applyBorder="1" applyAlignment="1">
      <alignment vertical="center" wrapText="1"/>
    </xf>
    <xf numFmtId="0" fontId="4" fillId="0" borderId="73" xfId="0" applyFont="1" applyFill="1" applyBorder="1" applyAlignment="1">
      <alignment horizontal="center" vertical="center"/>
    </xf>
    <xf numFmtId="0" fontId="4" fillId="0" borderId="72" xfId="0" applyFont="1" applyFill="1" applyBorder="1" applyAlignment="1">
      <alignment horizontal="center" vertical="center"/>
    </xf>
    <xf numFmtId="3" fontId="4" fillId="0" borderId="16" xfId="0" applyNumberFormat="1" applyFont="1" applyFill="1" applyBorder="1" applyAlignment="1">
      <alignment vertical="center"/>
    </xf>
    <xf numFmtId="0" fontId="4" fillId="0" borderId="73" xfId="0" applyFont="1" applyFill="1" applyBorder="1" applyAlignment="1">
      <alignment horizontal="right" vertical="center"/>
    </xf>
    <xf numFmtId="175" fontId="5" fillId="0" borderId="39" xfId="1" applyNumberFormat="1" applyFont="1" applyFill="1" applyBorder="1" applyAlignment="1">
      <alignment vertical="center"/>
    </xf>
    <xf numFmtId="175" fontId="5" fillId="0" borderId="0" xfId="0" applyNumberFormat="1" applyFont="1" applyFill="1" applyAlignment="1">
      <alignment vertical="center"/>
    </xf>
    <xf numFmtId="1" fontId="10" fillId="0" borderId="4" xfId="0" applyNumberFormat="1" applyFont="1" applyFill="1" applyBorder="1" applyAlignment="1">
      <alignment horizontal="left" vertical="center"/>
    </xf>
    <xf numFmtId="182" fontId="5" fillId="0" borderId="73" xfId="2" applyNumberFormat="1" applyFont="1" applyFill="1" applyBorder="1" applyAlignment="1">
      <alignment vertical="center"/>
    </xf>
    <xf numFmtId="0" fontId="8" fillId="0" borderId="4" xfId="0" applyFont="1" applyFill="1" applyBorder="1" applyAlignment="1">
      <alignment vertical="center"/>
    </xf>
    <xf numFmtId="0" fontId="5" fillId="0" borderId="4" xfId="0" applyFont="1" applyFill="1" applyBorder="1" applyAlignment="1">
      <alignment vertical="center"/>
    </xf>
    <xf numFmtId="0" fontId="10" fillId="0" borderId="4" xfId="0" applyFont="1" applyFill="1" applyBorder="1" applyAlignment="1">
      <alignment vertical="center"/>
    </xf>
    <xf numFmtId="9" fontId="5" fillId="0" borderId="4" xfId="6" applyFont="1" applyFill="1" applyBorder="1" applyAlignment="1">
      <alignment vertical="center"/>
    </xf>
    <xf numFmtId="175" fontId="5" fillId="0" borderId="3" xfId="1" applyNumberFormat="1" applyFont="1" applyFill="1" applyBorder="1" applyAlignment="1">
      <alignment vertical="center"/>
    </xf>
    <xf numFmtId="175" fontId="5" fillId="0" borderId="15" xfId="1" applyNumberFormat="1" applyFont="1" applyFill="1" applyBorder="1" applyAlignment="1">
      <alignment vertical="center"/>
    </xf>
    <xf numFmtId="37" fontId="5" fillId="0" borderId="0" xfId="0" applyNumberFormat="1" applyFont="1" applyFill="1" applyAlignment="1">
      <alignment vertical="center"/>
    </xf>
    <xf numFmtId="0" fontId="10" fillId="0" borderId="4" xfId="0" applyFont="1" applyFill="1" applyBorder="1" applyAlignment="1">
      <alignment vertical="center" wrapText="1"/>
    </xf>
    <xf numFmtId="175" fontId="5" fillId="0" borderId="60" xfId="1" applyNumberFormat="1" applyFont="1" applyFill="1" applyBorder="1" applyAlignment="1">
      <alignment vertical="center"/>
    </xf>
    <xf numFmtId="175" fontId="5" fillId="0" borderId="63" xfId="1" applyNumberFormat="1" applyFont="1" applyFill="1" applyBorder="1" applyAlignment="1">
      <alignment vertical="center"/>
    </xf>
    <xf numFmtId="175" fontId="4" fillId="0" borderId="72" xfId="0" applyNumberFormat="1" applyFont="1" applyFill="1" applyBorder="1" applyAlignment="1">
      <alignment vertical="center"/>
    </xf>
    <xf numFmtId="175" fontId="4" fillId="0" borderId="71" xfId="0" applyNumberFormat="1" applyFont="1" applyFill="1" applyBorder="1" applyAlignment="1">
      <alignment vertical="center"/>
    </xf>
    <xf numFmtId="175" fontId="4" fillId="0" borderId="73" xfId="0" applyNumberFormat="1" applyFont="1" applyFill="1" applyBorder="1" applyAlignment="1">
      <alignment vertical="center"/>
    </xf>
    <xf numFmtId="0" fontId="10" fillId="0" borderId="4" xfId="0" applyFont="1" applyFill="1" applyBorder="1" applyAlignment="1">
      <alignment horizontal="left" vertical="center"/>
    </xf>
    <xf numFmtId="9" fontId="5" fillId="0" borderId="73" xfId="6" applyFont="1" applyFill="1" applyBorder="1" applyAlignment="1">
      <alignment vertical="center"/>
    </xf>
    <xf numFmtId="3" fontId="5" fillId="0" borderId="71" xfId="0" applyNumberFormat="1" applyFont="1" applyFill="1" applyBorder="1" applyAlignment="1">
      <alignment vertical="center"/>
    </xf>
    <xf numFmtId="0" fontId="5" fillId="0" borderId="71" xfId="0" applyFont="1" applyFill="1" applyBorder="1" applyAlignment="1">
      <alignment vertical="center"/>
    </xf>
    <xf numFmtId="168" fontId="5" fillId="0" borderId="4" xfId="0" applyNumberFormat="1" applyFont="1" applyFill="1" applyBorder="1" applyAlignment="1">
      <alignment vertical="center"/>
    </xf>
    <xf numFmtId="1" fontId="4" fillId="0" borderId="0" xfId="0" applyNumberFormat="1" applyFont="1" applyFill="1" applyBorder="1" applyAlignment="1">
      <alignment vertical="center"/>
    </xf>
    <xf numFmtId="0" fontId="4" fillId="0" borderId="15" xfId="0" applyFont="1" applyFill="1" applyBorder="1" applyAlignment="1">
      <alignment horizontal="right" vertical="center"/>
    </xf>
    <xf numFmtId="175" fontId="5" fillId="0" borderId="0" xfId="1" applyNumberFormat="1" applyFont="1" applyFill="1" applyBorder="1" applyAlignment="1">
      <alignment vertical="center"/>
    </xf>
    <xf numFmtId="9" fontId="5" fillId="0" borderId="15" xfId="6" applyFont="1" applyFill="1" applyBorder="1" applyAlignment="1">
      <alignment vertical="center"/>
    </xf>
    <xf numFmtId="1" fontId="5" fillId="0" borderId="0" xfId="0" applyNumberFormat="1" applyFont="1" applyFill="1" applyBorder="1" applyAlignment="1">
      <alignment vertical="center"/>
    </xf>
    <xf numFmtId="9" fontId="5" fillId="0" borderId="0" xfId="6" applyFont="1" applyFill="1" applyAlignment="1">
      <alignment vertical="center"/>
    </xf>
    <xf numFmtId="175" fontId="5" fillId="0" borderId="3" xfId="0" applyNumberFormat="1" applyFont="1" applyFill="1" applyBorder="1" applyAlignment="1">
      <alignment vertical="center"/>
    </xf>
    <xf numFmtId="175" fontId="5" fillId="0" borderId="0" xfId="0" applyNumberFormat="1" applyFont="1" applyFill="1" applyBorder="1" applyAlignment="1">
      <alignment vertical="center"/>
    </xf>
    <xf numFmtId="170" fontId="5" fillId="0" borderId="15" xfId="6" applyNumberFormat="1" applyFont="1" applyFill="1" applyBorder="1" applyAlignment="1">
      <alignment vertical="center"/>
    </xf>
    <xf numFmtId="0" fontId="5" fillId="0" borderId="15" xfId="0" applyFont="1" applyFill="1" applyBorder="1" applyAlignment="1">
      <alignment vertical="center"/>
    </xf>
    <xf numFmtId="0" fontId="5" fillId="0" borderId="60" xfId="0" applyFont="1" applyFill="1" applyBorder="1" applyAlignment="1">
      <alignment vertical="center"/>
    </xf>
    <xf numFmtId="3" fontId="5" fillId="0" borderId="61" xfId="0" applyNumberFormat="1" applyFont="1" applyFill="1" applyBorder="1" applyAlignment="1">
      <alignment vertical="center"/>
    </xf>
    <xf numFmtId="170" fontId="5" fillId="0" borderId="61" xfId="6" applyNumberFormat="1" applyFont="1" applyFill="1" applyBorder="1" applyAlignment="1">
      <alignment vertical="center"/>
    </xf>
    <xf numFmtId="170" fontId="4" fillId="0" borderId="63" xfId="0" applyNumberFormat="1" applyFont="1" applyFill="1" applyBorder="1" applyAlignment="1">
      <alignment vertical="center"/>
    </xf>
    <xf numFmtId="170" fontId="5" fillId="0" borderId="4" xfId="6" applyNumberFormat="1" applyFont="1" applyFill="1" applyBorder="1" applyAlignment="1">
      <alignment vertical="center"/>
    </xf>
    <xf numFmtId="173" fontId="5" fillId="0" borderId="0" xfId="1" applyNumberFormat="1" applyFont="1" applyFill="1" applyBorder="1" applyAlignment="1">
      <alignment vertical="center"/>
    </xf>
    <xf numFmtId="10" fontId="5" fillId="0" borderId="4" xfId="0" applyNumberFormat="1" applyFont="1" applyFill="1" applyBorder="1" applyAlignment="1">
      <alignment vertical="center"/>
    </xf>
    <xf numFmtId="175" fontId="5" fillId="0" borderId="60" xfId="0" applyNumberFormat="1" applyFont="1" applyFill="1" applyBorder="1" applyAlignment="1">
      <alignment vertical="center"/>
    </xf>
    <xf numFmtId="173" fontId="5" fillId="0" borderId="61" xfId="1" applyNumberFormat="1" applyFont="1" applyFill="1" applyBorder="1" applyAlignment="1">
      <alignment vertical="center"/>
    </xf>
    <xf numFmtId="170" fontId="5" fillId="0" borderId="63" xfId="6" applyNumberFormat="1" applyFont="1" applyFill="1" applyBorder="1" applyAlignment="1">
      <alignment vertical="center"/>
    </xf>
    <xf numFmtId="0" fontId="10" fillId="0" borderId="0" xfId="0" applyFont="1" applyFill="1" applyBorder="1" applyAlignment="1">
      <alignment vertical="center" wrapText="1"/>
    </xf>
    <xf numFmtId="0" fontId="3" fillId="0" borderId="0" xfId="9" applyFont="1" applyFill="1" applyAlignment="1">
      <alignment horizontal="right" vertical="center"/>
    </xf>
    <xf numFmtId="175" fontId="5" fillId="0" borderId="74" xfId="1" applyNumberFormat="1" applyFont="1" applyFill="1" applyBorder="1" applyAlignment="1">
      <alignment vertical="center"/>
    </xf>
    <xf numFmtId="175" fontId="5" fillId="0" borderId="69" xfId="1" applyNumberFormat="1" applyFont="1" applyFill="1" applyBorder="1" applyAlignment="1">
      <alignment vertical="center"/>
    </xf>
    <xf numFmtId="170" fontId="5" fillId="0" borderId="4" xfId="6" applyNumberFormat="1"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Fill="1" applyBorder="1" applyAlignment="1">
      <alignment horizontal="center" vertical="center" wrapText="1"/>
    </xf>
    <xf numFmtId="170" fontId="5" fillId="0" borderId="0" xfId="0" applyNumberFormat="1" applyFont="1" applyFill="1" applyBorder="1" applyAlignment="1">
      <alignment horizontal="center" vertical="center" wrapText="1"/>
    </xf>
    <xf numFmtId="0" fontId="10" fillId="0" borderId="84" xfId="0" applyFont="1" applyFill="1" applyBorder="1" applyAlignment="1">
      <alignment vertical="center"/>
    </xf>
    <xf numFmtId="9" fontId="5" fillId="0" borderId="84" xfId="6" applyFont="1" applyFill="1" applyBorder="1" applyAlignment="1">
      <alignment vertical="center"/>
    </xf>
    <xf numFmtId="0" fontId="4" fillId="0" borderId="60" xfId="0" applyFont="1" applyFill="1" applyBorder="1" applyAlignment="1">
      <alignment horizontal="left" vertical="center"/>
    </xf>
    <xf numFmtId="0" fontId="4" fillId="0" borderId="63" xfId="0" applyFont="1" applyFill="1" applyBorder="1" applyAlignment="1">
      <alignment horizontal="center" vertical="center"/>
    </xf>
    <xf numFmtId="0" fontId="10" fillId="0" borderId="71" xfId="0" applyFont="1" applyFill="1" applyBorder="1" applyAlignment="1">
      <alignment horizontal="center" vertical="center"/>
    </xf>
    <xf numFmtId="0" fontId="5" fillId="0" borderId="0" xfId="7" applyFont="1" applyFill="1" applyBorder="1"/>
    <xf numFmtId="0" fontId="5" fillId="0" borderId="0" xfId="9" applyFont="1" applyFill="1" applyBorder="1"/>
    <xf numFmtId="0" fontId="5" fillId="0" borderId="0" xfId="10" applyFont="1" applyFill="1" applyBorder="1"/>
    <xf numFmtId="0" fontId="5" fillId="0" borderId="0" xfId="5" applyFont="1" applyFill="1" applyBorder="1"/>
    <xf numFmtId="0" fontId="16" fillId="14" borderId="5" xfId="0" applyFont="1" applyFill="1" applyBorder="1"/>
    <xf numFmtId="0" fontId="19" fillId="0" borderId="0" xfId="0" applyFont="1" applyFill="1" applyBorder="1" applyAlignment="1">
      <alignment wrapText="1"/>
    </xf>
    <xf numFmtId="3" fontId="5" fillId="0" borderId="0" xfId="1" applyNumberFormat="1" applyFont="1" applyFill="1" applyBorder="1" applyAlignment="1"/>
    <xf numFmtId="165" fontId="3" fillId="0" borderId="0" xfId="1" applyFont="1"/>
    <xf numFmtId="9" fontId="3" fillId="0" borderId="0" xfId="6" applyFont="1" applyFill="1" applyBorder="1"/>
    <xf numFmtId="11" fontId="5" fillId="0" borderId="0" xfId="12" applyNumberFormat="1" applyBorder="1"/>
    <xf numFmtId="175" fontId="3" fillId="0" borderId="0" xfId="1" applyNumberFormat="1" applyFont="1"/>
    <xf numFmtId="175" fontId="3" fillId="0" borderId="0" xfId="1" applyNumberFormat="1" applyFont="1" applyBorder="1"/>
    <xf numFmtId="0" fontId="44" fillId="10" borderId="0" xfId="0" applyFont="1" applyFill="1" applyBorder="1" applyAlignment="1">
      <alignment vertical="center" wrapText="1"/>
    </xf>
    <xf numFmtId="0" fontId="3" fillId="10" borderId="0" xfId="0" applyFont="1" applyFill="1" applyBorder="1" applyAlignment="1">
      <alignment horizontal="center" vertical="center" wrapText="1"/>
    </xf>
    <xf numFmtId="43" fontId="3" fillId="10" borderId="0" xfId="0" applyNumberFormat="1" applyFont="1" applyFill="1" applyBorder="1" applyAlignment="1">
      <alignment vertical="center"/>
    </xf>
    <xf numFmtId="0" fontId="5" fillId="0" borderId="84" xfId="5" applyFont="1" applyFill="1" applyBorder="1" applyAlignment="1">
      <alignment horizontal="left" vertical="center" wrapText="1"/>
    </xf>
    <xf numFmtId="10" fontId="5" fillId="0" borderId="84" xfId="0" applyNumberFormat="1" applyFont="1" applyFill="1" applyBorder="1" applyAlignment="1">
      <alignment vertical="center"/>
    </xf>
    <xf numFmtId="3" fontId="5" fillId="0" borderId="0" xfId="0" applyNumberFormat="1" applyFont="1" applyFill="1" applyBorder="1" applyAlignment="1">
      <alignment vertical="center" wrapText="1"/>
    </xf>
    <xf numFmtId="0" fontId="10" fillId="0" borderId="85" xfId="0" applyFont="1" applyFill="1" applyBorder="1" applyAlignment="1">
      <alignment vertical="center"/>
    </xf>
    <xf numFmtId="3" fontId="5" fillId="0" borderId="85" xfId="0" applyNumberFormat="1" applyFont="1" applyFill="1" applyBorder="1" applyAlignment="1">
      <alignment vertical="center"/>
    </xf>
    <xf numFmtId="0" fontId="5" fillId="0" borderId="74" xfId="0" applyFont="1" applyBorder="1"/>
    <xf numFmtId="0" fontId="5" fillId="0" borderId="69" xfId="0" applyFont="1" applyBorder="1"/>
    <xf numFmtId="0" fontId="12" fillId="0" borderId="0" xfId="0" applyFont="1"/>
    <xf numFmtId="0" fontId="12" fillId="0" borderId="0" xfId="0" applyFont="1" applyAlignment="1">
      <alignment horizontal="right" vertical="top"/>
    </xf>
    <xf numFmtId="0" fontId="4" fillId="0" borderId="0" xfId="0" applyFont="1" applyAlignment="1">
      <alignment horizontal="right" vertical="top"/>
    </xf>
    <xf numFmtId="170" fontId="5" fillId="0" borderId="0" xfId="0" applyNumberFormat="1" applyFont="1" applyAlignment="1">
      <alignment horizontal="right"/>
    </xf>
    <xf numFmtId="0" fontId="5" fillId="0" borderId="0" xfId="0" applyFont="1" applyAlignment="1">
      <alignment horizontal="right"/>
    </xf>
    <xf numFmtId="4" fontId="5" fillId="0" borderId="0" xfId="0" applyNumberFormat="1" applyFont="1"/>
    <xf numFmtId="178" fontId="5" fillId="0" borderId="0" xfId="0" applyNumberFormat="1" applyFont="1" applyAlignment="1">
      <alignment horizontal="right"/>
    </xf>
    <xf numFmtId="3" fontId="5" fillId="0" borderId="0" xfId="0" applyNumberFormat="1" applyFont="1"/>
    <xf numFmtId="170" fontId="5" fillId="0" borderId="0" xfId="0" applyNumberFormat="1" applyFont="1"/>
    <xf numFmtId="9" fontId="5" fillId="0" borderId="0" xfId="0" applyNumberFormat="1" applyFont="1" applyAlignment="1">
      <alignment horizontal="right"/>
    </xf>
    <xf numFmtId="167" fontId="5" fillId="0" borderId="0" xfId="0" applyNumberFormat="1" applyFont="1"/>
    <xf numFmtId="0" fontId="5" fillId="0" borderId="0" xfId="0" applyFont="1" applyBorder="1" applyAlignment="1">
      <alignment horizontal="left" vertical="center" wrapText="1"/>
    </xf>
    <xf numFmtId="0" fontId="5" fillId="0" borderId="0" xfId="7" applyNumberFormat="1" applyFont="1" applyBorder="1" applyAlignment="1">
      <alignment horizontal="left" wrapText="1"/>
    </xf>
    <xf numFmtId="0" fontId="5" fillId="0" borderId="0" xfId="8" applyFont="1" applyBorder="1" applyAlignment="1">
      <alignment horizontal="left" wrapText="1"/>
    </xf>
    <xf numFmtId="0" fontId="26" fillId="0" borderId="0" xfId="7" applyFont="1" applyAlignment="1">
      <alignment horizontal="center" vertical="center"/>
    </xf>
    <xf numFmtId="0" fontId="27" fillId="0" borderId="0" xfId="7" applyFont="1" applyBorder="1" applyAlignment="1">
      <alignment horizontal="center" vertical="center" wrapText="1"/>
    </xf>
    <xf numFmtId="0" fontId="4" fillId="0" borderId="36" xfId="7" applyFont="1" applyBorder="1" applyAlignment="1">
      <alignment horizontal="left" vertical="center" wrapText="1"/>
    </xf>
    <xf numFmtId="0" fontId="4" fillId="0" borderId="13" xfId="7" applyFont="1" applyBorder="1" applyAlignment="1">
      <alignment horizontal="left" vertical="center" wrapText="1"/>
    </xf>
    <xf numFmtId="0" fontId="4" fillId="0" borderId="38" xfId="7" applyFont="1" applyBorder="1" applyAlignment="1">
      <alignment horizontal="left" vertical="center" wrapText="1"/>
    </xf>
    <xf numFmtId="0" fontId="5" fillId="0" borderId="0" xfId="8" applyFont="1" applyBorder="1" applyAlignment="1">
      <alignment horizontal="left" vertical="top" wrapText="1"/>
    </xf>
    <xf numFmtId="0" fontId="4" fillId="0" borderId="34" xfId="7" applyFont="1" applyBorder="1" applyAlignment="1">
      <alignment horizontal="left" vertical="center" wrapText="1"/>
    </xf>
    <xf numFmtId="0" fontId="4" fillId="0" borderId="80" xfId="7" applyFont="1" applyBorder="1" applyAlignment="1">
      <alignment horizontal="left" vertical="center" wrapText="1"/>
    </xf>
    <xf numFmtId="0" fontId="4" fillId="0" borderId="81" xfId="7" applyFont="1" applyBorder="1" applyAlignment="1">
      <alignment horizontal="left" vertical="center" wrapText="1"/>
    </xf>
    <xf numFmtId="0" fontId="5" fillId="0" borderId="0" xfId="8" applyNumberFormat="1" applyFont="1" applyBorder="1" applyAlignment="1">
      <alignment horizontal="left" wrapText="1"/>
    </xf>
    <xf numFmtId="0" fontId="5" fillId="0" borderId="0" xfId="10" applyFont="1" applyAlignment="1">
      <alignment horizontal="left" wrapText="1"/>
    </xf>
    <xf numFmtId="0" fontId="5" fillId="0" borderId="0" xfId="10" applyAlignment="1">
      <alignment horizontal="left" wrapText="1"/>
    </xf>
    <xf numFmtId="0" fontId="4" fillId="0" borderId="84" xfId="10" applyFont="1" applyFill="1" applyBorder="1" applyAlignment="1">
      <alignment horizontal="left" vertical="center"/>
    </xf>
    <xf numFmtId="0" fontId="4" fillId="0" borderId="43" xfId="10" applyFont="1" applyFill="1" applyBorder="1" applyAlignment="1">
      <alignment horizontal="left" vertical="center"/>
    </xf>
    <xf numFmtId="0" fontId="13" fillId="0" borderId="69" xfId="10" applyFont="1" applyBorder="1" applyAlignment="1">
      <alignment vertical="center"/>
    </xf>
    <xf numFmtId="0" fontId="13" fillId="0" borderId="9" xfId="10" applyFont="1" applyBorder="1" applyAlignment="1">
      <alignment vertical="center"/>
    </xf>
    <xf numFmtId="0" fontId="13" fillId="0" borderId="72" xfId="10" applyFont="1" applyBorder="1" applyAlignment="1">
      <alignment horizontal="center"/>
    </xf>
    <xf numFmtId="0" fontId="13" fillId="0" borderId="71" xfId="10" applyFont="1" applyBorder="1" applyAlignment="1">
      <alignment horizontal="center"/>
    </xf>
    <xf numFmtId="0" fontId="13" fillId="0" borderId="70" xfId="10" applyFont="1" applyBorder="1" applyAlignment="1">
      <alignment horizontal="center"/>
    </xf>
    <xf numFmtId="0" fontId="3" fillId="0" borderId="0" xfId="10" applyFont="1" applyAlignment="1">
      <alignment horizontal="left" vertical="top" wrapText="1"/>
    </xf>
    <xf numFmtId="0" fontId="35" fillId="0" borderId="3" xfId="10" applyFont="1" applyBorder="1" applyAlignment="1">
      <alignment horizontal="center" vertical="center" wrapText="1"/>
    </xf>
    <xf numFmtId="0" fontId="5" fillId="0" borderId="85" xfId="10" applyBorder="1" applyAlignment="1">
      <alignment horizontal="center"/>
    </xf>
    <xf numFmtId="0" fontId="4" fillId="0" borderId="0" xfId="10" applyFont="1" applyFill="1" applyAlignment="1">
      <alignment horizontal="left" vertical="center" wrapText="1"/>
    </xf>
    <xf numFmtId="0" fontId="4" fillId="0" borderId="72" xfId="0" applyFont="1" applyFill="1" applyBorder="1" applyAlignment="1">
      <alignment horizontal="center" vertical="center"/>
    </xf>
    <xf numFmtId="0" fontId="4" fillId="0" borderId="71" xfId="0" applyFont="1" applyFill="1" applyBorder="1" applyAlignment="1">
      <alignment horizontal="center" vertical="center"/>
    </xf>
    <xf numFmtId="0" fontId="4" fillId="0" borderId="70" xfId="0" applyFont="1" applyFill="1" applyBorder="1" applyAlignment="1">
      <alignment horizontal="center" vertical="center"/>
    </xf>
    <xf numFmtId="0" fontId="10" fillId="0" borderId="5" xfId="5" applyFont="1" applyFill="1" applyBorder="1" applyAlignment="1">
      <alignment horizontal="center" wrapText="1"/>
    </xf>
    <xf numFmtId="0" fontId="10" fillId="0" borderId="0" xfId="5" applyFont="1" applyFill="1" applyBorder="1" applyAlignment="1">
      <alignment horizontal="center" wrapText="1"/>
    </xf>
    <xf numFmtId="169" fontId="4" fillId="0" borderId="0" xfId="5" applyNumberFormat="1" applyFont="1" applyFill="1" applyBorder="1" applyAlignment="1">
      <alignment horizontal="center" vertical="top" wrapText="1"/>
    </xf>
    <xf numFmtId="0" fontId="12" fillId="0" borderId="0" xfId="5" applyFont="1" applyFill="1" applyBorder="1" applyAlignment="1">
      <alignment horizontal="left" wrapText="1"/>
    </xf>
    <xf numFmtId="0" fontId="24" fillId="6" borderId="27" xfId="0" applyFont="1" applyFill="1" applyBorder="1" applyAlignment="1">
      <alignment vertical="center" wrapText="1"/>
    </xf>
    <xf numFmtId="0" fontId="24" fillId="6" borderId="26" xfId="0" applyFont="1" applyFill="1" applyBorder="1" applyAlignment="1">
      <alignment vertical="center" wrapText="1"/>
    </xf>
    <xf numFmtId="0" fontId="5" fillId="8" borderId="0" xfId="0" applyFont="1" applyFill="1" applyBorder="1" applyAlignment="1">
      <alignment horizontal="left" vertical="top" wrapText="1"/>
    </xf>
    <xf numFmtId="0" fontId="20" fillId="7" borderId="88" xfId="0" applyFont="1" applyFill="1" applyBorder="1" applyAlignment="1">
      <alignment vertical="center"/>
    </xf>
    <xf numFmtId="0" fontId="24" fillId="6" borderId="27" xfId="0" applyFont="1" applyFill="1" applyBorder="1" applyAlignment="1">
      <alignment horizontal="center" vertical="center" wrapText="1"/>
    </xf>
    <xf numFmtId="0" fontId="24" fillId="6" borderId="26" xfId="0" applyFont="1" applyFill="1" applyBorder="1" applyAlignment="1">
      <alignment horizontal="center" vertical="center" wrapText="1"/>
    </xf>
    <xf numFmtId="168" fontId="5" fillId="0" borderId="20" xfId="0" applyNumberFormat="1" applyFont="1" applyFill="1" applyBorder="1" applyAlignment="1">
      <alignment horizontal="center" vertical="top" wrapText="1"/>
    </xf>
    <xf numFmtId="168" fontId="5" fillId="0" borderId="22" xfId="0" applyNumberFormat="1" applyFont="1" applyFill="1" applyBorder="1" applyAlignment="1">
      <alignment horizontal="center" vertical="top" wrapText="1"/>
    </xf>
    <xf numFmtId="0" fontId="5" fillId="0" borderId="82" xfId="0" applyFont="1" applyFill="1" applyBorder="1" applyAlignment="1">
      <alignment horizontal="center"/>
    </xf>
    <xf numFmtId="168" fontId="5" fillId="0" borderId="87" xfId="0" applyNumberFormat="1" applyFont="1" applyFill="1" applyBorder="1" applyAlignment="1">
      <alignment horizontal="center" vertical="top" wrapText="1"/>
    </xf>
    <xf numFmtId="168" fontId="5" fillId="0" borderId="23" xfId="0" applyNumberFormat="1" applyFont="1" applyFill="1" applyBorder="1" applyAlignment="1">
      <alignment horizontal="center" vertical="top" wrapText="1"/>
    </xf>
    <xf numFmtId="0" fontId="10" fillId="0" borderId="92" xfId="0" applyFont="1" applyFill="1" applyBorder="1" applyAlignment="1">
      <alignment horizontal="center" wrapText="1"/>
    </xf>
    <xf numFmtId="0" fontId="10" fillId="0" borderId="71" xfId="0" applyFont="1" applyFill="1" applyBorder="1" applyAlignment="1">
      <alignment horizontal="center" wrapText="1"/>
    </xf>
    <xf numFmtId="0" fontId="10" fillId="0" borderId="93" xfId="0" applyFont="1" applyFill="1" applyBorder="1" applyAlignment="1">
      <alignment horizontal="center" wrapText="1"/>
    </xf>
    <xf numFmtId="0" fontId="26" fillId="8" borderId="0" xfId="12" applyFont="1" applyFill="1" applyBorder="1" applyAlignment="1">
      <alignment horizontal="center"/>
    </xf>
    <xf numFmtId="170" fontId="44" fillId="10" borderId="0" xfId="0" applyNumberFormat="1" applyFont="1" applyFill="1" applyBorder="1" applyAlignment="1">
      <alignment horizontal="center" vertical="center"/>
    </xf>
    <xf numFmtId="170" fontId="44" fillId="10" borderId="78" xfId="6" applyNumberFormat="1" applyFont="1" applyFill="1" applyBorder="1" applyAlignment="1">
      <alignment horizontal="center" vertical="center"/>
    </xf>
    <xf numFmtId="170" fontId="44" fillId="10" borderId="59" xfId="6" applyNumberFormat="1" applyFont="1" applyFill="1" applyBorder="1" applyAlignment="1">
      <alignment horizontal="center" vertical="center"/>
    </xf>
    <xf numFmtId="170" fontId="44" fillId="10" borderId="68" xfId="6" applyNumberFormat="1" applyFont="1" applyFill="1" applyBorder="1" applyAlignment="1">
      <alignment horizontal="center" vertical="center"/>
    </xf>
    <xf numFmtId="0" fontId="13" fillId="8" borderId="0" xfId="12" applyFont="1" applyFill="1" applyBorder="1" applyAlignment="1">
      <alignment horizontal="center"/>
    </xf>
    <xf numFmtId="0" fontId="13" fillId="8" borderId="0" xfId="12" applyFont="1" applyFill="1" applyBorder="1" applyAlignment="1">
      <alignment horizontal="center" vertical="center"/>
    </xf>
    <xf numFmtId="0" fontId="40" fillId="8" borderId="0" xfId="12" applyFont="1" applyFill="1" applyBorder="1" applyAlignment="1">
      <alignment horizontal="center" vertical="center"/>
    </xf>
    <xf numFmtId="0" fontId="43" fillId="8" borderId="50" xfId="12" applyFont="1" applyFill="1" applyBorder="1" applyAlignment="1">
      <alignment horizontal="center" wrapText="1"/>
    </xf>
  </cellXfs>
  <cellStyles count="17">
    <cellStyle name="Comma" xfId="1" builtinId="3"/>
    <cellStyle name="Comma 2" xfId="15"/>
    <cellStyle name="Currency" xfId="2" builtinId="4"/>
    <cellStyle name="Currency 2" xfId="16"/>
    <cellStyle name="Data" xfId="3"/>
    <cellStyle name="Hyperlink" xfId="4" builtinId="8"/>
    <cellStyle name="Normal" xfId="0" builtinId="0"/>
    <cellStyle name="Normal 2" xfId="12"/>
    <cellStyle name="Normal 3" xfId="13"/>
    <cellStyle name="Normal_ConsolidatedAg_IM_Clean" xfId="7"/>
    <cellStyle name="Normal_ConsolidatedAg_IM_Clean - v3" xfId="9"/>
    <cellStyle name="Normal_FeederRoadAnalysis_IM_Clean - v4" xfId="8"/>
    <cellStyle name="Normal_Mongolia Health ERR.IM Cleaned - v15" xfId="10"/>
    <cellStyle name="Normal_Mongolia Rail ERR.IM Cleaned" xfId="11"/>
    <cellStyle name="Normal_Norplan_economic_model" xfId="5"/>
    <cellStyle name="Percent" xfId="6" builtinId="5"/>
    <cellStyle name="Percent 2" xfId="14"/>
  </cellStyles>
  <dxfs count="5">
    <dxf>
      <font>
        <condense val="0"/>
        <extend val="0"/>
        <color indexed="10"/>
      </font>
    </dxf>
    <dxf>
      <font>
        <condense val="0"/>
        <extend val="0"/>
        <color indexed="9"/>
      </font>
      <fill>
        <patternFill patternType="none">
          <bgColor indexed="65"/>
        </patternFill>
      </fill>
    </dxf>
    <dxf>
      <fill>
        <patternFill>
          <bgColor indexed="10"/>
        </patternFill>
      </fill>
    </dxf>
    <dxf>
      <font>
        <condense val="0"/>
        <extend val="0"/>
        <color indexed="10"/>
      </font>
    </dxf>
    <dxf>
      <font>
        <condense val="0"/>
        <extend val="0"/>
        <color indexed="9"/>
      </font>
      <fill>
        <patternFill patternType="none">
          <bgColor indexed="65"/>
        </patternFill>
      </fill>
    </dxf>
  </dxfs>
  <tableStyles count="0" defaultTableStyle="TableStyleMedium2" defaultPivotStyle="PivotStyleLight16"/>
  <colors>
    <mruColors>
      <color rgb="FFFFFF99"/>
      <color rgb="FF0080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Calibri"/>
                <a:ea typeface="Calibri"/>
                <a:cs typeface="Calibri"/>
              </a:defRPr>
            </a:pPr>
            <a:r>
              <a:rPr lang="en-US" sz="1600" b="1" i="0" u="none" strike="noStrike" baseline="0">
                <a:solidFill>
                  <a:srgbClr val="000000"/>
                </a:solidFill>
                <a:latin typeface="Calibri"/>
                <a:cs typeface="Calibri"/>
              </a:rPr>
              <a:t>Undiscounted Annual Net Benefits of Tanzania Distribution Systems Rehabilitation and Extension Activity</a:t>
            </a:r>
            <a:r>
              <a:rPr lang="en-US" sz="1600" b="1" i="0" u="none" strike="noStrike" baseline="30000">
                <a:solidFill>
                  <a:srgbClr val="000000"/>
                </a:solidFill>
                <a:latin typeface="Calibri"/>
                <a:cs typeface="Calibri"/>
              </a:rPr>
              <a:t>1</a:t>
            </a:r>
          </a:p>
        </c:rich>
      </c:tx>
      <c:layout>
        <c:manualLayout>
          <c:xMode val="edge"/>
          <c:yMode val="edge"/>
          <c:x val="0.17045569634921462"/>
          <c:y val="3.3895087057779751E-2"/>
        </c:manualLayout>
      </c:layout>
      <c:overlay val="0"/>
    </c:title>
    <c:autoTitleDeleted val="0"/>
    <c:plotArea>
      <c:layout>
        <c:manualLayout>
          <c:layoutTarget val="inner"/>
          <c:xMode val="edge"/>
          <c:yMode val="edge"/>
          <c:x val="7.829986181734766E-2"/>
          <c:y val="0.20895522388059701"/>
          <c:w val="0.89261842471776331"/>
          <c:h val="0.62089552238805967"/>
        </c:manualLayout>
      </c:layout>
      <c:areaChart>
        <c:grouping val="standard"/>
        <c:varyColors val="0"/>
        <c:ser>
          <c:idx val="0"/>
          <c:order val="0"/>
          <c:cat>
            <c:numRef>
              <c:f>'ERR Calculations'!$H$24:$AA$24</c:f>
              <c:numCache>
                <c:formatCode>General</c:formatCode>
                <c:ptCount val="20"/>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pt idx="17">
                  <c:v>2026</c:v>
                </c:pt>
                <c:pt idx="18">
                  <c:v>2027</c:v>
                </c:pt>
                <c:pt idx="19">
                  <c:v>2028</c:v>
                </c:pt>
              </c:numCache>
            </c:numRef>
          </c:cat>
          <c:val>
            <c:numRef>
              <c:f>'ERR Calculations'!$G$96:$AA$96</c:f>
              <c:numCache>
                <c:formatCode>#,##0.0</c:formatCode>
                <c:ptCount val="21"/>
                <c:pt idx="0">
                  <c:v>0</c:v>
                </c:pt>
                <c:pt idx="1">
                  <c:v>-5.0818533091038178</c:v>
                </c:pt>
                <c:pt idx="2">
                  <c:v>-12.948283773880961</c:v>
                </c:pt>
                <c:pt idx="3">
                  <c:v>-23.808134681006926</c:v>
                </c:pt>
                <c:pt idx="4">
                  <c:v>-27.149627267814918</c:v>
                </c:pt>
                <c:pt idx="5">
                  <c:v>18.754202027716818</c:v>
                </c:pt>
                <c:pt idx="6">
                  <c:v>20.320272051274866</c:v>
                </c:pt>
                <c:pt idx="7">
                  <c:v>21.305359293420466</c:v>
                </c:pt>
                <c:pt idx="8">
                  <c:v>22.338201647908527</c:v>
                </c:pt>
                <c:pt idx="9">
                  <c:v>23.421114189645383</c:v>
                </c:pt>
                <c:pt idx="10">
                  <c:v>24.556524223863281</c:v>
                </c:pt>
                <c:pt idx="11">
                  <c:v>25.746976726828137</c:v>
                </c:pt>
                <c:pt idx="12">
                  <c:v>26.99514005030229</c:v>
                </c:pt>
                <c:pt idx="13">
                  <c:v>28.303811902548386</c:v>
                </c:pt>
                <c:pt idx="14">
                  <c:v>29.675925619280829</c:v>
                </c:pt>
                <c:pt idx="15">
                  <c:v>31.114556738620649</c:v>
                </c:pt>
                <c:pt idx="16">
                  <c:v>32.62292989479144</c:v>
                </c:pt>
                <c:pt idx="17">
                  <c:v>34.20442604600823</c:v>
                </c:pt>
                <c:pt idx="18">
                  <c:v>35.862590052760368</c:v>
                </c:pt>
                <c:pt idx="19">
                  <c:v>37.601138623474775</c:v>
                </c:pt>
                <c:pt idx="20">
                  <c:v>39.423968645369548</c:v>
                </c:pt>
              </c:numCache>
            </c:numRef>
          </c:val>
        </c:ser>
        <c:dLbls>
          <c:showLegendKey val="0"/>
          <c:showVal val="0"/>
          <c:showCatName val="0"/>
          <c:showSerName val="0"/>
          <c:showPercent val="0"/>
          <c:showBubbleSize val="0"/>
        </c:dLbls>
        <c:axId val="562738528"/>
        <c:axId val="562738136"/>
      </c:areaChart>
      <c:catAx>
        <c:axId val="56273852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rPr lang="en-US"/>
                  <a:t>Year</a:t>
                </a:r>
              </a:p>
            </c:rich>
          </c:tx>
          <c:layout>
            <c:manualLayout>
              <c:xMode val="edge"/>
              <c:yMode val="edge"/>
              <c:x val="0.50223765211166782"/>
              <c:y val="0.86865671641791042"/>
            </c:manualLayout>
          </c:layout>
          <c:overlay val="0"/>
        </c:title>
        <c:numFmt formatCode="General" sourceLinked="1"/>
        <c:majorTickMark val="cross"/>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562738136"/>
        <c:crosses val="autoZero"/>
        <c:auto val="1"/>
        <c:lblAlgn val="ctr"/>
        <c:lblOffset val="100"/>
        <c:tickLblSkip val="1"/>
        <c:tickMarkSkip val="1"/>
        <c:noMultiLvlLbl val="0"/>
      </c:catAx>
      <c:valAx>
        <c:axId val="56273813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en-US"/>
                  <a:t>US$ (millions)</a:t>
                </a:r>
              </a:p>
            </c:rich>
          </c:tx>
          <c:layout>
            <c:manualLayout>
              <c:xMode val="edge"/>
              <c:yMode val="edge"/>
              <c:x val="1.7897041278931044E-2"/>
              <c:y val="0.35522388059701493"/>
            </c:manualLayout>
          </c:layout>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562738528"/>
        <c:crosses val="autoZero"/>
        <c:crossBetween val="midCat"/>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1" l="0.75" r="0.75" t="1" header="0.5" footer="0.5"/>
    <c:pageSetup orientation="landscape" horizontalDpi="200"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Tanzania Zanzibar Interconnector </a:t>
            </a:r>
          </a:p>
          <a:p>
            <a:pPr>
              <a:defRPr/>
            </a:pPr>
            <a:r>
              <a:rPr lang="en-US"/>
              <a:t>Activity: Cost</a:t>
            </a:r>
            <a:r>
              <a:rPr lang="en-US" baseline="0"/>
              <a:t> Effectiveness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v>&lt;$1.25/day</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'Poverty Scorecard'!$L$9:$M$9</c:f>
              <c:strCache>
                <c:ptCount val="2"/>
                <c:pt idx="0">
                  <c:v>Zanzibar Interconnector Activity</c:v>
                </c:pt>
                <c:pt idx="1">
                  <c:v>National Income Distribution</c:v>
                </c:pt>
              </c:strCache>
            </c:strRef>
          </c:cat>
          <c:val>
            <c:numRef>
              <c:f>'Poverty Scorecard'!$L$10:$M$10</c:f>
              <c:numCache>
                <c:formatCode>_([$$-409]* #,##0.00_);_([$$-409]* \(#,##0.00\);_([$$-409]* "-"??_);_(@_)</c:formatCode>
                <c:ptCount val="2"/>
                <c:pt idx="0" formatCode="_(&quot;$&quot;* #,##0.00_);_(&quot;$&quot;* \(#,##0.00\);_(&quot;$&quot;* &quot;-&quot;??_);_(@_)">
                  <c:v>5.2748357400476058E-2</c:v>
                </c:pt>
                <c:pt idx="1">
                  <c:v>0.12986127040254</c:v>
                </c:pt>
              </c:numCache>
            </c:numRef>
          </c:val>
        </c:ser>
        <c:ser>
          <c:idx val="1"/>
          <c:order val="1"/>
          <c:tx>
            <c:v>$1.25-2.00/day</c:v>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'Poverty Scorecard'!$L$9:$M$9</c:f>
              <c:strCache>
                <c:ptCount val="2"/>
                <c:pt idx="0">
                  <c:v>Zanzibar Interconnector Activity</c:v>
                </c:pt>
                <c:pt idx="1">
                  <c:v>National Income Distribution</c:v>
                </c:pt>
              </c:strCache>
            </c:strRef>
          </c:cat>
          <c:val>
            <c:numRef>
              <c:f>'Poverty Scorecard'!$L$11:$M$11</c:f>
              <c:numCache>
                <c:formatCode>_([$$-409]* #,##0.00_);_([$$-409]* \(#,##0.00\);_([$$-409]* "-"??_);_(@_)</c:formatCode>
                <c:ptCount val="2"/>
                <c:pt idx="0" formatCode="_(&quot;$&quot;* #,##0.00_);_(&quot;$&quot;* \(#,##0.00\);_(&quot;$&quot;* &quot;-&quot;??_);_(@_)">
                  <c:v>0.29345533199799728</c:v>
                </c:pt>
                <c:pt idx="1">
                  <c:v>0.20797313119002922</c:v>
                </c:pt>
              </c:numCache>
            </c:numRef>
          </c:val>
        </c:ser>
        <c:ser>
          <c:idx val="2"/>
          <c:order val="2"/>
          <c:tx>
            <c:v>$2-4/day</c:v>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'Poverty Scorecard'!$L$9:$M$9</c:f>
              <c:strCache>
                <c:ptCount val="2"/>
                <c:pt idx="0">
                  <c:v>Zanzibar Interconnector Activity</c:v>
                </c:pt>
                <c:pt idx="1">
                  <c:v>National Income Distribution</c:v>
                </c:pt>
              </c:strCache>
            </c:strRef>
          </c:cat>
          <c:val>
            <c:numRef>
              <c:f>'Poverty Scorecard'!$L$12:$M$12</c:f>
              <c:numCache>
                <c:formatCode>_([$$-409]* #,##0.00_);_([$$-409]* \(#,##0.00\);_([$$-409]* "-"??_);_(@_)</c:formatCode>
                <c:ptCount val="2"/>
                <c:pt idx="0" formatCode="_(&quot;$&quot;* #,##0.00_);_(&quot;$&quot;* \(#,##0.00\);_(&quot;$&quot;* &quot;-&quot;??_);_(@_)">
                  <c:v>0.98817982210194155</c:v>
                </c:pt>
                <c:pt idx="1">
                  <c:v>0.30390330026229645</c:v>
                </c:pt>
              </c:numCache>
            </c:numRef>
          </c:val>
        </c:ser>
        <c:ser>
          <c:idx val="3"/>
          <c:order val="3"/>
          <c:tx>
            <c:v>&gt;$4/day</c:v>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'Poverty Scorecard'!$L$9:$M$9</c:f>
              <c:strCache>
                <c:ptCount val="2"/>
                <c:pt idx="0">
                  <c:v>Zanzibar Interconnector Activity</c:v>
                </c:pt>
                <c:pt idx="1">
                  <c:v>National Income Distribution</c:v>
                </c:pt>
              </c:strCache>
            </c:strRef>
          </c:cat>
          <c:val>
            <c:numRef>
              <c:f>'Poverty Scorecard'!$L$13:$M$13</c:f>
              <c:numCache>
                <c:formatCode>_([$$-409]* #,##0.00_);_([$$-409]* \(#,##0.00\);_([$$-409]* "-"??_);_(@_)</c:formatCode>
                <c:ptCount val="2"/>
                <c:pt idx="0" formatCode="_(&quot;$&quot;* #,##0.00_);_(&quot;$&quot;* \(#,##0.00\);_(&quot;$&quot;* &quot;-&quot;??_);_(@_)">
                  <c:v>0.69513339209929681</c:v>
                </c:pt>
                <c:pt idx="1">
                  <c:v>0.35826229814513438</c:v>
                </c:pt>
              </c:numCache>
            </c:numRef>
          </c:val>
        </c:ser>
        <c:dLbls>
          <c:dLblPos val="ctr"/>
          <c:showLegendKey val="0"/>
          <c:showVal val="1"/>
          <c:showCatName val="0"/>
          <c:showSerName val="0"/>
          <c:showPercent val="0"/>
          <c:showBubbleSize val="0"/>
        </c:dLbls>
        <c:gapWidth val="150"/>
        <c:overlap val="100"/>
        <c:axId val="345879656"/>
        <c:axId val="345877696"/>
      </c:barChart>
      <c:catAx>
        <c:axId val="34587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5877696"/>
        <c:crosses val="autoZero"/>
        <c:auto val="1"/>
        <c:lblAlgn val="ctr"/>
        <c:lblOffset val="100"/>
        <c:noMultiLvlLbl val="0"/>
      </c:catAx>
      <c:valAx>
        <c:axId val="345877696"/>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587965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6.png"/></Relationships>
</file>

<file path=xl/drawings/_rels/drawing9.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1361</xdr:colOff>
      <xdr:row>6</xdr:row>
      <xdr:rowOff>44259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2514" y="163286"/>
          <a:ext cx="2373086" cy="8606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17</xdr:col>
      <xdr:colOff>174170</xdr:colOff>
      <xdr:row>0</xdr:row>
      <xdr:rowOff>87086</xdr:rowOff>
    </xdr:from>
    <xdr:to>
      <xdr:col>19</xdr:col>
      <xdr:colOff>521433</xdr:colOff>
      <xdr:row>0</xdr:row>
      <xdr:rowOff>244929</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99913" y="87086"/>
          <a:ext cx="2269612" cy="1578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46</xdr:row>
      <xdr:rowOff>7620</xdr:rowOff>
    </xdr:from>
    <xdr:to>
      <xdr:col>1</xdr:col>
      <xdr:colOff>2285124</xdr:colOff>
      <xdr:row>46</xdr:row>
      <xdr:rowOff>160020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11475720"/>
          <a:ext cx="2266074"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9525</xdr:colOff>
          <xdr:row>3</xdr:row>
          <xdr:rowOff>95250</xdr:rowOff>
        </xdr:from>
        <xdr:to>
          <xdr:col>8</xdr:col>
          <xdr:colOff>1381125</xdr:colOff>
          <xdr:row>5</xdr:row>
          <xdr:rowOff>38100</xdr:rowOff>
        </xdr:to>
        <xdr:sp macro="" textlink="">
          <xdr:nvSpPr>
            <xdr:cNvPr id="62466" name="Button 2" hidden="1">
              <a:extLst>
                <a:ext uri="{63B3BB69-23CF-44E3-9099-C40C66FF867C}">
                  <a14:compatExt spid="_x0000_s62466"/>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0000FF"/>
                  </a:solidFill>
                  <a:latin typeface="Arial"/>
                  <a:cs typeface="Arial"/>
                </a:rPr>
                <a:t>Reset</a:t>
              </a:r>
            </a:p>
            <a:p>
              <a:pPr algn="ctr" rtl="0">
                <a:defRPr sz="1000"/>
              </a:pPr>
              <a:r>
                <a:rPr lang="en-US" sz="1000" b="1" i="0" u="none" strike="noStrike" baseline="0">
                  <a:solidFill>
                    <a:srgbClr val="0000FF"/>
                  </a:solidFill>
                  <a:latin typeface="Arial"/>
                  <a:cs typeface="Arial"/>
                </a:rPr>
                <a:t>Parameters</a:t>
              </a:r>
            </a:p>
          </xdr:txBody>
        </xdr:sp>
        <xdr:clientData fPrintsWithSheet="0"/>
      </xdr:twoCellAnchor>
    </mc:Choice>
    <mc:Fallback/>
  </mc:AlternateContent>
  <xdr:twoCellAnchor>
    <xdr:from>
      <xdr:col>1</xdr:col>
      <xdr:colOff>552450</xdr:colOff>
      <xdr:row>30</xdr:row>
      <xdr:rowOff>152400</xdr:rowOff>
    </xdr:from>
    <xdr:to>
      <xdr:col>6</xdr:col>
      <xdr:colOff>361950</xdr:colOff>
      <xdr:row>50</xdr:row>
      <xdr:rowOff>104775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903816</xdr:colOff>
      <xdr:row>1</xdr:row>
      <xdr:rowOff>44601</xdr:rowOff>
    </xdr:from>
    <xdr:to>
      <xdr:col>6</xdr:col>
      <xdr:colOff>1046903</xdr:colOff>
      <xdr:row>1</xdr:row>
      <xdr:rowOff>197001</xdr:rowOff>
    </xdr:to>
    <xdr:pic>
      <xdr:nvPicPr>
        <xdr:cNvPr id="6" name="Picture 5" descr="MCC horizontal"/>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44845" y="207887"/>
          <a:ext cx="2268522"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337458</xdr:colOff>
      <xdr:row>1</xdr:row>
      <xdr:rowOff>54433</xdr:rowOff>
    </xdr:from>
    <xdr:to>
      <xdr:col>7</xdr:col>
      <xdr:colOff>707550</xdr:colOff>
      <xdr:row>1</xdr:row>
      <xdr:rowOff>206833</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09658" y="326576"/>
          <a:ext cx="226416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21768</xdr:colOff>
      <xdr:row>1</xdr:row>
      <xdr:rowOff>13</xdr:rowOff>
    </xdr:from>
    <xdr:to>
      <xdr:col>10</xdr:col>
      <xdr:colOff>425704</xdr:colOff>
      <xdr:row>1</xdr:row>
      <xdr:rowOff>152403</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84768" y="272156"/>
          <a:ext cx="2256549" cy="1523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704850</xdr:colOff>
      <xdr:row>0</xdr:row>
      <xdr:rowOff>247650</xdr:rowOff>
    </xdr:from>
    <xdr:to>
      <xdr:col>12</xdr:col>
      <xdr:colOff>132951</xdr:colOff>
      <xdr:row>1</xdr:row>
      <xdr:rowOff>133350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39225" y="247650"/>
          <a:ext cx="226416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28575</xdr:colOff>
      <xdr:row>0</xdr:row>
      <xdr:rowOff>257175</xdr:rowOff>
    </xdr:from>
    <xdr:to>
      <xdr:col>9</xdr:col>
      <xdr:colOff>1981</xdr:colOff>
      <xdr:row>1</xdr:row>
      <xdr:rowOff>142875</xdr:rowOff>
    </xdr:to>
    <xdr:pic>
      <xdr:nvPicPr>
        <xdr:cNvPr id="3"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91550" y="257175"/>
          <a:ext cx="226416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200026</xdr:colOff>
      <xdr:row>35</xdr:row>
      <xdr:rowOff>0</xdr:rowOff>
    </xdr:from>
    <xdr:to>
      <xdr:col>8</xdr:col>
      <xdr:colOff>466147</xdr:colOff>
      <xdr:row>50</xdr:row>
      <xdr:rowOff>66362</xdr:rowOff>
    </xdr:to>
    <xdr:pic>
      <xdr:nvPicPr>
        <xdr:cNvPr id="2" name="Picture 1"/>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1" y="5829300"/>
          <a:ext cx="4628571" cy="2495238"/>
        </a:xfrm>
        <a:prstGeom prst="rect">
          <a:avLst/>
        </a:prstGeom>
      </xdr:spPr>
    </xdr:pic>
    <xdr:clientData/>
  </xdr:twoCellAnchor>
  <xdr:twoCellAnchor editAs="oneCell">
    <xdr:from>
      <xdr:col>16</xdr:col>
      <xdr:colOff>349251</xdr:colOff>
      <xdr:row>30</xdr:row>
      <xdr:rowOff>3176</xdr:rowOff>
    </xdr:from>
    <xdr:to>
      <xdr:col>20</xdr:col>
      <xdr:colOff>53745</xdr:colOff>
      <xdr:row>36</xdr:row>
      <xdr:rowOff>54279</xdr:rowOff>
    </xdr:to>
    <xdr:pic>
      <xdr:nvPicPr>
        <xdr:cNvPr id="3" name="Picture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68701" y="15062201"/>
          <a:ext cx="1847619" cy="1022653"/>
        </a:xfrm>
        <a:prstGeom prst="rect">
          <a:avLst/>
        </a:prstGeom>
      </xdr:spPr>
    </xdr:pic>
    <xdr:clientData/>
  </xdr:twoCellAnchor>
  <xdr:twoCellAnchor editAs="oneCell">
    <xdr:from>
      <xdr:col>16</xdr:col>
      <xdr:colOff>349251</xdr:colOff>
      <xdr:row>43</xdr:row>
      <xdr:rowOff>158751</xdr:rowOff>
    </xdr:from>
    <xdr:to>
      <xdr:col>20</xdr:col>
      <xdr:colOff>53745</xdr:colOff>
      <xdr:row>50</xdr:row>
      <xdr:rowOff>47928</xdr:rowOff>
    </xdr:to>
    <xdr:pic>
      <xdr:nvPicPr>
        <xdr:cNvPr id="4" name="Picture 3"/>
        <xdr:cNvPicPr>
          <a:picLocks/>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68701" y="17322801"/>
          <a:ext cx="1847619" cy="1022653"/>
        </a:xfrm>
        <a:prstGeom prst="rect">
          <a:avLst/>
        </a:prstGeom>
      </xdr:spPr>
    </xdr:pic>
    <xdr:clientData/>
  </xdr:twoCellAnchor>
  <xdr:twoCellAnchor editAs="oneCell">
    <xdr:from>
      <xdr:col>16</xdr:col>
      <xdr:colOff>349251</xdr:colOff>
      <xdr:row>59</xdr:row>
      <xdr:rowOff>6351</xdr:rowOff>
    </xdr:from>
    <xdr:to>
      <xdr:col>20</xdr:col>
      <xdr:colOff>53745</xdr:colOff>
      <xdr:row>65</xdr:row>
      <xdr:rowOff>57454</xdr:rowOff>
    </xdr:to>
    <xdr:pic>
      <xdr:nvPicPr>
        <xdr:cNvPr id="5" name="Picture 4"/>
        <xdr:cNvPicPr>
          <a:picLocks/>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568701" y="19761201"/>
          <a:ext cx="1847619" cy="1022653"/>
        </a:xfrm>
        <a:prstGeom prst="rect">
          <a:avLst/>
        </a:prstGeom>
      </xdr:spPr>
    </xdr:pic>
    <xdr:clientData/>
  </xdr:twoCellAnchor>
  <xdr:twoCellAnchor editAs="oneCell">
    <xdr:from>
      <xdr:col>15</xdr:col>
      <xdr:colOff>12547</xdr:colOff>
      <xdr:row>1</xdr:row>
      <xdr:rowOff>47625</xdr:rowOff>
    </xdr:from>
    <xdr:to>
      <xdr:col>18</xdr:col>
      <xdr:colOff>363855</xdr:colOff>
      <xdr:row>2</xdr:row>
      <xdr:rowOff>76200</xdr:rowOff>
    </xdr:to>
    <xdr:pic>
      <xdr:nvPicPr>
        <xdr:cNvPr id="6" name="Picture 5" descr="MCC horizontal"/>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699097" y="304800"/>
          <a:ext cx="1951508"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370114</xdr:colOff>
      <xdr:row>1</xdr:row>
      <xdr:rowOff>21772</xdr:rowOff>
    </xdr:from>
    <xdr:to>
      <xdr:col>1</xdr:col>
      <xdr:colOff>2220686</xdr:colOff>
      <xdr:row>5</xdr:row>
      <xdr:rowOff>55145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0114" y="185058"/>
          <a:ext cx="2373086" cy="8606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489858</xdr:colOff>
      <xdr:row>53</xdr:row>
      <xdr:rowOff>32656</xdr:rowOff>
    </xdr:from>
    <xdr:to>
      <xdr:col>6</xdr:col>
      <xdr:colOff>76200</xdr:colOff>
      <xdr:row>71</xdr:row>
      <xdr:rowOff>141514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Tanzania-1\Peer%20Review\TZA-TD-ERR-021814-bt_update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PROJECTS\232626%20Tanzania%20DD%20MCC%20(GBDPI1DC01)\economic%20analysis\MCC%20TZ%20T&amp;D%20Projects%20econ%20model%20V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ccus-my.sharepoint.com/Users/breitbarthtj/AppData/Local/Microsoft/Windows/Temporary%20Internet%20Files/Content.Outlook/0DMDCUHZ/Water-Sanitation%20Zanzibar%20Rural%20v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Documents%20and%20Settings\DOY25040\Desktop\MCC\Energy%20ERR%20Template%20modified%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ctivity Description"/>
      <sheetName val="CB_DATA_"/>
      <sheetName val="ERR &amp; Sensitivity Analysis"/>
      <sheetName val="Revisions"/>
      <sheetName val="Assumptions"/>
      <sheetName val="Summary"/>
      <sheetName val="Tanga"/>
      <sheetName val="Dodoma"/>
      <sheetName val="Morogoro"/>
      <sheetName val="Iringa"/>
      <sheetName val="Mwanza"/>
      <sheetName val="Mbeya"/>
      <sheetName val="Kigoma"/>
      <sheetName val="WTP"/>
      <sheetName val="LRMC"/>
      <sheetName val="ERR calcs (redundant)"/>
      <sheetName val="Sensitivity"/>
      <sheetName val="Simulation"/>
      <sheetName val="Beneficiaries"/>
      <sheetName val="PovertyScorecard"/>
    </sheetNames>
    <sheetDataSet>
      <sheetData sheetId="0"/>
      <sheetData sheetId="1"/>
      <sheetData sheetId="2"/>
      <sheetData sheetId="3"/>
      <sheetData sheetId="4"/>
      <sheetData sheetId="5">
        <row r="8">
          <cell r="C8">
            <v>0.1</v>
          </cell>
        </row>
        <row r="65">
          <cell r="J65">
            <v>0.22927058408678094</v>
          </cell>
        </row>
        <row r="69">
          <cell r="C69">
            <v>0.01</v>
          </cell>
        </row>
        <row r="75">
          <cell r="C75">
            <v>0.01</v>
          </cell>
        </row>
        <row r="76">
          <cell r="C76">
            <v>0.02</v>
          </cell>
        </row>
      </sheetData>
      <sheetData sheetId="6"/>
      <sheetData sheetId="7"/>
      <sheetData sheetId="8"/>
      <sheetData sheetId="9"/>
      <sheetData sheetId="10"/>
      <sheetData sheetId="11"/>
      <sheetData sheetId="12"/>
      <sheetData sheetId="13"/>
      <sheetData sheetId="14"/>
      <sheetData sheetId="15"/>
      <sheetData sheetId="16">
        <row r="102">
          <cell r="Z102" t="e">
            <v>#DIV/0!</v>
          </cell>
        </row>
      </sheetData>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Results"/>
      <sheetName val="Inputs"/>
      <sheetName val="Tariffs"/>
      <sheetName val="WTP"/>
      <sheetName val="Quality improvement"/>
      <sheetName val="LRMC"/>
      <sheetName val="Social &amp; environmental"/>
      <sheetName val="ERR calcs"/>
      <sheetName val="notes"/>
    </sheetNames>
    <sheetDataSet>
      <sheetData sheetId="0" refreshError="1"/>
      <sheetData sheetId="1" refreshError="1"/>
      <sheetData sheetId="2" refreshError="1">
        <row r="13">
          <cell r="C13">
            <v>0.12</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Summary"/>
      <sheetName val="Assumptions"/>
      <sheetName val="Dunga Tunguu-U"/>
      <sheetName val="Ndagoni"/>
      <sheetName val="Kambini"/>
      <sheetName val="Machui-U"/>
      <sheetName val="Mizingani"/>
      <sheetName val="Vitongoji"/>
      <sheetName val="Wanbaa"/>
      <sheetName val="Nungwi-U"/>
      <sheetName val="Matemwe-U"/>
      <sheetName val="Notes"/>
    </sheetNames>
    <sheetDataSet>
      <sheetData sheetId="0"/>
      <sheetData sheetId="1"/>
      <sheetData sheetId="2">
        <row r="5">
          <cell r="F5">
            <v>2007</v>
          </cell>
        </row>
        <row r="7">
          <cell r="F7">
            <v>1353</v>
          </cell>
        </row>
      </sheetData>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Summary"/>
      <sheetName val="Basics"/>
      <sheetName val="WTP"/>
      <sheetName val="Quality-Improvement"/>
      <sheetName val="LRMC"/>
      <sheetName val="social &amp; environmental benefits"/>
      <sheetName val="Induced Production"/>
      <sheetName val="Benefit Profile"/>
      <sheetName val="Kigoma"/>
      <sheetName val="Mbeya"/>
      <sheetName val="Morogoro"/>
      <sheetName val="Mwanza"/>
      <sheetName val="Tanga"/>
      <sheetName val="Zanzibar"/>
    </sheetNames>
    <sheetDataSet>
      <sheetData sheetId="0"/>
      <sheetData sheetId="1"/>
      <sheetData sheetId="2">
        <row r="8">
          <cell r="G8">
            <v>1300</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E48"/>
  <sheetViews>
    <sheetView showGridLines="0" zoomScale="70" zoomScaleNormal="70" workbookViewId="0"/>
  </sheetViews>
  <sheetFormatPr defaultColWidth="9.1640625" defaultRowHeight="12.75" x14ac:dyDescent="0.2"/>
  <cols>
    <col min="1" max="1" width="7.6640625" style="12" customWidth="1"/>
    <col min="2" max="2" width="36.6640625" style="12" customWidth="1"/>
    <col min="3" max="4" width="54.83203125" style="12" customWidth="1"/>
    <col min="5" max="16384" width="9.1640625" style="12"/>
  </cols>
  <sheetData>
    <row r="1" spans="2:5" x14ac:dyDescent="0.2">
      <c r="D1" s="377" t="s">
        <v>450</v>
      </c>
    </row>
    <row r="2" spans="2:5" ht="13.15" customHeight="1" x14ac:dyDescent="0.2">
      <c r="C2" s="783" t="s">
        <v>83</v>
      </c>
      <c r="D2" s="783"/>
    </row>
    <row r="3" spans="2:5" ht="12.75" customHeight="1" x14ac:dyDescent="0.2">
      <c r="C3" s="783"/>
      <c r="D3" s="783"/>
    </row>
    <row r="4" spans="2:5" ht="13.15" customHeight="1" x14ac:dyDescent="0.2">
      <c r="C4" s="783"/>
      <c r="D4" s="783"/>
    </row>
    <row r="5" spans="2:5" ht="13.15" customHeight="1" x14ac:dyDescent="0.2">
      <c r="C5" s="783"/>
      <c r="D5" s="783"/>
    </row>
    <row r="6" spans="2:5" ht="13.15" customHeight="1" x14ac:dyDescent="0.2">
      <c r="C6" s="784" t="s">
        <v>107</v>
      </c>
      <c r="D6" s="784"/>
    </row>
    <row r="7" spans="2:5" ht="25.5" customHeight="1" x14ac:dyDescent="0.2">
      <c r="C7" s="784"/>
      <c r="D7" s="784"/>
    </row>
    <row r="8" spans="2:5" ht="13.5" thickBot="1" x14ac:dyDescent="0.25"/>
    <row r="9" spans="2:5" s="13" customFormat="1" ht="18" customHeight="1" thickTop="1" x14ac:dyDescent="0.2">
      <c r="B9" s="14" t="s">
        <v>84</v>
      </c>
      <c r="C9" s="15" t="s">
        <v>85</v>
      </c>
      <c r="D9" s="16" t="s">
        <v>86</v>
      </c>
      <c r="E9" s="17"/>
    </row>
    <row r="10" spans="2:5" s="13" customFormat="1" ht="18" customHeight="1" x14ac:dyDescent="0.2">
      <c r="B10" s="18" t="s">
        <v>87</v>
      </c>
      <c r="C10" s="19">
        <v>39318</v>
      </c>
      <c r="D10" s="20">
        <v>41691</v>
      </c>
    </row>
    <row r="11" spans="2:5" s="13" customFormat="1" ht="18" customHeight="1" x14ac:dyDescent="0.2">
      <c r="B11" s="18" t="s">
        <v>88</v>
      </c>
      <c r="C11" s="372" t="s">
        <v>299</v>
      </c>
      <c r="D11" s="21" t="s">
        <v>403</v>
      </c>
    </row>
    <row r="12" spans="2:5" ht="62.45" customHeight="1" x14ac:dyDescent="0.2">
      <c r="B12" s="22" t="s">
        <v>89</v>
      </c>
      <c r="C12" s="23" t="s">
        <v>274</v>
      </c>
      <c r="D12" s="24" t="s">
        <v>274</v>
      </c>
    </row>
    <row r="13" spans="2:5" ht="19.149999999999999" customHeight="1" x14ac:dyDescent="0.2">
      <c r="B13" s="789" t="s">
        <v>90</v>
      </c>
      <c r="C13" s="270" t="s">
        <v>91</v>
      </c>
      <c r="D13" s="24" t="s">
        <v>92</v>
      </c>
    </row>
    <row r="14" spans="2:5" ht="19.149999999999999" customHeight="1" x14ac:dyDescent="0.2">
      <c r="B14" s="790"/>
      <c r="C14" s="271" t="s">
        <v>93</v>
      </c>
      <c r="D14" s="25"/>
    </row>
    <row r="15" spans="2:5" ht="19.149999999999999" customHeight="1" x14ac:dyDescent="0.2">
      <c r="B15" s="790"/>
      <c r="C15" s="271" t="s">
        <v>94</v>
      </c>
      <c r="D15" s="25"/>
    </row>
    <row r="16" spans="2:5" ht="19.149999999999999" customHeight="1" x14ac:dyDescent="0.2">
      <c r="B16" s="791"/>
      <c r="C16" s="272" t="s">
        <v>275</v>
      </c>
      <c r="D16" s="277"/>
    </row>
    <row r="17" spans="2:5" ht="19.899999999999999" customHeight="1" x14ac:dyDescent="0.2">
      <c r="B17" s="785" t="s">
        <v>95</v>
      </c>
      <c r="C17" s="275" t="s">
        <v>96</v>
      </c>
      <c r="D17" s="273" t="s">
        <v>96</v>
      </c>
    </row>
    <row r="18" spans="2:5" ht="19.899999999999999" customHeight="1" x14ac:dyDescent="0.2">
      <c r="B18" s="786"/>
      <c r="C18" s="26"/>
      <c r="D18" s="273" t="s">
        <v>97</v>
      </c>
      <c r="E18" s="27"/>
    </row>
    <row r="19" spans="2:5" ht="19.899999999999999" customHeight="1" x14ac:dyDescent="0.2">
      <c r="B19" s="787"/>
      <c r="C19" s="276"/>
      <c r="D19" s="274" t="s">
        <v>98</v>
      </c>
    </row>
    <row r="20" spans="2:5" ht="18" customHeight="1" thickBot="1" x14ac:dyDescent="0.25">
      <c r="B20" s="28" t="s">
        <v>99</v>
      </c>
      <c r="C20" s="29" t="s">
        <v>276</v>
      </c>
      <c r="D20" s="30" t="s">
        <v>451</v>
      </c>
    </row>
    <row r="21" spans="2:5" ht="18" customHeight="1" thickTop="1" x14ac:dyDescent="0.2">
      <c r="B21" s="31"/>
      <c r="C21" s="32"/>
    </row>
    <row r="22" spans="2:5" x14ac:dyDescent="0.2">
      <c r="B22" s="33" t="s">
        <v>100</v>
      </c>
      <c r="C22" s="279"/>
    </row>
    <row r="23" spans="2:5" x14ac:dyDescent="0.2">
      <c r="B23" s="382" t="s">
        <v>300</v>
      </c>
      <c r="C23" s="34"/>
      <c r="D23" s="35"/>
    </row>
    <row r="24" spans="2:5" ht="13.15" customHeight="1" x14ac:dyDescent="0.2">
      <c r="B24" s="788" t="s">
        <v>101</v>
      </c>
      <c r="C24" s="788"/>
      <c r="D24" s="788"/>
    </row>
    <row r="25" spans="2:5" x14ac:dyDescent="0.2">
      <c r="B25" s="279"/>
      <c r="C25" s="279"/>
      <c r="D25" s="35"/>
    </row>
    <row r="26" spans="2:5" s="36" customFormat="1" x14ac:dyDescent="0.2">
      <c r="B26" s="383" t="s">
        <v>102</v>
      </c>
      <c r="C26" s="37"/>
      <c r="D26" s="38"/>
    </row>
    <row r="27" spans="2:5" s="36" customFormat="1" ht="13.15" customHeight="1" x14ac:dyDescent="0.2">
      <c r="B27" s="782" t="s">
        <v>103</v>
      </c>
      <c r="C27" s="782"/>
      <c r="D27" s="782"/>
    </row>
    <row r="28" spans="2:5" s="36" customFormat="1" x14ac:dyDescent="0.2">
      <c r="B28" s="278"/>
      <c r="C28" s="278"/>
      <c r="D28" s="38"/>
    </row>
    <row r="29" spans="2:5" s="36" customFormat="1" x14ac:dyDescent="0.2">
      <c r="B29" s="39" t="s">
        <v>237</v>
      </c>
      <c r="C29" s="39"/>
      <c r="D29" s="38"/>
    </row>
    <row r="30" spans="2:5" s="36" customFormat="1" x14ac:dyDescent="0.2">
      <c r="B30" s="792" t="s">
        <v>301</v>
      </c>
      <c r="C30" s="792"/>
      <c r="D30" s="792"/>
    </row>
    <row r="31" spans="2:5" s="36" customFormat="1" x14ac:dyDescent="0.2">
      <c r="B31" s="280"/>
      <c r="C31" s="280"/>
      <c r="D31" s="280"/>
    </row>
    <row r="32" spans="2:5" s="36" customFormat="1" x14ac:dyDescent="0.2">
      <c r="B32" s="384" t="s">
        <v>104</v>
      </c>
      <c r="C32" s="373"/>
      <c r="D32" s="374"/>
    </row>
    <row r="33" spans="2:4" s="36" customFormat="1" x14ac:dyDescent="0.2">
      <c r="B33" s="781" t="s">
        <v>306</v>
      </c>
      <c r="C33" s="781"/>
      <c r="D33" s="781"/>
    </row>
    <row r="34" spans="2:4" s="36" customFormat="1" x14ac:dyDescent="0.2">
      <c r="B34" s="375"/>
      <c r="C34" s="375"/>
      <c r="D34" s="375"/>
    </row>
    <row r="35" spans="2:4" x14ac:dyDescent="0.2">
      <c r="B35" s="385" t="s">
        <v>82</v>
      </c>
      <c r="C35" s="376"/>
      <c r="D35" s="376"/>
    </row>
    <row r="36" spans="2:4" x14ac:dyDescent="0.2">
      <c r="B36" s="780" t="s">
        <v>302</v>
      </c>
      <c r="C36" s="780"/>
      <c r="D36" s="780"/>
    </row>
    <row r="37" spans="2:4" x14ac:dyDescent="0.2">
      <c r="B37" s="376"/>
      <c r="C37" s="376"/>
      <c r="D37" s="376"/>
    </row>
    <row r="38" spans="2:4" x14ac:dyDescent="0.2">
      <c r="B38" s="386" t="s">
        <v>38</v>
      </c>
      <c r="C38" s="376"/>
      <c r="D38" s="376"/>
    </row>
    <row r="39" spans="2:4" x14ac:dyDescent="0.2">
      <c r="B39" s="376" t="s">
        <v>303</v>
      </c>
      <c r="C39" s="376"/>
      <c r="D39" s="376"/>
    </row>
    <row r="40" spans="2:4" x14ac:dyDescent="0.2">
      <c r="B40" s="376"/>
      <c r="C40" s="376"/>
      <c r="D40" s="376"/>
    </row>
    <row r="41" spans="2:4" x14ac:dyDescent="0.2">
      <c r="B41" s="386" t="s">
        <v>469</v>
      </c>
      <c r="C41" s="376"/>
      <c r="D41" s="376"/>
    </row>
    <row r="42" spans="2:4" x14ac:dyDescent="0.2">
      <c r="B42" s="376" t="s">
        <v>304</v>
      </c>
      <c r="C42" s="376"/>
      <c r="D42" s="376"/>
    </row>
    <row r="43" spans="2:4" x14ac:dyDescent="0.2">
      <c r="B43" s="376"/>
      <c r="C43" s="376"/>
      <c r="D43" s="376"/>
    </row>
    <row r="44" spans="2:4" x14ac:dyDescent="0.2">
      <c r="B44" s="386" t="s">
        <v>155</v>
      </c>
      <c r="C44" s="376"/>
      <c r="D44" s="376"/>
    </row>
    <row r="45" spans="2:4" x14ac:dyDescent="0.2">
      <c r="B45" s="376" t="s">
        <v>305</v>
      </c>
      <c r="C45" s="376"/>
      <c r="D45" s="376"/>
    </row>
    <row r="46" spans="2:4" x14ac:dyDescent="0.2">
      <c r="B46" s="376"/>
      <c r="C46" s="376"/>
      <c r="D46" s="376"/>
    </row>
    <row r="47" spans="2:4" x14ac:dyDescent="0.2">
      <c r="B47" s="384" t="s">
        <v>105</v>
      </c>
      <c r="C47" s="281"/>
      <c r="D47" s="38"/>
    </row>
    <row r="48" spans="2:4" x14ac:dyDescent="0.2">
      <c r="B48" s="781" t="s">
        <v>106</v>
      </c>
      <c r="C48" s="781"/>
      <c r="D48" s="781"/>
    </row>
  </sheetData>
  <mergeCells count="10">
    <mergeCell ref="B36:D36"/>
    <mergeCell ref="B48:D48"/>
    <mergeCell ref="B27:D27"/>
    <mergeCell ref="C2:D5"/>
    <mergeCell ref="C6:D7"/>
    <mergeCell ref="B17:B19"/>
    <mergeCell ref="B24:D24"/>
    <mergeCell ref="B13:B16"/>
    <mergeCell ref="B30:D30"/>
    <mergeCell ref="B33:D33"/>
  </mergeCells>
  <hyperlinks>
    <hyperlink ref="B26" location="'ERR &amp; Sensitivity Analysis'!A1" display="ERR &amp; Sensitivity Analysis"/>
    <hyperlink ref="B29" location="Assumptions!A1" display="Assumptions"/>
    <hyperlink ref="B23" location="'Activity Description'!A1" display="Activity Description"/>
    <hyperlink ref="B32" location="Summary!A1" display="Summary"/>
    <hyperlink ref="B47" location="'Poverty Scorecard'!A1" display="Poverty Scorecard"/>
    <hyperlink ref="B35" location="WTP!A1" display="WTP"/>
    <hyperlink ref="B38" location="LRMC!A1" display="LRMC"/>
    <hyperlink ref="B44" location="Beneficiaries!A1" display="Beneficiaries"/>
    <hyperlink ref="B41" location="Sensitivity!A1" display="Sensitivity"/>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W226"/>
  <sheetViews>
    <sheetView showGridLines="0" zoomScale="80" zoomScaleNormal="80" workbookViewId="0"/>
  </sheetViews>
  <sheetFormatPr defaultColWidth="9.1640625" defaultRowHeight="12.75" x14ac:dyDescent="0.2"/>
  <cols>
    <col min="1" max="1" width="7.6640625" style="124" customWidth="1"/>
    <col min="2" max="2" width="53.5" style="87" customWidth="1"/>
    <col min="3" max="3" width="14.1640625" style="87" customWidth="1"/>
    <col min="4" max="4" width="2.6640625" style="87" customWidth="1"/>
    <col min="5" max="5" width="10.33203125" style="87" bestFit="1" customWidth="1"/>
    <col min="6" max="6" width="9.6640625" style="87" customWidth="1"/>
    <col min="7" max="8" width="9.6640625" style="87" bestFit="1" customWidth="1"/>
    <col min="9" max="9" width="3" style="87" customWidth="1"/>
    <col min="10" max="10" width="12.5" style="87" bestFit="1" customWidth="1"/>
    <col min="11" max="11" width="35.5" style="87" customWidth="1"/>
    <col min="12" max="16" width="11.1640625" style="87" customWidth="1"/>
    <col min="17" max="17" width="16.1640625" style="87" bestFit="1" customWidth="1"/>
    <col min="18" max="18" width="11.1640625" style="87" customWidth="1"/>
    <col min="19" max="19" width="16.6640625" style="87" customWidth="1"/>
    <col min="20" max="21" width="11.1640625" style="87" customWidth="1"/>
    <col min="22" max="16384" width="9.1640625" style="87"/>
  </cols>
  <sheetData>
    <row r="1" spans="1:21" x14ac:dyDescent="0.2">
      <c r="A1" s="84"/>
      <c r="B1" s="85">
        <v>0</v>
      </c>
      <c r="C1" s="85"/>
      <c r="D1" s="85"/>
      <c r="E1" s="85"/>
      <c r="F1" s="85"/>
      <c r="G1" s="84"/>
      <c r="H1" s="84"/>
      <c r="I1" s="86"/>
      <c r="J1" s="86"/>
      <c r="K1" s="251" t="s">
        <v>450</v>
      </c>
    </row>
    <row r="2" spans="1:21" ht="15.75" x14ac:dyDescent="0.25">
      <c r="A2" s="84"/>
      <c r="B2" s="84"/>
      <c r="C2" s="86"/>
      <c r="D2" s="88"/>
      <c r="E2" s="84"/>
      <c r="F2" s="84"/>
      <c r="G2" s="84"/>
      <c r="H2" s="84"/>
      <c r="I2" s="86"/>
      <c r="J2" s="86"/>
    </row>
    <row r="3" spans="1:21" x14ac:dyDescent="0.2">
      <c r="A3" s="84"/>
      <c r="B3" s="84"/>
      <c r="C3" s="86"/>
      <c r="D3" s="86"/>
      <c r="E3" s="86"/>
      <c r="F3" s="86"/>
      <c r="G3" s="86"/>
      <c r="H3" s="86"/>
      <c r="I3" s="86"/>
      <c r="J3" s="86"/>
    </row>
    <row r="4" spans="1:21" ht="20.25" x14ac:dyDescent="0.3">
      <c r="A4" s="84"/>
      <c r="B4" s="827" t="s">
        <v>105</v>
      </c>
      <c r="C4" s="827"/>
      <c r="D4" s="827"/>
      <c r="E4" s="827"/>
      <c r="F4" s="827"/>
      <c r="G4" s="827"/>
      <c r="H4" s="827"/>
      <c r="I4" s="827"/>
      <c r="J4" s="86"/>
    </row>
    <row r="5" spans="1:21" ht="15.75" x14ac:dyDescent="0.25">
      <c r="A5" s="84"/>
      <c r="B5" s="84"/>
      <c r="C5" s="832"/>
      <c r="D5" s="832"/>
      <c r="E5" s="832"/>
      <c r="F5" s="832"/>
      <c r="G5" s="832"/>
      <c r="H5" s="832"/>
      <c r="I5" s="86"/>
      <c r="J5" s="86"/>
    </row>
    <row r="6" spans="1:21" ht="15.75" x14ac:dyDescent="0.25">
      <c r="A6" s="84"/>
      <c r="B6" s="84"/>
      <c r="C6" s="89"/>
      <c r="D6" s="90"/>
      <c r="E6" s="91"/>
      <c r="F6" s="92"/>
      <c r="G6" s="92"/>
      <c r="H6" s="92"/>
      <c r="I6" s="86"/>
      <c r="J6" s="86"/>
    </row>
    <row r="7" spans="1:21" ht="15.75" x14ac:dyDescent="0.2">
      <c r="A7" s="84"/>
      <c r="B7" s="833" t="s">
        <v>140</v>
      </c>
      <c r="C7" s="833"/>
      <c r="D7" s="833"/>
      <c r="E7" s="833"/>
      <c r="F7" s="833"/>
      <c r="G7" s="833"/>
      <c r="H7" s="833"/>
      <c r="I7" s="86"/>
      <c r="J7" s="86"/>
    </row>
    <row r="8" spans="1:21" ht="15.75" thickBot="1" x14ac:dyDescent="0.25">
      <c r="A8" s="84"/>
      <c r="B8" s="834"/>
      <c r="C8" s="834"/>
      <c r="D8" s="834"/>
      <c r="E8" s="834"/>
      <c r="F8" s="834"/>
      <c r="G8" s="834"/>
      <c r="H8" s="834"/>
      <c r="I8" s="86"/>
      <c r="J8" s="86"/>
      <c r="K8" s="93" t="s">
        <v>141</v>
      </c>
      <c r="L8" s="94"/>
      <c r="M8" s="94"/>
    </row>
    <row r="9" spans="1:21" ht="33.75" x14ac:dyDescent="0.2">
      <c r="A9" s="84"/>
      <c r="B9" s="95"/>
      <c r="C9" s="96" t="s">
        <v>142</v>
      </c>
      <c r="D9" s="97"/>
      <c r="E9" s="97" t="s">
        <v>143</v>
      </c>
      <c r="F9" s="98"/>
      <c r="G9" s="98"/>
      <c r="H9" s="98"/>
      <c r="I9" s="99"/>
      <c r="J9" s="86"/>
      <c r="K9" s="100" t="s">
        <v>144</v>
      </c>
      <c r="L9" s="101" t="s">
        <v>107</v>
      </c>
      <c r="M9" s="102" t="s">
        <v>145</v>
      </c>
      <c r="N9" s="103"/>
      <c r="O9" s="103"/>
      <c r="P9" s="103"/>
    </row>
    <row r="10" spans="1:21" x14ac:dyDescent="0.2">
      <c r="A10" s="84"/>
      <c r="B10" s="104" t="s">
        <v>146</v>
      </c>
      <c r="C10" s="105">
        <f>Assumptions!F15/10^6</f>
        <v>67.825391261833119</v>
      </c>
      <c r="D10" s="106"/>
      <c r="E10" s="107">
        <f>C10*(99.991/106.442)</f>
        <v>63.714780797635861</v>
      </c>
      <c r="F10" s="106"/>
      <c r="G10" s="106"/>
      <c r="H10" s="106"/>
      <c r="I10" s="108"/>
      <c r="J10" s="86"/>
      <c r="K10" s="109" t="s">
        <v>147</v>
      </c>
      <c r="L10" s="110">
        <f>E33</f>
        <v>5.2748357400476058E-2</v>
      </c>
      <c r="M10" s="417">
        <f>R18</f>
        <v>0.12986127040254</v>
      </c>
      <c r="N10" s="111"/>
      <c r="O10" s="111"/>
      <c r="P10" s="111"/>
    </row>
    <row r="11" spans="1:21" x14ac:dyDescent="0.2">
      <c r="A11" s="84"/>
      <c r="B11" s="104" t="s">
        <v>148</v>
      </c>
      <c r="C11" s="112">
        <f>'ERR Calculations'!F7</f>
        <v>0.2563449649750793</v>
      </c>
      <c r="D11" s="106"/>
      <c r="E11" s="107"/>
      <c r="F11" s="106"/>
      <c r="G11" s="106"/>
      <c r="H11" s="106"/>
      <c r="I11" s="108"/>
      <c r="J11" s="86"/>
      <c r="K11" s="109" t="s">
        <v>149</v>
      </c>
      <c r="L11" s="110">
        <f>F33-E33</f>
        <v>0.29345533199799728</v>
      </c>
      <c r="M11" s="418">
        <f t="shared" ref="M11:M13" si="0">R19</f>
        <v>0.20797313119002922</v>
      </c>
      <c r="N11" s="111"/>
      <c r="O11" s="111"/>
      <c r="P11" s="111"/>
    </row>
    <row r="12" spans="1:21" x14ac:dyDescent="0.2">
      <c r="A12" s="84"/>
      <c r="B12" s="257" t="s">
        <v>150</v>
      </c>
      <c r="C12" s="114">
        <f>'ERR Calculations'!F10</f>
        <v>52.140918064175771</v>
      </c>
      <c r="D12" s="106"/>
      <c r="E12" s="107">
        <f t="shared" ref="E12:E13" si="1">C12*(99.991/106.442)</f>
        <v>48.980877267948742</v>
      </c>
      <c r="F12" s="106"/>
      <c r="G12" s="106"/>
      <c r="H12" s="106"/>
      <c r="I12" s="108"/>
      <c r="J12" s="86"/>
      <c r="K12" s="109" t="s">
        <v>151</v>
      </c>
      <c r="L12" s="110">
        <f>G33</f>
        <v>0.98817982210194155</v>
      </c>
      <c r="M12" s="418">
        <f t="shared" si="0"/>
        <v>0.30390330026229645</v>
      </c>
      <c r="N12" s="111"/>
      <c r="O12" s="111"/>
      <c r="P12" s="111"/>
    </row>
    <row r="13" spans="1:21" x14ac:dyDescent="0.2">
      <c r="A13" s="84"/>
      <c r="B13" s="113" t="s">
        <v>152</v>
      </c>
      <c r="C13" s="105">
        <f>'ERR Calculations'!F11</f>
        <v>137.67126735103619</v>
      </c>
      <c r="D13" s="106"/>
      <c r="E13" s="107">
        <f t="shared" si="1"/>
        <v>129.32759337195338</v>
      </c>
      <c r="F13" s="106"/>
      <c r="G13" s="106"/>
      <c r="H13" s="106"/>
      <c r="I13" s="108"/>
      <c r="J13" s="86"/>
      <c r="K13" s="115" t="s">
        <v>153</v>
      </c>
      <c r="L13" s="116">
        <f>H33</f>
        <v>0.69513339209929681</v>
      </c>
      <c r="M13" s="419">
        <f t="shared" si="0"/>
        <v>0.35826229814513438</v>
      </c>
      <c r="N13" s="111"/>
      <c r="O13" s="111"/>
      <c r="P13" s="111"/>
    </row>
    <row r="14" spans="1:21" x14ac:dyDescent="0.2">
      <c r="A14" s="84"/>
      <c r="B14" s="117"/>
      <c r="C14" s="106"/>
      <c r="D14" s="106"/>
      <c r="E14" s="835" t="s">
        <v>154</v>
      </c>
      <c r="F14" s="835"/>
      <c r="G14" s="835"/>
      <c r="H14" s="835"/>
      <c r="I14" s="108"/>
      <c r="J14" s="86"/>
    </row>
    <row r="15" spans="1:21" ht="13.5" x14ac:dyDescent="0.2">
      <c r="A15" s="84"/>
      <c r="B15" s="118" t="s">
        <v>155</v>
      </c>
      <c r="C15" s="119" t="s">
        <v>55</v>
      </c>
      <c r="D15" s="120"/>
      <c r="E15" s="119" t="s">
        <v>156</v>
      </c>
      <c r="F15" s="119" t="s">
        <v>157</v>
      </c>
      <c r="G15" s="119" t="s">
        <v>158</v>
      </c>
      <c r="H15" s="119" t="s">
        <v>159</v>
      </c>
      <c r="I15" s="108"/>
      <c r="J15" s="86"/>
    </row>
    <row r="16" spans="1:21" x14ac:dyDescent="0.2">
      <c r="A16" s="84"/>
      <c r="B16" s="121"/>
      <c r="C16" s="122"/>
      <c r="D16" s="123"/>
      <c r="E16" s="122"/>
      <c r="F16" s="122"/>
      <c r="G16" s="122"/>
      <c r="H16" s="122"/>
      <c r="I16" s="108"/>
      <c r="J16" s="86"/>
      <c r="K16" s="87" t="s">
        <v>160</v>
      </c>
      <c r="S16" s="124"/>
      <c r="T16" s="124"/>
      <c r="U16" s="124"/>
    </row>
    <row r="17" spans="1:22" ht="45" x14ac:dyDescent="0.2">
      <c r="A17" s="84"/>
      <c r="B17" s="125" t="s">
        <v>161</v>
      </c>
      <c r="C17" s="126">
        <f>Beneficiaries!AE22</f>
        <v>176357.3984640078</v>
      </c>
      <c r="D17" s="127"/>
      <c r="E17" s="128"/>
      <c r="F17" s="128"/>
      <c r="G17" s="128"/>
      <c r="H17" s="128"/>
      <c r="I17" s="108"/>
      <c r="J17" s="86"/>
      <c r="K17" s="129" t="s">
        <v>162</v>
      </c>
      <c r="L17" s="130" t="s">
        <v>163</v>
      </c>
      <c r="M17" s="130" t="s">
        <v>164</v>
      </c>
      <c r="N17" s="130" t="s">
        <v>165</v>
      </c>
      <c r="O17" s="130" t="s">
        <v>166</v>
      </c>
      <c r="P17" s="130" t="s">
        <v>167</v>
      </c>
      <c r="Q17" s="130" t="s">
        <v>168</v>
      </c>
      <c r="R17" s="131" t="s">
        <v>169</v>
      </c>
      <c r="S17" s="132"/>
      <c r="T17" s="132"/>
      <c r="U17" s="132"/>
    </row>
    <row r="18" spans="1:22" x14ac:dyDescent="0.2">
      <c r="A18" s="84"/>
      <c r="B18" s="133" t="s">
        <v>170</v>
      </c>
      <c r="C18" s="134">
        <f>Beneficiaries!AE26</f>
        <v>904111.77779696882</v>
      </c>
      <c r="D18" s="127"/>
      <c r="E18" s="135"/>
      <c r="F18" s="135"/>
      <c r="G18" s="135"/>
      <c r="H18" s="135"/>
      <c r="I18" s="108"/>
      <c r="J18" s="86"/>
      <c r="K18" s="136" t="s">
        <v>171</v>
      </c>
      <c r="L18" s="137">
        <v>0.28010000000000002</v>
      </c>
      <c r="M18" s="138">
        <v>5.8737269999999997</v>
      </c>
      <c r="N18" s="137">
        <f>(L18*M18)/SUMPRODUCT(L$18:L$21,M$18:M$21)</f>
        <v>0.33714634305726604</v>
      </c>
      <c r="O18" s="139">
        <f>N18*Beneficiaries!$AE$6</f>
        <v>23199122.549665727</v>
      </c>
      <c r="P18" s="140">
        <v>0.88483239999999996</v>
      </c>
      <c r="Q18" s="141">
        <f>O18*P18</f>
        <v>20527335.283514842</v>
      </c>
      <c r="R18" s="142">
        <f>Q18/SUM(Q$18:Q$21)</f>
        <v>0.12986127040254</v>
      </c>
      <c r="S18" s="143"/>
      <c r="T18" s="144"/>
      <c r="U18" s="144"/>
    </row>
    <row r="19" spans="1:22" ht="13.5" x14ac:dyDescent="0.2">
      <c r="A19" s="84"/>
      <c r="B19" s="133" t="s">
        <v>172</v>
      </c>
      <c r="C19" s="134">
        <f>Beneficiaries!AE6</f>
        <v>68810245.246306106</v>
      </c>
      <c r="D19" s="127"/>
      <c r="E19" s="145"/>
      <c r="F19" s="145"/>
      <c r="G19" s="145"/>
      <c r="H19" s="145"/>
      <c r="I19" s="108"/>
      <c r="J19" s="86"/>
      <c r="K19" s="136" t="s">
        <v>173</v>
      </c>
      <c r="L19" s="137">
        <v>0.2661</v>
      </c>
      <c r="M19" s="138">
        <v>5.5066410000000001</v>
      </c>
      <c r="N19" s="137">
        <f>(L19*M19)/SUMPRODUCT(L$18:L$21,M$18:M$21)</f>
        <v>0.30027780021585587</v>
      </c>
      <c r="O19" s="139">
        <f>N19*Beneficiaries!$AE$6</f>
        <v>20662189.074874353</v>
      </c>
      <c r="P19" s="140">
        <v>1.5910500000000001</v>
      </c>
      <c r="Q19" s="141">
        <f t="shared" ref="Q19:Q21" si="2">O19*P19</f>
        <v>32874575.92757884</v>
      </c>
      <c r="R19" s="142">
        <f>Q19/SUM(Q$18:Q$21)</f>
        <v>0.20797313119002922</v>
      </c>
      <c r="S19" s="146"/>
      <c r="T19" s="144"/>
      <c r="U19" s="144"/>
    </row>
    <row r="20" spans="1:22" x14ac:dyDescent="0.2">
      <c r="A20" s="84"/>
      <c r="B20" s="133"/>
      <c r="C20" s="147"/>
      <c r="D20" s="127"/>
      <c r="E20" s="145"/>
      <c r="F20" s="145"/>
      <c r="G20" s="145"/>
      <c r="H20" s="145"/>
      <c r="I20" s="108"/>
      <c r="J20" s="86"/>
      <c r="K20" s="136" t="s">
        <v>174</v>
      </c>
      <c r="L20" s="137">
        <v>0.27439999999999998</v>
      </c>
      <c r="M20" s="138">
        <v>4.5063510000000004</v>
      </c>
      <c r="N20" s="137">
        <f>(L20*M20)/SUMPRODUCT(L$18:L$21,M$18:M$21)</f>
        <v>0.25339655722974685</v>
      </c>
      <c r="O20" s="139">
        <f>N20*Beneficiaries!$AE$6</f>
        <v>17436279.247548521</v>
      </c>
      <c r="P20" s="140">
        <v>2.7550819999999998</v>
      </c>
      <c r="Q20" s="141">
        <f t="shared" si="2"/>
        <v>48038379.101894468</v>
      </c>
      <c r="R20" s="142">
        <f>Q20/SUM(Q$18:Q$21)</f>
        <v>0.30390330026229645</v>
      </c>
      <c r="S20" s="143"/>
      <c r="T20" s="144"/>
      <c r="U20" s="144"/>
    </row>
    <row r="21" spans="1:22" ht="13.5" x14ac:dyDescent="0.2">
      <c r="A21" s="84"/>
      <c r="B21" s="133" t="s">
        <v>175</v>
      </c>
      <c r="C21" s="127"/>
      <c r="D21" s="127"/>
      <c r="E21" s="148">
        <f>N26</f>
        <v>7.8082841199444211E-2</v>
      </c>
      <c r="F21" s="148">
        <f>N30</f>
        <v>0.37212249801802444</v>
      </c>
      <c r="G21" s="148">
        <f>N28</f>
        <v>0.45795374790963195</v>
      </c>
      <c r="H21" s="148">
        <f>N29</f>
        <v>0.1699237540723437</v>
      </c>
      <c r="I21" s="149"/>
      <c r="J21" s="150"/>
      <c r="K21" s="136" t="s">
        <v>176</v>
      </c>
      <c r="L21" s="137">
        <v>0.17929999999999999</v>
      </c>
      <c r="M21" s="138">
        <v>2.9714499999999999</v>
      </c>
      <c r="N21" s="137">
        <f>(L21*M21)/SUMPRODUCT(L$18:L$21,M$18:M$21)</f>
        <v>0.10917929949713137</v>
      </c>
      <c r="O21" s="139">
        <f>N21*Beneficiaries!$AE$6</f>
        <v>7512654.3742175149</v>
      </c>
      <c r="P21" s="140">
        <v>7.5380779999999996</v>
      </c>
      <c r="Q21" s="141">
        <f t="shared" si="2"/>
        <v>56630974.659892812</v>
      </c>
      <c r="R21" s="142">
        <f>Q21/SUM(Q$18:Q$21)</f>
        <v>0.35826229814513438</v>
      </c>
      <c r="S21" s="146"/>
      <c r="T21" s="144"/>
      <c r="U21" s="144"/>
    </row>
    <row r="22" spans="1:22" ht="13.5" x14ac:dyDescent="0.2">
      <c r="A22" s="84"/>
      <c r="B22" s="151" t="s">
        <v>177</v>
      </c>
      <c r="C22" s="152"/>
      <c r="D22" s="152"/>
      <c r="E22" s="153">
        <f>M10</f>
        <v>0.12986127040254</v>
      </c>
      <c r="F22" s="153">
        <f>M10+M11</f>
        <v>0.33783440159256922</v>
      </c>
      <c r="G22" s="153">
        <f>M12</f>
        <v>0.30390330026229645</v>
      </c>
      <c r="H22" s="153">
        <f>M13</f>
        <v>0.35826229814513438</v>
      </c>
      <c r="I22" s="108"/>
      <c r="J22" s="150"/>
      <c r="K22" s="154" t="s">
        <v>178</v>
      </c>
      <c r="L22" s="155">
        <f>L18+L19</f>
        <v>0.54620000000000002</v>
      </c>
      <c r="M22" s="156">
        <v>5.701308</v>
      </c>
      <c r="N22" s="155">
        <f>N18+N19</f>
        <v>0.63742414327312191</v>
      </c>
      <c r="O22" s="259">
        <f>N22*Beneficiaries!$AE$6</f>
        <v>43861311.624540083</v>
      </c>
      <c r="P22" s="156">
        <v>1.206834</v>
      </c>
      <c r="Q22" s="157">
        <f>O22*P22</f>
        <v>52933322.153090201</v>
      </c>
      <c r="R22" s="158">
        <f>R18+R19</f>
        <v>0.33783440159256922</v>
      </c>
      <c r="S22" s="146"/>
      <c r="T22" s="144"/>
      <c r="U22" s="144"/>
    </row>
    <row r="23" spans="1:22" x14ac:dyDescent="0.2">
      <c r="A23" s="159"/>
      <c r="B23" s="160"/>
      <c r="C23" s="161"/>
      <c r="D23" s="161"/>
      <c r="E23" s="162"/>
      <c r="F23" s="163"/>
      <c r="G23" s="163"/>
      <c r="H23" s="163"/>
      <c r="I23" s="108"/>
      <c r="J23" s="86"/>
      <c r="L23" s="164">
        <f>SUM(L18:L21)</f>
        <v>0.99990000000000001</v>
      </c>
      <c r="N23" s="164">
        <f>SUM(N18:N21)</f>
        <v>1.0000000000000002</v>
      </c>
      <c r="R23" s="164">
        <f>SUM(R18:R21)</f>
        <v>1</v>
      </c>
    </row>
    <row r="24" spans="1:22" ht="13.5" x14ac:dyDescent="0.2">
      <c r="A24" s="84"/>
      <c r="B24" s="118" t="s">
        <v>179</v>
      </c>
      <c r="C24" s="119"/>
      <c r="D24" s="120"/>
      <c r="E24" s="119"/>
      <c r="F24" s="119"/>
      <c r="G24" s="119"/>
      <c r="H24" s="119"/>
      <c r="I24" s="108"/>
      <c r="J24" s="86"/>
      <c r="K24" s="3" t="s">
        <v>449</v>
      </c>
      <c r="L24" s="165"/>
      <c r="M24" s="94"/>
      <c r="N24" s="166"/>
      <c r="O24" s="166"/>
      <c r="P24" s="166"/>
      <c r="Q24" s="166"/>
      <c r="R24" s="146"/>
      <c r="S24" s="146"/>
      <c r="T24" s="144"/>
      <c r="U24" s="144"/>
    </row>
    <row r="25" spans="1:22" ht="45" x14ac:dyDescent="0.2">
      <c r="A25" s="84"/>
      <c r="B25" s="133" t="s">
        <v>180</v>
      </c>
      <c r="C25" s="167">
        <f>(C13*10^6)/C18</f>
        <v>152.272396767684</v>
      </c>
      <c r="D25" s="168"/>
      <c r="E25" s="167">
        <f>C25*U26</f>
        <v>3.9571190940836494</v>
      </c>
      <c r="F25" s="167">
        <f>C25*U30</f>
        <v>25.971789403029636</v>
      </c>
      <c r="G25" s="167">
        <f>C25*U28</f>
        <v>74.13207605195467</v>
      </c>
      <c r="H25" s="167">
        <f>C25*T29</f>
        <v>52.148081084823282</v>
      </c>
      <c r="I25" s="108"/>
      <c r="J25" s="169"/>
      <c r="K25" s="264"/>
      <c r="L25" s="130" t="s">
        <v>181</v>
      </c>
      <c r="M25" s="130" t="s">
        <v>164</v>
      </c>
      <c r="N25" s="265" t="s">
        <v>196</v>
      </c>
      <c r="O25" s="265" t="s">
        <v>182</v>
      </c>
      <c r="P25" s="265" t="s">
        <v>167</v>
      </c>
      <c r="Q25" s="265" t="s">
        <v>168</v>
      </c>
      <c r="R25" s="265" t="s">
        <v>169</v>
      </c>
      <c r="S25" s="265" t="s">
        <v>183</v>
      </c>
      <c r="T25" s="265" t="s">
        <v>184</v>
      </c>
      <c r="U25" s="265" t="s">
        <v>197</v>
      </c>
      <c r="V25" s="266" t="s">
        <v>185</v>
      </c>
    </row>
    <row r="26" spans="1:22" x14ac:dyDescent="0.2">
      <c r="A26" s="84"/>
      <c r="B26" s="133" t="s">
        <v>186</v>
      </c>
      <c r="C26" s="170">
        <f>C25*(99.991/106.442)</f>
        <v>143.04381001106231</v>
      </c>
      <c r="D26" s="170"/>
      <c r="E26" s="170">
        <f>E25*(99.991/106.442)</f>
        <v>3.7172948209965826</v>
      </c>
      <c r="F26" s="170">
        <f t="shared" ref="F26:H26" si="3">F25*(99.991/106.442)</f>
        <v>24.397748954344493</v>
      </c>
      <c r="G26" s="170">
        <f t="shared" si="3"/>
        <v>69.63924406259747</v>
      </c>
      <c r="H26" s="170">
        <f t="shared" si="3"/>
        <v>48.987606168172015</v>
      </c>
      <c r="I26" s="171"/>
      <c r="J26" s="169"/>
      <c r="K26" s="136" t="s">
        <v>171</v>
      </c>
      <c r="L26" s="166">
        <v>7.1400000000000005E-2</v>
      </c>
      <c r="M26" s="754">
        <v>6.2460339999999999</v>
      </c>
      <c r="N26" s="137">
        <f>(L26*M26)/SUMPRODUCT(L$26:L$29,M$26:M$29)</f>
        <v>7.8082841199444211E-2</v>
      </c>
      <c r="O26" s="139">
        <f>N26*C$18</f>
        <v>70595.616372267905</v>
      </c>
      <c r="P26" s="754">
        <v>1.034888</v>
      </c>
      <c r="Q26" s="141">
        <f>O26*P26</f>
        <v>73058.556236263583</v>
      </c>
      <c r="R26" s="137">
        <f>Q26/SUM(Q$26:Q$29)</f>
        <v>2.6931334891222149E-2</v>
      </c>
      <c r="S26" s="757">
        <v>774000000</v>
      </c>
      <c r="T26" s="137">
        <f>S26/SUM(S$26:S$29)</f>
        <v>2.5987107171635777E-2</v>
      </c>
      <c r="U26" s="137">
        <f>T26/SUM(T$26:T$29)</f>
        <v>2.5987107171635777E-2</v>
      </c>
      <c r="V26" s="829">
        <v>0.51200000000000001</v>
      </c>
    </row>
    <row r="27" spans="1:22" x14ac:dyDescent="0.2">
      <c r="A27" s="84"/>
      <c r="B27" s="173" t="s">
        <v>187</v>
      </c>
      <c r="C27" s="174">
        <f>C25/(SUMPRODUCT(N26:N29,P26:P29)*365)</f>
        <v>0.13903919375469145</v>
      </c>
      <c r="D27" s="175"/>
      <c r="E27" s="153">
        <f>E26/(P26*365)</f>
        <v>9.841035331932901E-3</v>
      </c>
      <c r="F27" s="153">
        <f>F26/(P27*365)</f>
        <v>4.0152208279544417E-2</v>
      </c>
      <c r="G27" s="153">
        <f>G26/(P28*365)</f>
        <v>6.6835156363522122E-2</v>
      </c>
      <c r="H27" s="153">
        <f>H26/(P29*365)</f>
        <v>2.0310432821059279E-2</v>
      </c>
      <c r="I27" s="108"/>
      <c r="J27" s="176"/>
      <c r="K27" s="136" t="s">
        <v>173</v>
      </c>
      <c r="L27" s="166">
        <v>0.21829999999999999</v>
      </c>
      <c r="M27" s="754">
        <v>7.69306</v>
      </c>
      <c r="N27" s="137">
        <f t="shared" ref="N27:N29" si="4">(L27*M27)/SUMPRODUCT(L$26:L$29,M$26:M$29)</f>
        <v>0.29403965681858024</v>
      </c>
      <c r="O27" s="139">
        <f t="shared" ref="O27:O30" si="5">N27*C$18</f>
        <v>265844.71686905721</v>
      </c>
      <c r="P27" s="754">
        <v>1.664744</v>
      </c>
      <c r="Q27" s="141">
        <f t="shared" ref="Q27:Q30" si="6">O27*P27</f>
        <v>442563.39733946178</v>
      </c>
      <c r="R27" s="137">
        <f>Q27/SUM(Q$26:Q$29)</f>
        <v>0.16314068711954635</v>
      </c>
      <c r="S27" s="757">
        <v>4310000000</v>
      </c>
      <c r="T27" s="137">
        <f t="shared" ref="T27:T30" si="7">S27/SUM(S$26:S$29)</f>
        <v>0.14470856835885038</v>
      </c>
      <c r="U27" s="137">
        <f>T27/SUM(T$26:T$29)</f>
        <v>0.14470856835885038</v>
      </c>
      <c r="V27" s="830"/>
    </row>
    <row r="28" spans="1:22" x14ac:dyDescent="0.2">
      <c r="A28" s="84"/>
      <c r="B28" s="177"/>
      <c r="C28" s="161"/>
      <c r="D28" s="161"/>
      <c r="E28" s="178"/>
      <c r="F28" s="178"/>
      <c r="G28" s="178"/>
      <c r="H28" s="178"/>
      <c r="I28" s="108"/>
      <c r="J28" s="86"/>
      <c r="K28" s="136" t="s">
        <v>174</v>
      </c>
      <c r="L28" s="166">
        <v>0.48</v>
      </c>
      <c r="M28" s="754">
        <v>5.4491319999999996</v>
      </c>
      <c r="N28" s="137">
        <f t="shared" si="4"/>
        <v>0.45795374790963195</v>
      </c>
      <c r="O28" s="139">
        <f t="shared" si="5"/>
        <v>414041.37717136223</v>
      </c>
      <c r="P28" s="754">
        <v>2.8546719999999999</v>
      </c>
      <c r="Q28" s="141">
        <f t="shared" si="6"/>
        <v>1181952.3262525268</v>
      </c>
      <c r="R28" s="137">
        <f>Q28/SUM(Q$26:Q$29)</f>
        <v>0.4356991920402315</v>
      </c>
      <c r="S28" s="757">
        <v>14500000000</v>
      </c>
      <c r="T28" s="137">
        <f t="shared" si="7"/>
        <v>0.48683857104485628</v>
      </c>
      <c r="U28" s="137">
        <f>T28/SUM(T$26:T$29)</f>
        <v>0.48683857104485628</v>
      </c>
      <c r="V28" s="830"/>
    </row>
    <row r="29" spans="1:22" x14ac:dyDescent="0.2">
      <c r="A29" s="84"/>
      <c r="B29" s="118" t="s">
        <v>188</v>
      </c>
      <c r="C29" s="179"/>
      <c r="D29" s="179"/>
      <c r="E29" s="180"/>
      <c r="F29" s="180"/>
      <c r="G29" s="180"/>
      <c r="H29" s="180"/>
      <c r="I29" s="108"/>
      <c r="J29" s="86"/>
      <c r="K29" s="136" t="s">
        <v>176</v>
      </c>
      <c r="L29" s="755">
        <v>0.2303</v>
      </c>
      <c r="M29" s="754">
        <v>4.2141219999999997</v>
      </c>
      <c r="N29" s="137">
        <f t="shared" si="4"/>
        <v>0.1699237540723437</v>
      </c>
      <c r="O29" s="139">
        <f t="shared" si="5"/>
        <v>153630.06738428157</v>
      </c>
      <c r="P29" s="754">
        <v>6.6080629999999996</v>
      </c>
      <c r="Q29" s="141">
        <f t="shared" si="6"/>
        <v>1015197.1639695778</v>
      </c>
      <c r="R29" s="137">
        <f>Q29/SUM(Q$26:Q$29)</f>
        <v>0.374228785949</v>
      </c>
      <c r="S29" s="758">
        <v>10200000000</v>
      </c>
      <c r="T29" s="137">
        <f t="shared" si="7"/>
        <v>0.34246575342465752</v>
      </c>
      <c r="U29" s="137">
        <f>T29/SUM(T$26:T$29)</f>
        <v>0.34246575342465752</v>
      </c>
      <c r="V29" s="830"/>
    </row>
    <row r="30" spans="1:22" x14ac:dyDescent="0.2">
      <c r="A30" s="84"/>
      <c r="B30" s="117"/>
      <c r="C30" s="181"/>
      <c r="D30" s="181"/>
      <c r="E30" s="182"/>
      <c r="F30" s="182"/>
      <c r="G30" s="182"/>
      <c r="H30" s="182"/>
      <c r="I30" s="108"/>
      <c r="J30" s="86"/>
      <c r="K30" s="154" t="s">
        <v>178</v>
      </c>
      <c r="L30" s="230">
        <f>L26+L27</f>
        <v>0.28970000000000001</v>
      </c>
      <c r="M30" s="258">
        <v>7.336347</v>
      </c>
      <c r="N30" s="155">
        <f>N26+N27</f>
        <v>0.37212249801802444</v>
      </c>
      <c r="O30" s="259">
        <f t="shared" si="5"/>
        <v>336440.3332413251</v>
      </c>
      <c r="P30" s="258">
        <v>1.5094749999999999</v>
      </c>
      <c r="Q30" s="267">
        <f t="shared" si="6"/>
        <v>507848.27201944916</v>
      </c>
      <c r="R30" s="230">
        <f>Q30/SUM(Q$26:Q$29)</f>
        <v>0.18720643538936363</v>
      </c>
      <c r="S30" s="268">
        <v>5080000000</v>
      </c>
      <c r="T30" s="230">
        <f t="shared" si="7"/>
        <v>0.17056137523502551</v>
      </c>
      <c r="U30" s="230">
        <f>T30/SUM(T$26:T$29)</f>
        <v>0.17056137523502551</v>
      </c>
      <c r="V30" s="831"/>
    </row>
    <row r="31" spans="1:22" x14ac:dyDescent="0.2">
      <c r="A31" s="84"/>
      <c r="B31" s="117"/>
      <c r="C31" s="183"/>
      <c r="D31" s="181"/>
      <c r="E31" s="182"/>
      <c r="F31" s="182"/>
      <c r="G31" s="182"/>
      <c r="H31" s="182"/>
      <c r="I31" s="108"/>
      <c r="J31" s="86"/>
      <c r="K31" s="184"/>
      <c r="L31" s="185"/>
      <c r="M31" s="186"/>
      <c r="N31" s="219"/>
      <c r="O31" s="124"/>
      <c r="P31" s="220"/>
      <c r="Q31" s="219"/>
      <c r="R31" s="219"/>
      <c r="S31" s="221"/>
      <c r="T31" s="137"/>
      <c r="U31" s="219"/>
      <c r="V31" s="124"/>
    </row>
    <row r="32" spans="1:22" x14ac:dyDescent="0.2">
      <c r="A32" s="84"/>
      <c r="B32" s="189" t="s">
        <v>189</v>
      </c>
      <c r="C32" s="190">
        <f>(C13*10^6)/Assumptions!H15</f>
        <v>1.9776254656193439</v>
      </c>
      <c r="D32" s="181"/>
      <c r="E32" s="182"/>
      <c r="F32" s="182"/>
      <c r="G32" s="182"/>
      <c r="H32" s="182"/>
      <c r="I32" s="108"/>
      <c r="J32" s="86"/>
      <c r="L32" s="164"/>
      <c r="M32" s="164"/>
      <c r="N32" s="210"/>
      <c r="O32" s="225"/>
      <c r="P32" s="225"/>
      <c r="Q32" s="225"/>
      <c r="R32" s="6"/>
      <c r="S32" s="6"/>
      <c r="T32" s="6"/>
      <c r="U32" s="6"/>
      <c r="V32" s="226"/>
    </row>
    <row r="33" spans="1:23" x14ac:dyDescent="0.2">
      <c r="A33" s="84"/>
      <c r="B33" s="151" t="s">
        <v>190</v>
      </c>
      <c r="C33" s="191">
        <f>C13/C10</f>
        <v>2.0297895049299468</v>
      </c>
      <c r="D33" s="192"/>
      <c r="E33" s="193">
        <f>C33*T26</f>
        <v>5.2748357400476058E-2</v>
      </c>
      <c r="F33" s="193">
        <f>C33*T30</f>
        <v>0.34620368939847335</v>
      </c>
      <c r="G33" s="193">
        <f>C33*T28</f>
        <v>0.98817982210194155</v>
      </c>
      <c r="H33" s="193">
        <f>C33*T29</f>
        <v>0.69513339209929681</v>
      </c>
      <c r="I33" s="108"/>
      <c r="J33" s="194"/>
      <c r="K33" s="3"/>
      <c r="L33" s="165"/>
      <c r="M33" s="94"/>
      <c r="N33" s="166"/>
      <c r="O33" s="166"/>
      <c r="P33" s="166"/>
      <c r="Q33" s="166"/>
      <c r="R33" s="195"/>
      <c r="S33" s="196"/>
      <c r="T33" s="195"/>
      <c r="U33" s="144"/>
    </row>
    <row r="34" spans="1:23" x14ac:dyDescent="0.2">
      <c r="A34" s="84"/>
      <c r="B34" s="133"/>
      <c r="C34" s="197"/>
      <c r="D34" s="198"/>
      <c r="E34" s="199"/>
      <c r="F34" s="199"/>
      <c r="G34" s="199"/>
      <c r="H34" s="199"/>
      <c r="I34" s="108"/>
      <c r="J34" s="86"/>
      <c r="K34" s="759"/>
      <c r="L34" s="760"/>
      <c r="M34" s="760"/>
      <c r="N34" s="760"/>
      <c r="O34" s="760"/>
      <c r="P34" s="760"/>
      <c r="Q34" s="760"/>
      <c r="R34" s="760"/>
      <c r="S34" s="760"/>
      <c r="T34" s="760"/>
      <c r="U34" s="760"/>
    </row>
    <row r="35" spans="1:23" x14ac:dyDescent="0.2">
      <c r="A35" s="84"/>
      <c r="B35" s="177"/>
      <c r="C35" s="161"/>
      <c r="D35" s="161"/>
      <c r="E35" s="178"/>
      <c r="F35" s="178"/>
      <c r="G35" s="178"/>
      <c r="H35" s="178"/>
      <c r="I35" s="108"/>
      <c r="J35" s="86"/>
      <c r="K35" s="184"/>
      <c r="L35" s="185"/>
      <c r="M35" s="186"/>
      <c r="N35" s="185"/>
      <c r="O35" s="187"/>
      <c r="P35" s="761"/>
      <c r="Q35" s="206"/>
      <c r="R35" s="185"/>
      <c r="S35" s="187"/>
      <c r="T35" s="188"/>
      <c r="U35" s="828"/>
      <c r="V35" s="124"/>
      <c r="W35" s="124"/>
    </row>
    <row r="36" spans="1:23" ht="13.5" x14ac:dyDescent="0.2">
      <c r="A36" s="84"/>
      <c r="B36" s="104" t="s">
        <v>191</v>
      </c>
      <c r="C36" s="200">
        <f>V26</f>
        <v>0.51200000000000001</v>
      </c>
      <c r="D36" s="201"/>
      <c r="E36" s="202"/>
      <c r="F36" s="202"/>
      <c r="G36" s="202"/>
      <c r="H36" s="202"/>
      <c r="I36" s="108"/>
      <c r="J36" s="194"/>
      <c r="K36" s="184"/>
      <c r="L36" s="185"/>
      <c r="M36" s="186"/>
      <c r="N36" s="185"/>
      <c r="O36" s="187"/>
      <c r="P36" s="761"/>
      <c r="Q36" s="206"/>
      <c r="R36" s="185"/>
      <c r="S36" s="187"/>
      <c r="T36" s="188"/>
      <c r="U36" s="828"/>
      <c r="V36" s="124"/>
      <c r="W36" s="124"/>
    </row>
    <row r="37" spans="1:23" x14ac:dyDescent="0.2">
      <c r="A37" s="84"/>
      <c r="B37" s="133"/>
      <c r="C37" s="203"/>
      <c r="D37" s="201"/>
      <c r="E37" s="202"/>
      <c r="F37" s="202"/>
      <c r="G37" s="202"/>
      <c r="H37" s="202"/>
      <c r="I37" s="108"/>
      <c r="J37" s="194"/>
      <c r="K37" s="184"/>
      <c r="L37" s="185"/>
      <c r="M37" s="186"/>
      <c r="N37" s="185"/>
      <c r="O37" s="187"/>
      <c r="P37" s="761"/>
      <c r="Q37" s="206"/>
      <c r="R37" s="185"/>
      <c r="S37" s="187"/>
      <c r="T37" s="188"/>
      <c r="U37" s="828"/>
    </row>
    <row r="38" spans="1:23" ht="24" x14ac:dyDescent="0.2">
      <c r="A38" s="84"/>
      <c r="B38" s="133" t="s">
        <v>192</v>
      </c>
      <c r="C38" s="204">
        <f>SUMPRODUCT(N26:N29,P26:P29)*365</f>
        <v>1095.1760626312323</v>
      </c>
      <c r="D38" s="201"/>
      <c r="E38" s="202"/>
      <c r="F38" s="202"/>
      <c r="G38" s="202"/>
      <c r="H38" s="202"/>
      <c r="I38" s="108"/>
      <c r="J38" s="194"/>
      <c r="K38" s="184"/>
      <c r="L38" s="185"/>
      <c r="M38" s="186"/>
      <c r="N38" s="185"/>
      <c r="O38" s="187"/>
      <c r="P38" s="761"/>
      <c r="Q38" s="206"/>
      <c r="R38" s="185"/>
      <c r="S38" s="187"/>
      <c r="T38" s="188"/>
      <c r="U38" s="828"/>
    </row>
    <row r="39" spans="1:23" ht="13.5" x14ac:dyDescent="0.2">
      <c r="A39" s="84"/>
      <c r="B39" s="133" t="s">
        <v>193</v>
      </c>
      <c r="C39" s="205">
        <f>2.778978 *365</f>
        <v>1014.32697</v>
      </c>
      <c r="D39" s="106"/>
      <c r="E39" s="106"/>
      <c r="F39" s="106"/>
      <c r="G39" s="106"/>
      <c r="H39" s="106"/>
      <c r="I39" s="108"/>
      <c r="J39" s="86"/>
      <c r="K39" s="184"/>
      <c r="L39" s="185"/>
      <c r="M39" s="186"/>
      <c r="N39" s="185"/>
      <c r="O39" s="187"/>
      <c r="P39" s="186"/>
      <c r="Q39" s="206"/>
      <c r="R39" s="185"/>
      <c r="S39" s="187"/>
      <c r="T39" s="188"/>
      <c r="U39" s="828"/>
    </row>
    <row r="40" spans="1:23" x14ac:dyDescent="0.2">
      <c r="A40" s="84"/>
      <c r="B40" s="133"/>
      <c r="C40" s="205"/>
      <c r="D40" s="106"/>
      <c r="E40" s="106"/>
      <c r="F40" s="106"/>
      <c r="G40" s="106"/>
      <c r="H40" s="106"/>
      <c r="I40" s="108"/>
      <c r="J40" s="86"/>
      <c r="K40" s="184"/>
      <c r="L40" s="185"/>
      <c r="M40" s="186"/>
      <c r="N40" s="185"/>
      <c r="O40" s="187"/>
      <c r="P40" s="186"/>
      <c r="Q40" s="206"/>
      <c r="R40" s="185"/>
      <c r="S40" s="187"/>
      <c r="T40" s="188"/>
      <c r="U40" s="172"/>
    </row>
    <row r="41" spans="1:23" x14ac:dyDescent="0.2">
      <c r="A41" s="84"/>
      <c r="B41" s="133" t="s">
        <v>194</v>
      </c>
      <c r="C41" s="207">
        <v>46142003.920999996</v>
      </c>
      <c r="D41" s="106"/>
      <c r="E41" s="106"/>
      <c r="F41" s="106"/>
      <c r="G41" s="106"/>
      <c r="H41" s="106"/>
      <c r="I41" s="108"/>
      <c r="J41" s="86"/>
      <c r="K41" s="208"/>
      <c r="L41" s="6"/>
      <c r="M41" s="6"/>
      <c r="N41" s="6"/>
      <c r="O41" s="6"/>
      <c r="P41" s="6"/>
      <c r="Q41" s="6"/>
      <c r="R41" s="6"/>
      <c r="S41" s="209"/>
      <c r="T41" s="6"/>
      <c r="U41" s="210"/>
    </row>
    <row r="42" spans="1:23" x14ac:dyDescent="0.2">
      <c r="A42" s="84"/>
      <c r="B42" s="133"/>
      <c r="C42" s="211"/>
      <c r="D42" s="106"/>
      <c r="E42" s="106"/>
      <c r="F42" s="106"/>
      <c r="G42" s="106"/>
      <c r="H42" s="106"/>
      <c r="I42" s="108"/>
      <c r="J42" s="86"/>
      <c r="K42" s="3"/>
      <c r="L42" s="143"/>
      <c r="M42" s="143"/>
      <c r="N42" s="143"/>
      <c r="O42" s="143"/>
      <c r="P42" s="143"/>
      <c r="Q42" s="143"/>
      <c r="R42" s="143"/>
      <c r="S42" s="212"/>
      <c r="T42" s="143"/>
      <c r="U42" s="144"/>
    </row>
    <row r="43" spans="1:23" x14ac:dyDescent="0.2">
      <c r="A43" s="84"/>
      <c r="B43" s="213" t="s">
        <v>195</v>
      </c>
      <c r="C43" s="214"/>
      <c r="D43" s="106"/>
      <c r="E43" s="215"/>
      <c r="F43" s="215"/>
      <c r="G43" s="215"/>
      <c r="H43" s="215"/>
      <c r="I43" s="108"/>
      <c r="J43" s="86"/>
      <c r="K43" s="759"/>
      <c r="L43" s="124"/>
      <c r="M43" s="124"/>
      <c r="N43" s="124"/>
      <c r="O43" s="124"/>
      <c r="P43" s="124"/>
      <c r="Q43" s="124"/>
      <c r="R43" s="124"/>
      <c r="S43" s="124"/>
      <c r="T43" s="124"/>
      <c r="U43" s="132"/>
    </row>
    <row r="44" spans="1:23" x14ac:dyDescent="0.2">
      <c r="A44" s="84"/>
      <c r="B44" s="213" t="s">
        <v>198</v>
      </c>
      <c r="C44" s="214"/>
      <c r="D44" s="106"/>
      <c r="E44" s="215"/>
      <c r="F44" s="215"/>
      <c r="G44" s="215"/>
      <c r="H44" s="215"/>
      <c r="I44" s="108"/>
      <c r="J44" s="86"/>
      <c r="K44" s="184"/>
      <c r="L44" s="124"/>
      <c r="M44" s="124"/>
      <c r="N44" s="124"/>
      <c r="O44" s="124"/>
      <c r="P44" s="124"/>
      <c r="Q44" s="124"/>
      <c r="R44" s="124"/>
      <c r="S44" s="124"/>
      <c r="T44" s="124"/>
      <c r="U44" s="144"/>
    </row>
    <row r="45" spans="1:23" x14ac:dyDescent="0.2">
      <c r="A45" s="84"/>
      <c r="B45" s="216" t="s">
        <v>199</v>
      </c>
      <c r="C45" s="214"/>
      <c r="D45" s="106"/>
      <c r="E45" s="215"/>
      <c r="F45" s="215"/>
      <c r="G45" s="215"/>
      <c r="H45" s="215"/>
      <c r="I45" s="108"/>
      <c r="J45" s="86"/>
      <c r="K45" s="184"/>
      <c r="L45" s="124"/>
      <c r="M45" s="756"/>
      <c r="N45" s="756"/>
      <c r="O45" s="756"/>
      <c r="P45" s="756"/>
      <c r="Q45" s="124"/>
      <c r="R45" s="124"/>
      <c r="S45" s="124"/>
      <c r="T45" s="124"/>
      <c r="U45" s="144"/>
    </row>
    <row r="46" spans="1:23" x14ac:dyDescent="0.2">
      <c r="A46" s="84"/>
      <c r="B46" s="216" t="s">
        <v>200</v>
      </c>
      <c r="C46" s="214"/>
      <c r="D46" s="106"/>
      <c r="E46" s="215"/>
      <c r="F46" s="215"/>
      <c r="G46" s="215"/>
      <c r="H46" s="215"/>
      <c r="I46" s="108"/>
      <c r="J46" s="86"/>
      <c r="K46" s="184"/>
      <c r="L46" s="124"/>
      <c r="M46" s="756"/>
      <c r="N46" s="756"/>
      <c r="O46" s="756"/>
      <c r="P46" s="756"/>
      <c r="Q46" s="124"/>
      <c r="R46" s="124"/>
      <c r="S46" s="124"/>
      <c r="T46" s="124"/>
      <c r="U46" s="144"/>
    </row>
    <row r="47" spans="1:23" x14ac:dyDescent="0.2">
      <c r="A47" s="84"/>
      <c r="B47" s="217" t="s">
        <v>201</v>
      </c>
      <c r="C47" s="84"/>
      <c r="D47" s="84"/>
      <c r="E47" s="84"/>
      <c r="F47" s="84"/>
      <c r="G47" s="84"/>
      <c r="H47" s="84"/>
      <c r="I47" s="108"/>
      <c r="J47" s="86"/>
      <c r="K47" s="184"/>
      <c r="L47" s="124"/>
      <c r="M47" s="756"/>
      <c r="N47" s="756"/>
      <c r="O47" s="756"/>
      <c r="P47" s="756"/>
      <c r="Q47" s="124"/>
      <c r="R47" s="124"/>
      <c r="S47" s="124"/>
      <c r="T47" s="124"/>
      <c r="U47" s="144"/>
    </row>
    <row r="48" spans="1:23" s="124" customFormat="1" x14ac:dyDescent="0.2">
      <c r="A48" s="84"/>
      <c r="B48" s="217" t="s">
        <v>202</v>
      </c>
      <c r="C48" s="84"/>
      <c r="D48" s="84"/>
      <c r="E48" s="84"/>
      <c r="F48" s="84"/>
      <c r="G48" s="84"/>
      <c r="H48" s="84"/>
      <c r="I48" s="108"/>
      <c r="J48" s="84"/>
      <c r="K48" s="184"/>
      <c r="M48" s="756"/>
      <c r="N48" s="756"/>
      <c r="O48" s="756"/>
      <c r="P48" s="756"/>
      <c r="U48" s="144"/>
      <c r="W48" s="87"/>
    </row>
    <row r="49" spans="1:23" s="124" customFormat="1" x14ac:dyDescent="0.2">
      <c r="A49" s="84"/>
      <c r="B49" s="218" t="s">
        <v>203</v>
      </c>
      <c r="C49" s="84"/>
      <c r="D49" s="84"/>
      <c r="E49" s="84"/>
      <c r="F49" s="84"/>
      <c r="G49" s="84"/>
      <c r="H49" s="84"/>
      <c r="I49" s="108"/>
      <c r="J49" s="84"/>
      <c r="U49" s="210"/>
      <c r="V49" s="87"/>
      <c r="W49" s="87"/>
    </row>
    <row r="50" spans="1:23" ht="13.5" thickBot="1" x14ac:dyDescent="0.25">
      <c r="A50" s="84"/>
      <c r="B50" s="222" t="s">
        <v>204</v>
      </c>
      <c r="C50" s="223"/>
      <c r="D50" s="223"/>
      <c r="E50" s="223"/>
      <c r="F50" s="223"/>
      <c r="G50" s="223"/>
      <c r="H50" s="223"/>
      <c r="I50" s="224"/>
      <c r="J50" s="86"/>
      <c r="K50" s="208"/>
      <c r="L50" s="124"/>
      <c r="M50" s="124"/>
      <c r="N50" s="124"/>
      <c r="O50" s="124"/>
      <c r="P50" s="124"/>
      <c r="Q50" s="124"/>
      <c r="R50" s="124"/>
      <c r="S50" s="124"/>
      <c r="T50" s="124"/>
      <c r="U50" s="210"/>
    </row>
    <row r="51" spans="1:23" x14ac:dyDescent="0.2">
      <c r="A51" s="84"/>
      <c r="B51" s="84"/>
      <c r="C51" s="86"/>
      <c r="D51" s="86"/>
      <c r="E51" s="86"/>
      <c r="F51" s="86"/>
      <c r="G51" s="86"/>
      <c r="H51" s="86"/>
      <c r="I51" s="86"/>
      <c r="J51" s="86"/>
      <c r="K51" s="227"/>
      <c r="L51" s="228"/>
      <c r="M51" s="210"/>
      <c r="N51" s="210"/>
      <c r="O51" s="210"/>
      <c r="P51" s="210"/>
      <c r="Q51" s="210"/>
      <c r="R51" s="210"/>
      <c r="S51" s="210"/>
      <c r="T51" s="210"/>
      <c r="U51" s="210"/>
    </row>
    <row r="52" spans="1:23" x14ac:dyDescent="0.2">
      <c r="K52" s="227"/>
      <c r="L52" s="210"/>
      <c r="M52" s="210"/>
      <c r="N52" s="210"/>
      <c r="O52" s="210"/>
      <c r="P52" s="210"/>
      <c r="Q52" s="210"/>
      <c r="R52" s="210"/>
      <c r="S52" s="210"/>
      <c r="T52" s="210"/>
      <c r="U52" s="210"/>
    </row>
    <row r="53" spans="1:23" x14ac:dyDescent="0.2">
      <c r="K53" s="210"/>
      <c r="L53" s="210"/>
      <c r="M53" s="210"/>
      <c r="N53" s="210"/>
      <c r="O53" s="210"/>
      <c r="P53" s="210"/>
      <c r="Q53" s="210"/>
      <c r="R53" s="210"/>
      <c r="S53" s="210"/>
      <c r="T53" s="210"/>
      <c r="U53" s="210"/>
    </row>
    <row r="54" spans="1:23" x14ac:dyDescent="0.2">
      <c r="C54" s="229"/>
      <c r="K54" s="260"/>
      <c r="L54" s="210"/>
      <c r="M54" s="210"/>
      <c r="N54" s="210"/>
      <c r="O54" s="210"/>
      <c r="P54" s="210"/>
      <c r="Q54" s="146"/>
      <c r="R54" s="146"/>
      <c r="S54" s="146"/>
      <c r="T54" s="144"/>
      <c r="U54" s="144"/>
    </row>
    <row r="55" spans="1:23" x14ac:dyDescent="0.2">
      <c r="C55" s="229"/>
      <c r="K55" s="261"/>
      <c r="L55" s="262"/>
      <c r="M55" s="166"/>
      <c r="N55" s="166"/>
      <c r="O55" s="166"/>
      <c r="P55" s="263"/>
      <c r="Q55" s="146"/>
      <c r="R55" s="146"/>
      <c r="S55" s="146"/>
      <c r="T55" s="146"/>
      <c r="U55" s="146"/>
    </row>
    <row r="56" spans="1:23" x14ac:dyDescent="0.2">
      <c r="C56" s="229"/>
      <c r="K56" s="261"/>
      <c r="L56" s="166"/>
      <c r="M56" s="166"/>
      <c r="N56" s="166"/>
      <c r="O56" s="166"/>
      <c r="P56" s="146"/>
      <c r="Q56" s="146"/>
      <c r="R56" s="146"/>
      <c r="S56" s="146"/>
      <c r="T56" s="146"/>
      <c r="U56" s="146"/>
    </row>
    <row r="57" spans="1:23" x14ac:dyDescent="0.2">
      <c r="C57" s="229"/>
      <c r="K57" s="261"/>
      <c r="L57" s="166"/>
      <c r="M57" s="166"/>
      <c r="N57" s="166"/>
      <c r="O57" s="166"/>
      <c r="P57" s="146"/>
      <c r="Q57" s="146"/>
      <c r="R57" s="146"/>
      <c r="S57" s="146"/>
      <c r="T57" s="146"/>
      <c r="U57" s="146"/>
    </row>
    <row r="58" spans="1:23" x14ac:dyDescent="0.2">
      <c r="C58" s="231"/>
      <c r="K58" s="227"/>
      <c r="L58" s="210"/>
      <c r="M58" s="210"/>
      <c r="N58" s="210"/>
      <c r="O58" s="210"/>
      <c r="P58" s="210"/>
      <c r="Q58" s="210"/>
      <c r="R58" s="210"/>
      <c r="S58" s="232"/>
      <c r="T58" s="210"/>
      <c r="U58" s="210"/>
    </row>
    <row r="59" spans="1:23" x14ac:dyDescent="0.2">
      <c r="K59" s="210"/>
      <c r="L59" s="210"/>
      <c r="M59" s="210"/>
      <c r="N59" s="210"/>
      <c r="O59" s="210"/>
      <c r="P59" s="210"/>
      <c r="Q59" s="232"/>
      <c r="R59" s="228"/>
      <c r="S59" s="210"/>
      <c r="T59" s="232"/>
      <c r="U59" s="233"/>
    </row>
    <row r="60" spans="1:23" x14ac:dyDescent="0.2">
      <c r="K60" s="210"/>
      <c r="L60" s="210"/>
      <c r="M60" s="210"/>
      <c r="N60" s="210"/>
      <c r="O60" s="210"/>
      <c r="P60" s="210"/>
      <c r="Q60" s="210"/>
      <c r="R60" s="210"/>
      <c r="S60" s="210"/>
      <c r="T60" s="210"/>
      <c r="U60" s="210"/>
    </row>
    <row r="61" spans="1:23" x14ac:dyDescent="0.2">
      <c r="K61" s="210"/>
      <c r="L61" s="210"/>
      <c r="M61" s="210"/>
      <c r="N61" s="210"/>
      <c r="O61" s="210"/>
      <c r="P61" s="210"/>
      <c r="Q61" s="210"/>
      <c r="R61" s="210"/>
      <c r="S61" s="210"/>
      <c r="T61" s="210"/>
      <c r="U61" s="210"/>
    </row>
    <row r="62" spans="1:23" x14ac:dyDescent="0.2">
      <c r="K62" s="210"/>
      <c r="L62" s="210"/>
      <c r="M62" s="210"/>
      <c r="N62" s="210"/>
      <c r="O62" s="210"/>
      <c r="P62" s="210"/>
      <c r="Q62" s="210"/>
      <c r="R62" s="210"/>
      <c r="S62" s="210"/>
      <c r="T62" s="210"/>
      <c r="U62" s="210"/>
    </row>
    <row r="63" spans="1:23" x14ac:dyDescent="0.2">
      <c r="K63" s="210"/>
      <c r="L63" s="210"/>
      <c r="M63" s="210"/>
      <c r="N63" s="210"/>
      <c r="O63" s="210"/>
      <c r="P63" s="210"/>
      <c r="Q63" s="210"/>
      <c r="R63" s="210"/>
      <c r="S63" s="210"/>
      <c r="T63" s="210"/>
      <c r="U63" s="210"/>
    </row>
    <row r="64" spans="1:23" x14ac:dyDescent="0.2">
      <c r="K64" s="210"/>
      <c r="L64" s="210"/>
      <c r="M64" s="210"/>
      <c r="N64" s="210"/>
      <c r="O64" s="210"/>
      <c r="P64" s="210"/>
      <c r="Q64" s="210"/>
      <c r="R64" s="210"/>
      <c r="S64" s="210"/>
      <c r="T64" s="210"/>
      <c r="U64" s="210"/>
    </row>
    <row r="65" spans="11:21" x14ac:dyDescent="0.2">
      <c r="K65" s="210"/>
      <c r="L65" s="210"/>
      <c r="M65" s="210"/>
      <c r="N65" s="210"/>
      <c r="O65" s="210"/>
      <c r="P65" s="210"/>
      <c r="Q65" s="210"/>
      <c r="R65" s="210"/>
      <c r="S65" s="210"/>
      <c r="T65" s="210"/>
      <c r="U65" s="210"/>
    </row>
    <row r="66" spans="11:21" x14ac:dyDescent="0.2">
      <c r="K66" s="210"/>
      <c r="L66" s="210"/>
      <c r="M66" s="210"/>
      <c r="N66" s="210"/>
      <c r="O66" s="210"/>
      <c r="P66" s="210"/>
      <c r="Q66" s="210"/>
      <c r="R66" s="210"/>
      <c r="S66" s="210"/>
      <c r="T66" s="210"/>
      <c r="U66" s="210"/>
    </row>
    <row r="67" spans="11:21" x14ac:dyDescent="0.2">
      <c r="K67" s="210"/>
      <c r="L67" s="210"/>
      <c r="M67" s="210"/>
      <c r="N67" s="210"/>
      <c r="O67" s="210"/>
      <c r="P67" s="210"/>
      <c r="Q67" s="210"/>
      <c r="R67" s="210"/>
      <c r="S67" s="210"/>
      <c r="T67" s="210"/>
      <c r="U67" s="210"/>
    </row>
    <row r="68" spans="11:21" x14ac:dyDescent="0.2">
      <c r="K68" s="210"/>
      <c r="L68" s="210"/>
      <c r="M68" s="210"/>
      <c r="N68" s="210"/>
      <c r="O68" s="210"/>
      <c r="P68" s="210"/>
      <c r="Q68" s="210"/>
      <c r="R68" s="210"/>
      <c r="S68" s="210"/>
      <c r="T68" s="210"/>
      <c r="U68" s="210"/>
    </row>
    <row r="69" spans="11:21" x14ac:dyDescent="0.2">
      <c r="K69" s="210"/>
      <c r="L69" s="210"/>
      <c r="M69" s="210"/>
      <c r="N69" s="210"/>
      <c r="O69" s="210"/>
      <c r="P69" s="210"/>
      <c r="Q69" s="210"/>
      <c r="R69" s="210"/>
      <c r="S69" s="210"/>
      <c r="T69" s="210"/>
      <c r="U69" s="210"/>
    </row>
    <row r="70" spans="11:21" x14ac:dyDescent="0.2">
      <c r="K70" s="210"/>
      <c r="L70" s="234"/>
      <c r="M70" s="234"/>
      <c r="N70" s="234"/>
      <c r="O70" s="234"/>
      <c r="P70" s="234"/>
      <c r="Q70" s="234"/>
      <c r="R70" s="234"/>
      <c r="S70" s="210"/>
      <c r="T70" s="210"/>
      <c r="U70" s="210"/>
    </row>
    <row r="71" spans="11:21" x14ac:dyDescent="0.2">
      <c r="K71" s="210"/>
      <c r="L71" s="210"/>
      <c r="M71" s="210"/>
      <c r="N71" s="210"/>
      <c r="O71" s="210"/>
      <c r="P71" s="210"/>
      <c r="Q71" s="210"/>
      <c r="R71" s="210"/>
      <c r="S71" s="210"/>
      <c r="T71" s="210"/>
      <c r="U71" s="210"/>
    </row>
    <row r="72" spans="11:21" x14ac:dyDescent="0.2">
      <c r="K72" s="210"/>
      <c r="L72" s="210"/>
      <c r="M72" s="210"/>
      <c r="N72" s="210"/>
      <c r="O72" s="210"/>
      <c r="P72" s="210"/>
      <c r="Q72" s="210"/>
      <c r="R72" s="210"/>
      <c r="S72" s="210"/>
      <c r="T72" s="210"/>
    </row>
    <row r="73" spans="11:21" x14ac:dyDescent="0.2">
      <c r="K73" s="210"/>
      <c r="L73" s="210"/>
      <c r="M73" s="210"/>
      <c r="N73" s="210"/>
      <c r="O73" s="210"/>
      <c r="P73" s="210"/>
      <c r="Q73" s="210"/>
      <c r="R73" s="210"/>
      <c r="S73" s="210"/>
      <c r="T73" s="210"/>
    </row>
    <row r="74" spans="11:21" x14ac:dyDescent="0.2">
      <c r="K74" s="210"/>
      <c r="L74" s="210"/>
      <c r="M74" s="210"/>
      <c r="N74" s="210"/>
      <c r="O74" s="210"/>
      <c r="P74" s="210"/>
      <c r="Q74" s="210"/>
      <c r="R74" s="210"/>
      <c r="S74" s="210"/>
      <c r="T74" s="210"/>
    </row>
    <row r="75" spans="11:21" x14ac:dyDescent="0.2">
      <c r="K75" s="210"/>
      <c r="L75" s="210"/>
      <c r="M75" s="210"/>
      <c r="N75" s="210"/>
      <c r="O75" s="210"/>
      <c r="P75" s="210"/>
      <c r="Q75" s="210"/>
      <c r="R75" s="210"/>
      <c r="S75" s="210"/>
      <c r="T75" s="210"/>
    </row>
    <row r="76" spans="11:21" x14ac:dyDescent="0.2">
      <c r="K76" s="210"/>
      <c r="L76" s="210"/>
      <c r="M76" s="210"/>
      <c r="N76" s="210"/>
      <c r="O76" s="210"/>
      <c r="P76" s="210"/>
      <c r="Q76" s="210"/>
      <c r="R76" s="210"/>
      <c r="S76" s="210"/>
      <c r="T76" s="210"/>
    </row>
    <row r="77" spans="11:21" x14ac:dyDescent="0.2">
      <c r="K77" s="210"/>
      <c r="L77" s="210"/>
      <c r="M77" s="210"/>
      <c r="N77" s="210"/>
      <c r="O77" s="210"/>
      <c r="P77" s="210"/>
      <c r="Q77" s="210"/>
      <c r="R77" s="210"/>
      <c r="S77" s="210"/>
      <c r="T77" s="210"/>
    </row>
    <row r="78" spans="11:21" x14ac:dyDescent="0.2">
      <c r="K78" s="210"/>
      <c r="L78" s="210"/>
      <c r="M78" s="210"/>
      <c r="N78" s="210"/>
      <c r="O78" s="210"/>
      <c r="P78" s="210"/>
      <c r="Q78" s="210"/>
      <c r="R78" s="210"/>
      <c r="S78" s="210"/>
      <c r="T78" s="210"/>
    </row>
    <row r="79" spans="11:21" x14ac:dyDescent="0.2">
      <c r="K79" s="210"/>
      <c r="L79" s="210"/>
      <c r="M79" s="210"/>
      <c r="N79" s="210"/>
      <c r="O79" s="210"/>
      <c r="P79" s="210"/>
      <c r="Q79" s="210"/>
      <c r="R79" s="210"/>
      <c r="S79" s="210"/>
      <c r="T79" s="210"/>
    </row>
    <row r="80" spans="11:21" x14ac:dyDescent="0.2">
      <c r="K80" s="210"/>
      <c r="L80" s="210"/>
      <c r="M80" s="210"/>
      <c r="N80" s="210"/>
      <c r="O80" s="210"/>
      <c r="P80" s="210"/>
      <c r="Q80" s="210"/>
      <c r="R80" s="210"/>
      <c r="S80" s="210"/>
      <c r="T80" s="210"/>
    </row>
    <row r="81" spans="11:21" x14ac:dyDescent="0.2">
      <c r="K81" s="210"/>
      <c r="L81" s="210"/>
      <c r="M81" s="210"/>
      <c r="N81" s="210"/>
      <c r="O81" s="210"/>
      <c r="P81" s="210"/>
      <c r="Q81" s="210"/>
      <c r="R81" s="210"/>
      <c r="S81" s="210"/>
      <c r="T81" s="210"/>
    </row>
    <row r="82" spans="11:21" x14ac:dyDescent="0.2">
      <c r="K82" s="210"/>
      <c r="L82" s="210"/>
      <c r="M82" s="210"/>
      <c r="N82" s="210"/>
      <c r="O82" s="210"/>
      <c r="P82" s="210"/>
      <c r="Q82" s="210"/>
      <c r="R82" s="210"/>
      <c r="S82" s="210"/>
      <c r="T82" s="210"/>
    </row>
    <row r="83" spans="11:21" x14ac:dyDescent="0.2">
      <c r="K83" s="210"/>
      <c r="L83" s="210"/>
      <c r="M83" s="210"/>
      <c r="N83" s="210"/>
      <c r="O83" s="210"/>
      <c r="P83" s="210"/>
      <c r="Q83" s="210"/>
      <c r="R83" s="210"/>
      <c r="S83" s="210"/>
      <c r="T83" s="210"/>
    </row>
    <row r="84" spans="11:21" x14ac:dyDescent="0.2">
      <c r="K84" s="210"/>
      <c r="L84" s="210"/>
      <c r="M84" s="210"/>
      <c r="N84" s="210"/>
      <c r="O84" s="210"/>
      <c r="P84" s="210"/>
      <c r="Q84" s="210"/>
      <c r="R84" s="210"/>
      <c r="S84" s="210"/>
      <c r="T84" s="210"/>
    </row>
    <row r="85" spans="11:21" x14ac:dyDescent="0.2">
      <c r="K85" s="210"/>
      <c r="L85" s="210"/>
      <c r="M85" s="210"/>
      <c r="N85" s="210"/>
      <c r="O85" s="210"/>
      <c r="P85" s="210"/>
      <c r="Q85" s="210"/>
      <c r="R85" s="210"/>
      <c r="S85" s="210"/>
      <c r="T85" s="210"/>
    </row>
    <row r="86" spans="11:21" x14ac:dyDescent="0.2">
      <c r="K86" s="210"/>
      <c r="L86" s="210"/>
      <c r="M86" s="210"/>
      <c r="N86" s="210"/>
      <c r="O86" s="210"/>
      <c r="P86" s="210"/>
      <c r="Q86" s="210"/>
      <c r="R86" s="210"/>
      <c r="S86" s="210"/>
      <c r="T86" s="210"/>
    </row>
    <row r="87" spans="11:21" x14ac:dyDescent="0.2">
      <c r="K87" s="210"/>
      <c r="L87" s="210"/>
      <c r="M87" s="210"/>
      <c r="N87" s="210"/>
      <c r="O87" s="210"/>
      <c r="P87" s="210"/>
      <c r="Q87" s="210"/>
      <c r="R87" s="210"/>
      <c r="S87" s="210"/>
      <c r="T87" s="210"/>
    </row>
    <row r="88" spans="11:21" x14ac:dyDescent="0.2">
      <c r="K88" s="210"/>
      <c r="L88" s="210"/>
      <c r="M88" s="210"/>
      <c r="N88" s="210"/>
      <c r="O88" s="210"/>
      <c r="P88" s="210"/>
      <c r="Q88" s="210"/>
      <c r="R88" s="210"/>
      <c r="S88" s="210"/>
      <c r="T88" s="210"/>
    </row>
    <row r="89" spans="11:21" x14ac:dyDescent="0.2">
      <c r="K89" s="210"/>
      <c r="L89" s="235"/>
      <c r="M89" s="235"/>
      <c r="N89" s="235"/>
      <c r="O89" s="235"/>
      <c r="P89" s="235"/>
      <c r="Q89" s="235"/>
      <c r="R89" s="235"/>
      <c r="S89" s="235"/>
      <c r="T89" s="235"/>
      <c r="U89" s="236"/>
    </row>
    <row r="90" spans="11:21" x14ac:dyDescent="0.2">
      <c r="K90" s="210"/>
      <c r="L90" s="210"/>
      <c r="M90" s="210"/>
      <c r="N90" s="210"/>
      <c r="O90" s="210"/>
      <c r="P90" s="210"/>
      <c r="Q90" s="225"/>
      <c r="R90" s="210"/>
      <c r="S90" s="225"/>
      <c r="T90" s="210"/>
      <c r="U90" s="237"/>
    </row>
    <row r="91" spans="11:21" x14ac:dyDescent="0.2">
      <c r="K91" s="210"/>
      <c r="L91" s="210"/>
      <c r="M91" s="210"/>
      <c r="N91" s="210"/>
      <c r="O91" s="210"/>
      <c r="P91" s="210"/>
      <c r="Q91" s="225"/>
      <c r="R91" s="210"/>
      <c r="S91" s="225"/>
      <c r="T91" s="210"/>
      <c r="U91" s="238"/>
    </row>
    <row r="92" spans="11:21" x14ac:dyDescent="0.2">
      <c r="K92" s="210"/>
      <c r="L92" s="210"/>
      <c r="M92" s="210"/>
      <c r="N92" s="210"/>
      <c r="O92" s="210"/>
      <c r="P92" s="210"/>
      <c r="Q92" s="210"/>
      <c r="R92" s="210"/>
      <c r="S92" s="225"/>
      <c r="T92" s="210"/>
      <c r="U92" s="239"/>
    </row>
    <row r="93" spans="11:21" x14ac:dyDescent="0.2">
      <c r="K93" s="210"/>
      <c r="L93" s="210"/>
      <c r="M93" s="210"/>
      <c r="N93" s="210"/>
      <c r="O93" s="210"/>
      <c r="P93" s="210"/>
      <c r="Q93" s="210"/>
      <c r="R93" s="210"/>
      <c r="S93" s="210"/>
      <c r="T93" s="210"/>
    </row>
    <row r="94" spans="11:21" x14ac:dyDescent="0.2">
      <c r="K94" s="210"/>
      <c r="L94" s="210"/>
      <c r="M94" s="210"/>
      <c r="N94" s="210"/>
      <c r="O94" s="210"/>
      <c r="P94" s="210"/>
      <c r="Q94" s="210"/>
      <c r="R94" s="210"/>
      <c r="S94" s="210"/>
      <c r="T94" s="210"/>
    </row>
    <row r="95" spans="11:21" x14ac:dyDescent="0.2">
      <c r="K95" s="210"/>
      <c r="L95" s="210"/>
      <c r="M95" s="210"/>
      <c r="N95" s="210"/>
      <c r="O95" s="210"/>
      <c r="P95" s="210"/>
      <c r="Q95" s="210"/>
      <c r="R95" s="210"/>
      <c r="S95" s="210"/>
      <c r="T95" s="210"/>
    </row>
    <row r="96" spans="11:21" x14ac:dyDescent="0.2">
      <c r="K96" s="210"/>
      <c r="L96" s="210"/>
      <c r="M96" s="210"/>
      <c r="N96" s="210"/>
      <c r="O96" s="210"/>
      <c r="P96" s="210"/>
      <c r="Q96" s="210"/>
      <c r="R96" s="210"/>
      <c r="S96" s="210"/>
      <c r="T96" s="210"/>
    </row>
    <row r="97" spans="11:21" x14ac:dyDescent="0.2">
      <c r="K97" s="210"/>
      <c r="L97" s="210"/>
      <c r="M97" s="210"/>
      <c r="N97" s="210"/>
      <c r="O97" s="210"/>
      <c r="P97" s="210"/>
      <c r="Q97" s="210"/>
      <c r="R97" s="210"/>
      <c r="S97" s="210"/>
      <c r="T97" s="210"/>
    </row>
    <row r="98" spans="11:21" x14ac:dyDescent="0.2">
      <c r="K98" s="210"/>
      <c r="L98" s="210"/>
      <c r="M98" s="210"/>
      <c r="N98" s="210"/>
      <c r="O98" s="210"/>
      <c r="P98" s="210"/>
      <c r="Q98" s="210"/>
      <c r="R98" s="210"/>
      <c r="S98" s="210"/>
      <c r="T98" s="210"/>
    </row>
    <row r="99" spans="11:21" x14ac:dyDescent="0.2">
      <c r="K99" s="210"/>
      <c r="L99" s="210"/>
      <c r="M99" s="210"/>
      <c r="N99" s="210"/>
      <c r="O99" s="210"/>
      <c r="P99" s="210"/>
      <c r="Q99" s="210"/>
      <c r="R99" s="210"/>
      <c r="S99" s="210"/>
      <c r="T99" s="210"/>
    </row>
    <row r="100" spans="11:21" x14ac:dyDescent="0.2">
      <c r="K100" s="210"/>
      <c r="L100" s="210"/>
      <c r="M100" s="210"/>
      <c r="N100" s="210"/>
      <c r="O100" s="210"/>
      <c r="P100" s="210"/>
      <c r="Q100" s="210"/>
      <c r="R100" s="210"/>
      <c r="S100" s="210"/>
      <c r="T100" s="210"/>
    </row>
    <row r="101" spans="11:21" x14ac:dyDescent="0.2">
      <c r="K101" s="210"/>
      <c r="L101" s="227"/>
      <c r="M101" s="232"/>
      <c r="N101" s="232"/>
      <c r="O101" s="232"/>
      <c r="P101" s="232"/>
      <c r="Q101" s="232"/>
      <c r="R101" s="232"/>
      <c r="S101" s="232"/>
      <c r="T101" s="232"/>
      <c r="U101" s="240"/>
    </row>
    <row r="102" spans="11:21" x14ac:dyDescent="0.2">
      <c r="K102" s="210"/>
      <c r="L102" s="210"/>
      <c r="M102" s="6"/>
      <c r="N102" s="6"/>
      <c r="O102" s="6"/>
      <c r="P102" s="6"/>
      <c r="Q102" s="225"/>
      <c r="R102" s="210"/>
      <c r="S102" s="225"/>
      <c r="T102" s="225"/>
      <c r="U102" s="241"/>
    </row>
    <row r="103" spans="11:21" x14ac:dyDescent="0.2">
      <c r="K103" s="210"/>
      <c r="L103" s="210"/>
      <c r="M103" s="6"/>
      <c r="N103" s="6"/>
      <c r="O103" s="6"/>
      <c r="P103" s="6"/>
      <c r="Q103" s="225"/>
      <c r="R103" s="210"/>
      <c r="S103" s="225"/>
      <c r="T103" s="225"/>
      <c r="U103" s="241"/>
    </row>
    <row r="104" spans="11:21" x14ac:dyDescent="0.2">
      <c r="K104" s="210"/>
      <c r="L104" s="210"/>
      <c r="M104" s="6"/>
      <c r="N104" s="6"/>
      <c r="O104" s="6"/>
      <c r="P104" s="6"/>
      <c r="Q104" s="225"/>
      <c r="R104" s="210"/>
      <c r="S104" s="225"/>
      <c r="T104" s="225"/>
      <c r="U104" s="241"/>
    </row>
    <row r="105" spans="11:21" x14ac:dyDescent="0.2">
      <c r="K105" s="210"/>
      <c r="L105" s="210"/>
      <c r="M105" s="6"/>
      <c r="N105" s="6"/>
      <c r="O105" s="6"/>
      <c r="P105" s="6"/>
      <c r="Q105" s="225"/>
      <c r="R105" s="210"/>
      <c r="S105" s="225"/>
      <c r="T105" s="225"/>
      <c r="U105" s="241"/>
    </row>
    <row r="106" spans="11:21" x14ac:dyDescent="0.2">
      <c r="K106" s="210"/>
      <c r="L106" s="210"/>
      <c r="M106" s="210"/>
      <c r="N106" s="210"/>
      <c r="O106" s="210"/>
      <c r="P106" s="210"/>
      <c r="Q106" s="210"/>
      <c r="R106" s="210"/>
      <c r="S106" s="210"/>
      <c r="T106" s="210"/>
    </row>
    <row r="107" spans="11:21" x14ac:dyDescent="0.2">
      <c r="K107" s="210"/>
      <c r="L107" s="210"/>
      <c r="M107" s="210"/>
      <c r="N107" s="210"/>
      <c r="O107" s="210"/>
      <c r="P107" s="210"/>
      <c r="Q107" s="210"/>
      <c r="R107" s="210"/>
      <c r="S107" s="210"/>
      <c r="T107" s="210"/>
    </row>
    <row r="108" spans="11:21" x14ac:dyDescent="0.2">
      <c r="K108" s="210"/>
      <c r="L108" s="210"/>
      <c r="M108" s="210"/>
      <c r="N108" s="210"/>
      <c r="O108" s="210"/>
      <c r="P108" s="210"/>
      <c r="Q108" s="210"/>
      <c r="R108" s="210"/>
      <c r="S108" s="210"/>
      <c r="T108" s="210"/>
    </row>
    <row r="109" spans="11:21" x14ac:dyDescent="0.2">
      <c r="K109" s="210"/>
      <c r="L109" s="227"/>
      <c r="M109" s="210"/>
      <c r="N109" s="210"/>
      <c r="O109" s="210"/>
      <c r="P109" s="210"/>
      <c r="Q109" s="210"/>
      <c r="R109" s="227"/>
      <c r="S109" s="210"/>
      <c r="T109" s="210"/>
      <c r="U109" s="242"/>
    </row>
    <row r="110" spans="11:21" x14ac:dyDescent="0.2">
      <c r="K110" s="210"/>
      <c r="L110" s="210"/>
      <c r="M110" s="225"/>
      <c r="N110" s="225"/>
      <c r="O110" s="225"/>
      <c r="P110" s="225"/>
      <c r="Q110" s="225"/>
      <c r="R110" s="243"/>
      <c r="S110" s="244"/>
      <c r="T110" s="226"/>
      <c r="U110" s="245"/>
    </row>
    <row r="111" spans="11:21" x14ac:dyDescent="0.2">
      <c r="K111" s="210"/>
      <c r="L111" s="210"/>
      <c r="M111" s="225"/>
      <c r="N111" s="225"/>
      <c r="O111" s="225"/>
      <c r="P111" s="225"/>
      <c r="Q111" s="225"/>
      <c r="R111" s="243"/>
      <c r="S111" s="244"/>
      <c r="T111" s="226"/>
      <c r="U111" s="245"/>
    </row>
    <row r="112" spans="11:21" x14ac:dyDescent="0.2">
      <c r="K112" s="210"/>
      <c r="L112" s="210"/>
      <c r="M112" s="225"/>
      <c r="N112" s="225"/>
      <c r="O112" s="225"/>
      <c r="P112" s="225"/>
      <c r="Q112" s="225"/>
      <c r="R112" s="243"/>
      <c r="S112" s="244"/>
      <c r="T112" s="226"/>
      <c r="U112" s="245"/>
    </row>
    <row r="113" spans="11:21" x14ac:dyDescent="0.2">
      <c r="K113" s="210"/>
      <c r="L113" s="210"/>
      <c r="M113" s="225"/>
      <c r="N113" s="225"/>
      <c r="O113" s="225"/>
      <c r="P113" s="225"/>
      <c r="Q113" s="225"/>
      <c r="R113" s="243"/>
      <c r="S113" s="244"/>
      <c r="T113" s="226"/>
      <c r="U113" s="245"/>
    </row>
    <row r="114" spans="11:21" x14ac:dyDescent="0.2">
      <c r="K114" s="210"/>
      <c r="L114" s="210"/>
      <c r="M114" s="210"/>
      <c r="N114" s="210"/>
      <c r="O114" s="210"/>
      <c r="P114" s="210"/>
      <c r="Q114" s="210"/>
      <c r="R114" s="210"/>
      <c r="S114" s="210"/>
      <c r="T114" s="210"/>
    </row>
    <row r="115" spans="11:21" x14ac:dyDescent="0.2">
      <c r="K115" s="210"/>
      <c r="L115" s="210"/>
      <c r="M115" s="210"/>
      <c r="N115" s="210"/>
      <c r="O115" s="210"/>
      <c r="P115" s="210"/>
      <c r="Q115" s="210"/>
      <c r="R115" s="210"/>
      <c r="S115" s="210"/>
      <c r="T115" s="210"/>
    </row>
    <row r="116" spans="11:21" x14ac:dyDescent="0.2">
      <c r="K116" s="210"/>
      <c r="L116" s="210"/>
      <c r="M116" s="210"/>
      <c r="N116" s="210"/>
      <c r="O116" s="210"/>
      <c r="P116" s="210"/>
      <c r="Q116" s="210"/>
      <c r="R116" s="210"/>
      <c r="S116" s="210"/>
      <c r="T116" s="210"/>
    </row>
    <row r="117" spans="11:21" x14ac:dyDescent="0.2">
      <c r="K117" s="210"/>
      <c r="L117" s="210"/>
      <c r="M117" s="210"/>
      <c r="N117" s="210"/>
      <c r="O117" s="210"/>
      <c r="P117" s="210"/>
      <c r="Q117" s="210"/>
      <c r="R117" s="210"/>
      <c r="S117" s="210"/>
      <c r="T117" s="210"/>
    </row>
    <row r="118" spans="11:21" x14ac:dyDescent="0.2">
      <c r="K118" s="210"/>
      <c r="L118" s="210"/>
      <c r="M118" s="210"/>
      <c r="N118" s="210"/>
      <c r="O118" s="210"/>
      <c r="P118" s="210"/>
      <c r="Q118" s="210"/>
      <c r="R118" s="210"/>
      <c r="S118" s="210"/>
      <c r="T118" s="210"/>
    </row>
    <row r="119" spans="11:21" x14ac:dyDescent="0.2">
      <c r="K119" s="210"/>
      <c r="L119" s="210"/>
      <c r="M119" s="210"/>
      <c r="N119" s="210"/>
      <c r="O119" s="210"/>
      <c r="P119" s="210"/>
      <c r="Q119" s="210"/>
      <c r="R119" s="210"/>
      <c r="S119" s="210"/>
      <c r="T119" s="210"/>
    </row>
    <row r="120" spans="11:21" x14ac:dyDescent="0.2">
      <c r="K120" s="210"/>
      <c r="L120" s="210"/>
      <c r="M120" s="210"/>
      <c r="N120" s="210"/>
      <c r="O120" s="210"/>
      <c r="P120" s="210"/>
      <c r="Q120" s="210"/>
      <c r="R120" s="210"/>
      <c r="S120" s="210"/>
      <c r="T120" s="210"/>
    </row>
    <row r="121" spans="11:21" x14ac:dyDescent="0.2">
      <c r="K121" s="210"/>
      <c r="L121" s="210"/>
      <c r="M121" s="210"/>
      <c r="N121" s="210"/>
      <c r="O121" s="210"/>
      <c r="P121" s="210"/>
      <c r="Q121" s="210"/>
      <c r="R121" s="210"/>
      <c r="S121" s="210"/>
      <c r="T121" s="210"/>
    </row>
    <row r="122" spans="11:21" x14ac:dyDescent="0.2">
      <c r="K122" s="210"/>
      <c r="L122" s="210"/>
      <c r="M122" s="210"/>
      <c r="N122" s="210"/>
      <c r="O122" s="210"/>
      <c r="P122" s="210"/>
      <c r="Q122" s="210"/>
      <c r="R122" s="210"/>
      <c r="S122" s="210"/>
      <c r="T122" s="210"/>
    </row>
    <row r="123" spans="11:21" x14ac:dyDescent="0.2">
      <c r="K123" s="210"/>
      <c r="L123" s="210"/>
      <c r="M123" s="210"/>
      <c r="N123" s="210"/>
      <c r="O123" s="210"/>
      <c r="P123" s="210"/>
      <c r="Q123" s="210"/>
      <c r="R123" s="210"/>
      <c r="S123" s="210"/>
      <c r="T123" s="210"/>
    </row>
    <row r="124" spans="11:21" x14ac:dyDescent="0.2">
      <c r="K124" s="210"/>
      <c r="L124" s="210"/>
      <c r="M124" s="210"/>
      <c r="N124" s="210"/>
      <c r="O124" s="210"/>
      <c r="P124" s="210"/>
      <c r="Q124" s="210"/>
      <c r="R124" s="210"/>
      <c r="S124" s="210"/>
      <c r="T124" s="210"/>
    </row>
    <row r="125" spans="11:21" x14ac:dyDescent="0.2">
      <c r="K125" s="210"/>
      <c r="L125" s="210"/>
      <c r="M125" s="210"/>
      <c r="N125" s="210"/>
      <c r="O125" s="210"/>
      <c r="P125" s="210"/>
      <c r="Q125" s="210"/>
      <c r="R125" s="210"/>
      <c r="S125" s="210"/>
      <c r="T125" s="210"/>
    </row>
    <row r="126" spans="11:21" x14ac:dyDescent="0.2">
      <c r="K126" s="210"/>
      <c r="L126" s="210"/>
      <c r="M126" s="210"/>
      <c r="N126" s="210"/>
      <c r="O126" s="210"/>
      <c r="P126" s="210"/>
      <c r="Q126" s="210"/>
      <c r="R126" s="210"/>
      <c r="S126" s="210"/>
      <c r="T126" s="210"/>
    </row>
    <row r="127" spans="11:21" x14ac:dyDescent="0.2">
      <c r="K127" s="210"/>
      <c r="L127" s="210"/>
      <c r="M127" s="210"/>
      <c r="N127" s="210"/>
      <c r="O127" s="210"/>
      <c r="P127" s="210"/>
      <c r="Q127" s="210"/>
      <c r="R127" s="210"/>
      <c r="S127" s="210"/>
      <c r="T127" s="210"/>
    </row>
    <row r="128" spans="11:21" x14ac:dyDescent="0.2">
      <c r="K128" s="210"/>
      <c r="L128" s="210"/>
      <c r="M128" s="210"/>
      <c r="N128" s="210"/>
      <c r="O128" s="210"/>
      <c r="P128" s="210"/>
      <c r="Q128" s="210"/>
      <c r="R128" s="210"/>
      <c r="S128" s="210"/>
      <c r="T128" s="210"/>
    </row>
    <row r="129" spans="11:20" x14ac:dyDescent="0.2">
      <c r="K129" s="210"/>
      <c r="L129" s="210"/>
      <c r="M129" s="210"/>
      <c r="N129" s="210"/>
      <c r="O129" s="210"/>
      <c r="P129" s="210"/>
      <c r="Q129" s="210"/>
      <c r="R129" s="210"/>
      <c r="S129" s="210"/>
      <c r="T129" s="210"/>
    </row>
    <row r="130" spans="11:20" x14ac:dyDescent="0.2">
      <c r="K130" s="210"/>
      <c r="L130" s="210"/>
      <c r="M130" s="210"/>
      <c r="N130" s="210"/>
      <c r="O130" s="210"/>
      <c r="P130" s="210"/>
      <c r="Q130" s="210"/>
      <c r="R130" s="210"/>
      <c r="S130" s="210"/>
      <c r="T130" s="210"/>
    </row>
    <row r="131" spans="11:20" x14ac:dyDescent="0.2">
      <c r="K131" s="210"/>
      <c r="L131" s="210"/>
      <c r="M131" s="210"/>
      <c r="N131" s="210"/>
      <c r="O131" s="210"/>
      <c r="P131" s="210"/>
      <c r="Q131" s="210"/>
      <c r="R131" s="210"/>
      <c r="S131" s="210"/>
      <c r="T131" s="210"/>
    </row>
    <row r="132" spans="11:20" x14ac:dyDescent="0.2">
      <c r="K132" s="210"/>
      <c r="L132" s="210"/>
      <c r="M132" s="210"/>
      <c r="N132" s="210"/>
      <c r="O132" s="210"/>
      <c r="P132" s="210"/>
      <c r="Q132" s="210"/>
      <c r="R132" s="210"/>
      <c r="S132" s="210"/>
      <c r="T132" s="210"/>
    </row>
    <row r="133" spans="11:20" x14ac:dyDescent="0.2">
      <c r="K133" s="210"/>
      <c r="L133" s="210"/>
      <c r="M133" s="210"/>
      <c r="N133" s="210"/>
      <c r="O133" s="210"/>
      <c r="P133" s="210"/>
      <c r="Q133" s="210"/>
      <c r="R133" s="210"/>
      <c r="S133" s="210"/>
      <c r="T133" s="210"/>
    </row>
    <row r="134" spans="11:20" x14ac:dyDescent="0.2">
      <c r="K134" s="210"/>
      <c r="L134" s="210"/>
      <c r="M134" s="210"/>
      <c r="N134" s="210"/>
      <c r="O134" s="210"/>
      <c r="P134" s="210"/>
      <c r="Q134" s="210"/>
      <c r="R134" s="210"/>
      <c r="S134" s="210"/>
      <c r="T134" s="210"/>
    </row>
    <row r="135" spans="11:20" x14ac:dyDescent="0.2">
      <c r="K135" s="210"/>
      <c r="L135" s="210"/>
      <c r="M135" s="210"/>
      <c r="N135" s="210"/>
      <c r="O135" s="210"/>
      <c r="P135" s="210"/>
      <c r="Q135" s="210"/>
      <c r="R135" s="210"/>
      <c r="S135" s="210"/>
      <c r="T135" s="210"/>
    </row>
    <row r="136" spans="11:20" x14ac:dyDescent="0.2">
      <c r="K136" s="210"/>
      <c r="L136" s="210"/>
      <c r="M136" s="210"/>
      <c r="N136" s="210"/>
      <c r="O136" s="210"/>
      <c r="P136" s="210"/>
      <c r="Q136" s="210"/>
      <c r="R136" s="210"/>
      <c r="S136" s="210"/>
      <c r="T136" s="210"/>
    </row>
    <row r="137" spans="11:20" x14ac:dyDescent="0.2">
      <c r="K137" s="210"/>
      <c r="L137" s="210"/>
      <c r="M137" s="210"/>
      <c r="N137" s="210"/>
      <c r="O137" s="210"/>
      <c r="P137" s="210"/>
      <c r="Q137" s="210"/>
      <c r="R137" s="210"/>
      <c r="S137" s="210"/>
      <c r="T137" s="210"/>
    </row>
    <row r="138" spans="11:20" x14ac:dyDescent="0.2">
      <c r="K138" s="210"/>
      <c r="L138" s="210"/>
      <c r="M138" s="210"/>
      <c r="N138" s="210"/>
      <c r="O138" s="210"/>
      <c r="P138" s="210"/>
      <c r="Q138" s="210"/>
      <c r="R138" s="210"/>
      <c r="S138" s="210"/>
      <c r="T138" s="210"/>
    </row>
    <row r="139" spans="11:20" x14ac:dyDescent="0.2">
      <c r="K139" s="210"/>
      <c r="L139" s="210"/>
      <c r="M139" s="210"/>
      <c r="N139" s="210"/>
      <c r="O139" s="210"/>
      <c r="P139" s="210"/>
      <c r="Q139" s="210"/>
      <c r="R139" s="210"/>
      <c r="S139" s="210"/>
      <c r="T139" s="210"/>
    </row>
    <row r="140" spans="11:20" x14ac:dyDescent="0.2">
      <c r="K140" s="210"/>
      <c r="L140" s="210"/>
      <c r="M140" s="210"/>
      <c r="N140" s="210"/>
      <c r="O140" s="210"/>
      <c r="P140" s="210"/>
      <c r="Q140" s="210"/>
      <c r="R140" s="210"/>
      <c r="S140" s="210"/>
      <c r="T140" s="210"/>
    </row>
    <row r="141" spans="11:20" x14ac:dyDescent="0.2">
      <c r="K141" s="210"/>
      <c r="L141" s="210"/>
      <c r="M141" s="210"/>
      <c r="N141" s="210"/>
      <c r="O141" s="210"/>
      <c r="P141" s="210"/>
      <c r="Q141" s="210"/>
      <c r="R141" s="210"/>
      <c r="S141" s="210"/>
      <c r="T141" s="210"/>
    </row>
    <row r="142" spans="11:20" x14ac:dyDescent="0.2">
      <c r="K142" s="210"/>
      <c r="L142" s="210"/>
      <c r="M142" s="210"/>
      <c r="N142" s="210"/>
      <c r="O142" s="210"/>
      <c r="P142" s="210"/>
      <c r="Q142" s="210"/>
      <c r="R142" s="210"/>
      <c r="S142" s="210"/>
      <c r="T142" s="210"/>
    </row>
    <row r="143" spans="11:20" x14ac:dyDescent="0.2">
      <c r="K143" s="210"/>
      <c r="L143" s="210"/>
      <c r="M143" s="210"/>
      <c r="N143" s="210"/>
      <c r="O143" s="210"/>
      <c r="P143" s="210"/>
      <c r="Q143" s="210"/>
      <c r="R143" s="210"/>
      <c r="S143" s="210"/>
      <c r="T143" s="210"/>
    </row>
    <row r="144" spans="11:20" x14ac:dyDescent="0.2">
      <c r="K144" s="210"/>
      <c r="L144" s="210"/>
      <c r="M144" s="210"/>
      <c r="N144" s="210"/>
      <c r="O144" s="210"/>
      <c r="P144" s="210"/>
      <c r="Q144" s="210"/>
      <c r="R144" s="210"/>
      <c r="S144" s="210"/>
      <c r="T144" s="210"/>
    </row>
    <row r="145" spans="11:20" x14ac:dyDescent="0.2">
      <c r="K145" s="210"/>
      <c r="L145" s="210"/>
      <c r="M145" s="210"/>
      <c r="N145" s="210"/>
      <c r="O145" s="210"/>
      <c r="P145" s="210"/>
      <c r="Q145" s="210"/>
      <c r="R145" s="210"/>
      <c r="S145" s="210"/>
      <c r="T145" s="210"/>
    </row>
    <row r="146" spans="11:20" x14ac:dyDescent="0.2">
      <c r="K146" s="210"/>
      <c r="L146" s="210"/>
      <c r="M146" s="210"/>
      <c r="N146" s="210"/>
      <c r="O146" s="210"/>
      <c r="P146" s="210"/>
      <c r="Q146" s="210"/>
      <c r="R146" s="210"/>
      <c r="S146" s="210"/>
      <c r="T146" s="210"/>
    </row>
    <row r="147" spans="11:20" x14ac:dyDescent="0.2">
      <c r="K147" s="210"/>
      <c r="L147" s="210"/>
      <c r="M147" s="210"/>
      <c r="N147" s="210"/>
      <c r="O147" s="210"/>
      <c r="P147" s="210"/>
      <c r="Q147" s="210"/>
      <c r="R147" s="210"/>
      <c r="S147" s="210"/>
      <c r="T147" s="210"/>
    </row>
    <row r="148" spans="11:20" x14ac:dyDescent="0.2">
      <c r="K148" s="210"/>
      <c r="L148" s="210"/>
      <c r="M148" s="210"/>
      <c r="N148" s="210"/>
      <c r="O148" s="210"/>
      <c r="P148" s="210"/>
      <c r="Q148" s="210"/>
      <c r="R148" s="210"/>
      <c r="S148" s="210"/>
      <c r="T148" s="210"/>
    </row>
    <row r="149" spans="11:20" x14ac:dyDescent="0.2">
      <c r="K149" s="210"/>
      <c r="L149" s="210"/>
      <c r="M149" s="210"/>
      <c r="N149" s="210"/>
      <c r="O149" s="210"/>
      <c r="P149" s="210"/>
      <c r="Q149" s="210"/>
      <c r="R149" s="210"/>
      <c r="S149" s="210"/>
      <c r="T149" s="210"/>
    </row>
    <row r="150" spans="11:20" x14ac:dyDescent="0.2">
      <c r="K150" s="210"/>
      <c r="L150" s="210"/>
      <c r="M150" s="210"/>
      <c r="N150" s="210"/>
      <c r="O150" s="210"/>
      <c r="P150" s="210"/>
      <c r="Q150" s="210"/>
      <c r="R150" s="210"/>
      <c r="S150" s="210"/>
      <c r="T150" s="210"/>
    </row>
    <row r="151" spans="11:20" x14ac:dyDescent="0.2">
      <c r="K151" s="210"/>
      <c r="L151" s="210"/>
      <c r="M151" s="210"/>
      <c r="N151" s="210"/>
      <c r="O151" s="210"/>
      <c r="P151" s="210"/>
      <c r="Q151" s="210"/>
      <c r="R151" s="210"/>
      <c r="S151" s="210"/>
      <c r="T151" s="210"/>
    </row>
    <row r="152" spans="11:20" x14ac:dyDescent="0.2">
      <c r="K152" s="210"/>
      <c r="L152" s="210"/>
      <c r="M152" s="210"/>
      <c r="N152" s="210"/>
      <c r="O152" s="210"/>
      <c r="P152" s="210"/>
      <c r="Q152" s="210"/>
      <c r="R152" s="210"/>
      <c r="S152" s="210"/>
      <c r="T152" s="210"/>
    </row>
    <row r="153" spans="11:20" x14ac:dyDescent="0.2">
      <c r="K153" s="210"/>
      <c r="L153" s="210"/>
      <c r="M153" s="210"/>
      <c r="N153" s="210"/>
      <c r="O153" s="210"/>
      <c r="P153" s="210"/>
      <c r="Q153" s="210"/>
      <c r="R153" s="210"/>
      <c r="S153" s="210"/>
      <c r="T153" s="210"/>
    </row>
    <row r="154" spans="11:20" x14ac:dyDescent="0.2">
      <c r="K154" s="210"/>
      <c r="L154" s="210"/>
      <c r="M154" s="210"/>
      <c r="N154" s="210"/>
      <c r="O154" s="210"/>
      <c r="P154" s="210"/>
      <c r="Q154" s="210"/>
      <c r="R154" s="210"/>
      <c r="S154" s="210"/>
      <c r="T154" s="210"/>
    </row>
    <row r="155" spans="11:20" x14ac:dyDescent="0.2">
      <c r="K155" s="210"/>
      <c r="L155" s="210"/>
      <c r="M155" s="210"/>
      <c r="N155" s="210"/>
      <c r="O155" s="210"/>
      <c r="P155" s="210"/>
      <c r="Q155" s="210"/>
      <c r="R155" s="210"/>
      <c r="S155" s="210"/>
      <c r="T155" s="210"/>
    </row>
    <row r="156" spans="11:20" x14ac:dyDescent="0.2">
      <c r="K156" s="210"/>
      <c r="L156" s="210"/>
      <c r="M156" s="210"/>
      <c r="N156" s="210"/>
      <c r="O156" s="210"/>
      <c r="P156" s="210"/>
      <c r="Q156" s="210"/>
      <c r="R156" s="210"/>
      <c r="S156" s="210"/>
      <c r="T156" s="210"/>
    </row>
    <row r="157" spans="11:20" x14ac:dyDescent="0.2">
      <c r="K157" s="210"/>
      <c r="L157" s="210"/>
      <c r="M157" s="210"/>
      <c r="N157" s="210"/>
      <c r="O157" s="210"/>
      <c r="P157" s="210"/>
      <c r="Q157" s="210"/>
      <c r="R157" s="210"/>
      <c r="S157" s="210"/>
      <c r="T157" s="210"/>
    </row>
    <row r="158" spans="11:20" x14ac:dyDescent="0.2">
      <c r="K158" s="210"/>
      <c r="L158" s="210"/>
      <c r="M158" s="210"/>
      <c r="N158" s="210"/>
      <c r="O158" s="210"/>
      <c r="P158" s="210"/>
      <c r="Q158" s="210"/>
      <c r="R158" s="210"/>
      <c r="S158" s="210"/>
      <c r="T158" s="210"/>
    </row>
    <row r="159" spans="11:20" x14ac:dyDescent="0.2">
      <c r="K159" s="210"/>
      <c r="L159" s="210"/>
      <c r="M159" s="210"/>
      <c r="N159" s="210"/>
      <c r="O159" s="210"/>
      <c r="P159" s="210"/>
      <c r="Q159" s="210"/>
      <c r="R159" s="210"/>
      <c r="S159" s="210"/>
      <c r="T159" s="210"/>
    </row>
    <row r="160" spans="11:20" x14ac:dyDescent="0.2">
      <c r="K160" s="210"/>
      <c r="L160" s="210"/>
      <c r="M160" s="210"/>
      <c r="N160" s="210"/>
      <c r="O160" s="210"/>
      <c r="P160" s="210"/>
      <c r="Q160" s="210"/>
      <c r="R160" s="210"/>
      <c r="S160" s="210"/>
      <c r="T160" s="210"/>
    </row>
    <row r="161" spans="11:20" x14ac:dyDescent="0.2">
      <c r="K161" s="210"/>
      <c r="L161" s="210"/>
      <c r="M161" s="210"/>
      <c r="N161" s="210"/>
      <c r="O161" s="210"/>
      <c r="P161" s="210"/>
      <c r="Q161" s="210"/>
      <c r="R161" s="210"/>
      <c r="S161" s="210"/>
      <c r="T161" s="210"/>
    </row>
    <row r="162" spans="11:20" x14ac:dyDescent="0.2">
      <c r="K162" s="210"/>
      <c r="L162" s="210"/>
      <c r="M162" s="210"/>
      <c r="N162" s="210"/>
      <c r="O162" s="210"/>
      <c r="P162" s="210"/>
      <c r="Q162" s="210"/>
      <c r="R162" s="210"/>
      <c r="S162" s="210"/>
      <c r="T162" s="210"/>
    </row>
    <row r="163" spans="11:20" x14ac:dyDescent="0.2">
      <c r="K163" s="210"/>
      <c r="L163" s="210"/>
      <c r="M163" s="210"/>
      <c r="N163" s="210"/>
      <c r="O163" s="210"/>
      <c r="P163" s="210"/>
      <c r="Q163" s="210"/>
      <c r="R163" s="210"/>
      <c r="S163" s="210"/>
      <c r="T163" s="210"/>
    </row>
    <row r="164" spans="11:20" x14ac:dyDescent="0.2">
      <c r="K164" s="210"/>
      <c r="L164" s="210"/>
      <c r="M164" s="210"/>
      <c r="N164" s="210"/>
      <c r="O164" s="210"/>
      <c r="P164" s="210"/>
      <c r="Q164" s="210"/>
      <c r="R164" s="210"/>
      <c r="S164" s="210"/>
      <c r="T164" s="210"/>
    </row>
    <row r="165" spans="11:20" x14ac:dyDescent="0.2">
      <c r="K165" s="210"/>
      <c r="L165" s="210"/>
      <c r="M165" s="210"/>
      <c r="N165" s="210"/>
      <c r="O165" s="210"/>
      <c r="P165" s="210"/>
      <c r="Q165" s="210"/>
      <c r="R165" s="210"/>
      <c r="S165" s="210"/>
      <c r="T165" s="210"/>
    </row>
    <row r="166" spans="11:20" x14ac:dyDescent="0.2">
      <c r="K166" s="210"/>
      <c r="L166" s="210"/>
      <c r="M166" s="210"/>
      <c r="N166" s="210"/>
      <c r="O166" s="210"/>
      <c r="P166" s="210"/>
      <c r="Q166" s="210"/>
      <c r="R166" s="210"/>
      <c r="S166" s="210"/>
      <c r="T166" s="210"/>
    </row>
    <row r="167" spans="11:20" x14ac:dyDescent="0.2">
      <c r="K167" s="246"/>
      <c r="L167" s="210"/>
      <c r="M167" s="210"/>
      <c r="N167" s="210"/>
      <c r="O167" s="210"/>
      <c r="P167" s="210"/>
      <c r="Q167" s="210"/>
      <c r="R167" s="210"/>
      <c r="S167" s="210"/>
      <c r="T167" s="210"/>
    </row>
    <row r="168" spans="11:20" x14ac:dyDescent="0.2">
      <c r="K168" s="246"/>
      <c r="L168" s="210"/>
      <c r="M168" s="210"/>
      <c r="N168" s="210"/>
      <c r="O168" s="210"/>
      <c r="P168" s="210"/>
      <c r="Q168" s="210"/>
      <c r="R168" s="210"/>
      <c r="S168" s="210"/>
      <c r="T168" s="210"/>
    </row>
    <row r="169" spans="11:20" x14ac:dyDescent="0.2">
      <c r="K169" s="246"/>
      <c r="L169" s="210"/>
      <c r="M169" s="210"/>
      <c r="N169" s="210"/>
      <c r="O169" s="210"/>
      <c r="P169" s="210"/>
      <c r="Q169" s="210"/>
      <c r="R169" s="210"/>
      <c r="S169" s="210"/>
      <c r="T169" s="210"/>
    </row>
    <row r="170" spans="11:20" x14ac:dyDescent="0.2">
      <c r="K170" s="246"/>
      <c r="L170" s="210"/>
      <c r="M170" s="210"/>
      <c r="N170" s="210"/>
      <c r="O170" s="210"/>
      <c r="P170" s="210"/>
      <c r="Q170" s="210"/>
      <c r="R170" s="210"/>
      <c r="S170" s="210"/>
      <c r="T170" s="210"/>
    </row>
    <row r="171" spans="11:20" x14ac:dyDescent="0.2">
      <c r="K171" s="246"/>
      <c r="L171" s="210"/>
      <c r="M171" s="210"/>
      <c r="N171" s="210"/>
      <c r="O171" s="210"/>
      <c r="P171" s="210"/>
      <c r="Q171" s="210"/>
      <c r="R171" s="210"/>
      <c r="S171" s="210"/>
      <c r="T171" s="210"/>
    </row>
    <row r="172" spans="11:20" x14ac:dyDescent="0.2">
      <c r="K172" s="246"/>
      <c r="L172" s="210"/>
      <c r="M172" s="210"/>
      <c r="N172" s="210"/>
      <c r="O172" s="210"/>
      <c r="P172" s="210"/>
      <c r="Q172" s="210"/>
      <c r="R172" s="210"/>
      <c r="S172" s="210"/>
      <c r="T172" s="210"/>
    </row>
    <row r="173" spans="11:20" x14ac:dyDescent="0.2">
      <c r="K173" s="246"/>
      <c r="L173" s="210"/>
      <c r="M173" s="210"/>
      <c r="N173" s="210"/>
      <c r="O173" s="210"/>
      <c r="P173" s="210"/>
      <c r="Q173" s="210"/>
      <c r="R173" s="210"/>
      <c r="S173" s="210"/>
      <c r="T173" s="210"/>
    </row>
    <row r="174" spans="11:20" x14ac:dyDescent="0.2">
      <c r="K174" s="210"/>
      <c r="L174" s="210"/>
      <c r="M174" s="210"/>
      <c r="N174" s="210"/>
      <c r="O174" s="210"/>
      <c r="P174" s="210"/>
      <c r="Q174" s="210"/>
      <c r="R174" s="210"/>
      <c r="S174" s="210"/>
      <c r="T174" s="210"/>
    </row>
    <row r="175" spans="11:20" x14ac:dyDescent="0.2">
      <c r="K175" s="210"/>
      <c r="L175" s="210"/>
      <c r="M175" s="210"/>
      <c r="N175" s="210"/>
      <c r="O175" s="210"/>
      <c r="P175" s="210"/>
      <c r="Q175" s="210"/>
      <c r="R175" s="210"/>
      <c r="S175" s="210"/>
      <c r="T175" s="210"/>
    </row>
    <row r="176" spans="11:20" x14ac:dyDescent="0.2">
      <c r="K176" s="247"/>
      <c r="L176" s="210"/>
      <c r="M176" s="210"/>
      <c r="N176" s="210"/>
      <c r="O176" s="210"/>
      <c r="P176" s="210"/>
      <c r="Q176" s="210"/>
      <c r="R176" s="210"/>
      <c r="S176" s="210"/>
      <c r="T176" s="210"/>
    </row>
    <row r="177" spans="11:20" x14ac:dyDescent="0.2">
      <c r="K177" s="246"/>
      <c r="L177" s="210"/>
      <c r="M177" s="210"/>
      <c r="N177" s="210"/>
      <c r="O177" s="210"/>
      <c r="P177" s="210"/>
      <c r="Q177" s="210"/>
      <c r="R177" s="210"/>
      <c r="S177" s="210"/>
      <c r="T177" s="210"/>
    </row>
    <row r="178" spans="11:20" x14ac:dyDescent="0.2">
      <c r="K178" s="234"/>
      <c r="L178" s="210"/>
      <c r="M178" s="210"/>
      <c r="N178" s="210"/>
      <c r="O178" s="210"/>
      <c r="P178" s="210"/>
      <c r="Q178" s="210"/>
      <c r="R178" s="210"/>
      <c r="S178" s="210"/>
      <c r="T178" s="210"/>
    </row>
    <row r="179" spans="11:20" x14ac:dyDescent="0.2">
      <c r="K179" s="248"/>
      <c r="L179" s="210"/>
      <c r="M179" s="210"/>
      <c r="N179" s="210"/>
      <c r="O179" s="210"/>
      <c r="P179" s="210"/>
      <c r="Q179" s="210"/>
      <c r="R179" s="210"/>
      <c r="S179" s="210"/>
      <c r="T179" s="210"/>
    </row>
    <row r="180" spans="11:20" x14ac:dyDescent="0.2">
      <c r="K180" s="232"/>
      <c r="L180" s="210"/>
      <c r="M180" s="210"/>
      <c r="N180" s="210"/>
      <c r="O180" s="210"/>
      <c r="P180" s="210"/>
      <c r="Q180" s="210"/>
      <c r="R180" s="210"/>
      <c r="S180" s="210"/>
      <c r="T180" s="210"/>
    </row>
    <row r="181" spans="11:20" x14ac:dyDescent="0.2">
      <c r="K181" s="246"/>
      <c r="L181" s="210"/>
      <c r="M181" s="210"/>
      <c r="N181" s="210"/>
      <c r="O181" s="210"/>
      <c r="P181" s="210"/>
      <c r="Q181" s="210"/>
      <c r="R181" s="210"/>
      <c r="S181" s="210"/>
      <c r="T181" s="210"/>
    </row>
    <row r="182" spans="11:20" x14ac:dyDescent="0.2">
      <c r="K182" s="246"/>
      <c r="L182" s="210"/>
      <c r="M182" s="210"/>
      <c r="N182" s="210"/>
      <c r="O182" s="210"/>
      <c r="P182" s="210"/>
      <c r="Q182" s="210"/>
      <c r="R182" s="210"/>
      <c r="S182" s="210"/>
      <c r="T182" s="210"/>
    </row>
    <row r="183" spans="11:20" x14ac:dyDescent="0.2">
      <c r="K183" s="246"/>
      <c r="L183" s="210"/>
      <c r="M183" s="210"/>
      <c r="N183" s="210"/>
      <c r="O183" s="210"/>
      <c r="P183" s="210"/>
      <c r="Q183" s="210"/>
      <c r="R183" s="210"/>
      <c r="S183" s="210"/>
      <c r="T183" s="210"/>
    </row>
    <row r="184" spans="11:20" x14ac:dyDescent="0.2">
      <c r="K184" s="246"/>
      <c r="L184" s="210"/>
      <c r="M184" s="210"/>
      <c r="N184" s="210"/>
      <c r="O184" s="210"/>
      <c r="P184" s="210"/>
      <c r="Q184" s="210"/>
      <c r="R184" s="210"/>
      <c r="S184" s="210"/>
      <c r="T184" s="210"/>
    </row>
    <row r="185" spans="11:20" x14ac:dyDescent="0.2">
      <c r="K185" s="246"/>
      <c r="L185" s="210"/>
      <c r="M185" s="210"/>
      <c r="N185" s="210"/>
      <c r="O185" s="210"/>
      <c r="P185" s="210"/>
      <c r="Q185" s="210"/>
      <c r="R185" s="210"/>
      <c r="S185" s="210"/>
      <c r="T185" s="210"/>
    </row>
    <row r="186" spans="11:20" x14ac:dyDescent="0.2">
      <c r="K186" s="246"/>
      <c r="L186" s="210"/>
      <c r="M186" s="210"/>
      <c r="N186" s="210"/>
      <c r="O186" s="210"/>
      <c r="P186" s="210"/>
      <c r="Q186" s="210"/>
      <c r="R186" s="210"/>
      <c r="S186" s="210"/>
      <c r="T186" s="210"/>
    </row>
    <row r="187" spans="11:20" x14ac:dyDescent="0.2">
      <c r="K187" s="210"/>
      <c r="L187" s="210"/>
      <c r="M187" s="210"/>
      <c r="N187" s="210"/>
      <c r="O187" s="210"/>
      <c r="P187" s="210"/>
      <c r="Q187" s="210"/>
      <c r="R187" s="210"/>
      <c r="S187" s="210"/>
      <c r="T187" s="210"/>
    </row>
    <row r="188" spans="11:20" x14ac:dyDescent="0.2">
      <c r="K188" s="210"/>
      <c r="L188" s="210"/>
      <c r="M188" s="210"/>
      <c r="N188" s="210"/>
      <c r="O188" s="210"/>
      <c r="P188" s="210"/>
      <c r="Q188" s="210"/>
      <c r="R188" s="210"/>
      <c r="S188" s="210"/>
      <c r="T188" s="210"/>
    </row>
    <row r="189" spans="11:20" x14ac:dyDescent="0.2">
      <c r="K189" s="210"/>
      <c r="L189" s="210"/>
      <c r="M189" s="210"/>
      <c r="N189" s="210"/>
      <c r="O189" s="210"/>
      <c r="P189" s="210"/>
      <c r="Q189" s="210"/>
      <c r="R189" s="210"/>
      <c r="S189" s="210"/>
      <c r="T189" s="210"/>
    </row>
    <row r="190" spans="11:20" x14ac:dyDescent="0.2">
      <c r="K190" s="210"/>
      <c r="L190" s="210"/>
      <c r="M190" s="210"/>
      <c r="N190" s="210"/>
      <c r="O190" s="210"/>
      <c r="P190" s="210"/>
      <c r="Q190" s="210"/>
      <c r="R190" s="210"/>
      <c r="S190" s="210"/>
      <c r="T190" s="210"/>
    </row>
    <row r="191" spans="11:20" x14ac:dyDescent="0.2">
      <c r="K191" s="210"/>
      <c r="L191" s="210"/>
      <c r="M191" s="210"/>
      <c r="N191" s="210"/>
      <c r="O191" s="210"/>
      <c r="P191" s="210"/>
      <c r="Q191" s="210"/>
      <c r="R191" s="210"/>
      <c r="S191" s="210"/>
      <c r="T191" s="210"/>
    </row>
    <row r="192" spans="11:20" x14ac:dyDescent="0.2">
      <c r="K192" s="210"/>
      <c r="L192" s="210"/>
      <c r="M192" s="210"/>
      <c r="N192" s="210"/>
      <c r="O192" s="210"/>
      <c r="P192" s="210"/>
      <c r="Q192" s="210"/>
      <c r="R192" s="210"/>
      <c r="S192" s="210"/>
      <c r="T192" s="210"/>
    </row>
    <row r="193" spans="11:20" x14ac:dyDescent="0.2">
      <c r="K193" s="210"/>
      <c r="L193" s="210"/>
      <c r="M193" s="210"/>
      <c r="N193" s="210"/>
      <c r="O193" s="210"/>
      <c r="P193" s="210"/>
      <c r="Q193" s="210"/>
      <c r="R193" s="210"/>
      <c r="S193" s="210"/>
      <c r="T193" s="210"/>
    </row>
    <row r="194" spans="11:20" x14ac:dyDescent="0.2">
      <c r="K194" s="210"/>
      <c r="L194" s="210"/>
      <c r="M194" s="210"/>
      <c r="N194" s="210"/>
      <c r="O194" s="210"/>
      <c r="P194" s="210"/>
      <c r="Q194" s="210"/>
      <c r="R194" s="210"/>
      <c r="S194" s="210"/>
      <c r="T194" s="210"/>
    </row>
    <row r="195" spans="11:20" x14ac:dyDescent="0.2">
      <c r="K195" s="210"/>
      <c r="L195" s="210"/>
      <c r="M195" s="210"/>
      <c r="N195" s="210"/>
      <c r="O195" s="210"/>
      <c r="P195" s="210"/>
      <c r="Q195" s="210"/>
      <c r="R195" s="210"/>
      <c r="S195" s="210"/>
      <c r="T195" s="210"/>
    </row>
    <row r="196" spans="11:20" x14ac:dyDescent="0.2">
      <c r="K196" s="210"/>
      <c r="L196" s="210"/>
      <c r="M196" s="210"/>
      <c r="N196" s="210"/>
      <c r="O196" s="210"/>
      <c r="P196" s="210"/>
      <c r="Q196" s="210"/>
      <c r="R196" s="210"/>
      <c r="S196" s="210"/>
      <c r="T196" s="210"/>
    </row>
    <row r="197" spans="11:20" x14ac:dyDescent="0.2">
      <c r="K197" s="235"/>
      <c r="L197" s="210"/>
      <c r="M197" s="210"/>
      <c r="N197" s="210"/>
      <c r="O197" s="210"/>
      <c r="P197" s="210"/>
      <c r="Q197" s="210"/>
      <c r="R197" s="210"/>
      <c r="S197" s="210"/>
      <c r="T197" s="210"/>
    </row>
    <row r="198" spans="11:20" x14ac:dyDescent="0.2">
      <c r="K198" s="235"/>
      <c r="L198" s="210"/>
      <c r="M198" s="210"/>
      <c r="N198" s="210"/>
      <c r="O198" s="210"/>
      <c r="P198" s="210"/>
      <c r="Q198" s="210"/>
      <c r="R198" s="210"/>
      <c r="S198" s="210"/>
      <c r="T198" s="210"/>
    </row>
    <row r="199" spans="11:20" x14ac:dyDescent="0.2">
      <c r="K199" s="210"/>
      <c r="L199" s="210"/>
      <c r="M199" s="210"/>
      <c r="N199" s="210"/>
      <c r="O199" s="210"/>
      <c r="P199" s="210"/>
      <c r="Q199" s="210"/>
      <c r="R199" s="210"/>
      <c r="S199" s="210"/>
      <c r="T199" s="210"/>
    </row>
    <row r="200" spans="11:20" x14ac:dyDescent="0.2">
      <c r="K200" s="232"/>
      <c r="L200" s="210"/>
      <c r="M200" s="210"/>
      <c r="N200" s="210"/>
      <c r="O200" s="210"/>
      <c r="P200" s="210"/>
      <c r="Q200" s="210"/>
      <c r="R200" s="210"/>
      <c r="S200" s="210"/>
      <c r="T200" s="210"/>
    </row>
    <row r="201" spans="11:20" x14ac:dyDescent="0.2">
      <c r="K201" s="235"/>
      <c r="L201" s="210"/>
      <c r="M201" s="210"/>
      <c r="N201" s="210"/>
      <c r="O201" s="210"/>
      <c r="P201" s="210"/>
      <c r="Q201" s="210"/>
      <c r="R201" s="210"/>
      <c r="S201" s="210"/>
      <c r="T201" s="210"/>
    </row>
    <row r="202" spans="11:20" x14ac:dyDescent="0.2">
      <c r="K202" s="232"/>
      <c r="L202" s="210"/>
      <c r="M202" s="210"/>
      <c r="N202" s="210"/>
      <c r="O202" s="210"/>
      <c r="P202" s="210"/>
      <c r="Q202" s="210"/>
      <c r="R202" s="210"/>
      <c r="S202" s="210"/>
      <c r="T202" s="210"/>
    </row>
    <row r="203" spans="11:20" x14ac:dyDescent="0.2">
      <c r="K203" s="232"/>
      <c r="L203" s="210"/>
      <c r="M203" s="210"/>
      <c r="N203" s="210"/>
      <c r="O203" s="210"/>
      <c r="P203" s="210"/>
      <c r="Q203" s="210"/>
      <c r="R203" s="210"/>
      <c r="S203" s="210"/>
      <c r="T203" s="210"/>
    </row>
    <row r="204" spans="11:20" x14ac:dyDescent="0.2">
      <c r="K204" s="210"/>
      <c r="L204" s="210"/>
      <c r="M204" s="210"/>
      <c r="N204" s="210"/>
      <c r="O204" s="210"/>
      <c r="P204" s="210"/>
      <c r="Q204" s="210"/>
      <c r="R204" s="210"/>
      <c r="S204" s="210"/>
      <c r="T204" s="210"/>
    </row>
    <row r="205" spans="11:20" x14ac:dyDescent="0.2">
      <c r="K205" s="210"/>
      <c r="L205" s="210"/>
      <c r="M205" s="210"/>
      <c r="N205" s="210"/>
      <c r="O205" s="210"/>
      <c r="P205" s="210"/>
      <c r="Q205" s="210"/>
      <c r="R205" s="210"/>
      <c r="S205" s="210"/>
      <c r="T205" s="210"/>
    </row>
    <row r="206" spans="11:20" x14ac:dyDescent="0.2">
      <c r="K206" s="210"/>
      <c r="L206" s="210"/>
      <c r="M206" s="210"/>
      <c r="N206" s="210"/>
      <c r="O206" s="210"/>
      <c r="P206" s="210"/>
      <c r="Q206" s="210"/>
      <c r="R206" s="210"/>
      <c r="S206" s="210"/>
      <c r="T206" s="210"/>
    </row>
    <row r="207" spans="11:20" x14ac:dyDescent="0.2">
      <c r="K207" s="210"/>
      <c r="L207" s="210"/>
      <c r="M207" s="210"/>
      <c r="N207" s="210"/>
      <c r="O207" s="210"/>
      <c r="P207" s="210"/>
      <c r="Q207" s="210"/>
      <c r="R207" s="210"/>
      <c r="S207" s="210"/>
      <c r="T207" s="210"/>
    </row>
    <row r="208" spans="11:20" x14ac:dyDescent="0.2">
      <c r="K208" s="210"/>
      <c r="L208" s="210"/>
      <c r="M208" s="210"/>
      <c r="N208" s="210"/>
      <c r="O208" s="210"/>
      <c r="P208" s="210"/>
      <c r="Q208" s="210"/>
      <c r="R208" s="210"/>
      <c r="S208" s="210"/>
      <c r="T208" s="210"/>
    </row>
    <row r="209" spans="11:20" x14ac:dyDescent="0.2">
      <c r="K209" s="208"/>
      <c r="L209" s="210"/>
      <c r="M209" s="210"/>
      <c r="N209" s="210"/>
      <c r="O209" s="210"/>
      <c r="P209" s="210"/>
      <c r="Q209" s="210"/>
      <c r="R209" s="210"/>
      <c r="S209" s="210"/>
      <c r="T209" s="210"/>
    </row>
    <row r="210" spans="11:20" x14ac:dyDescent="0.2">
      <c r="K210" s="208"/>
      <c r="L210" s="210"/>
      <c r="M210" s="210"/>
      <c r="N210" s="210"/>
      <c r="O210" s="210"/>
      <c r="P210" s="210"/>
      <c r="Q210" s="210"/>
      <c r="R210" s="210"/>
      <c r="S210" s="210"/>
      <c r="T210" s="210"/>
    </row>
    <row r="211" spans="11:20" x14ac:dyDescent="0.2">
      <c r="K211" s="208"/>
      <c r="L211" s="210"/>
      <c r="M211" s="210"/>
      <c r="N211" s="210"/>
      <c r="O211" s="210"/>
      <c r="P211" s="210"/>
      <c r="Q211" s="210"/>
      <c r="R211" s="210"/>
      <c r="S211" s="210"/>
      <c r="T211" s="210"/>
    </row>
    <row r="212" spans="11:20" x14ac:dyDescent="0.2">
      <c r="K212" s="208"/>
      <c r="L212" s="210"/>
      <c r="M212" s="210"/>
      <c r="N212" s="210"/>
      <c r="O212" s="210"/>
      <c r="P212" s="210"/>
      <c r="Q212" s="210"/>
      <c r="R212" s="210"/>
      <c r="S212" s="210"/>
      <c r="T212" s="210"/>
    </row>
    <row r="213" spans="11:20" x14ac:dyDescent="0.2">
      <c r="K213" s="210"/>
      <c r="L213" s="210"/>
      <c r="M213" s="210"/>
      <c r="N213" s="210"/>
      <c r="O213" s="210"/>
      <c r="P213" s="210"/>
      <c r="Q213" s="210"/>
      <c r="R213" s="210"/>
      <c r="S213" s="210"/>
      <c r="T213" s="210"/>
    </row>
    <row r="214" spans="11:20" x14ac:dyDescent="0.2">
      <c r="K214" s="210"/>
      <c r="L214" s="210"/>
      <c r="M214" s="210"/>
      <c r="N214" s="210"/>
      <c r="O214" s="210"/>
      <c r="P214" s="210"/>
      <c r="Q214" s="210"/>
      <c r="R214" s="210"/>
      <c r="S214" s="210"/>
      <c r="T214" s="210"/>
    </row>
    <row r="215" spans="11:20" x14ac:dyDescent="0.2">
      <c r="K215" s="247"/>
      <c r="L215" s="210"/>
      <c r="M215" s="210"/>
      <c r="N215" s="210"/>
      <c r="O215" s="210"/>
      <c r="P215" s="210"/>
      <c r="Q215" s="210"/>
      <c r="R215" s="210"/>
      <c r="S215" s="210"/>
      <c r="T215" s="210"/>
    </row>
    <row r="216" spans="11:20" x14ac:dyDescent="0.2">
      <c r="K216" s="210"/>
      <c r="L216" s="210"/>
      <c r="M216" s="210"/>
      <c r="N216" s="210"/>
      <c r="O216" s="210"/>
      <c r="P216" s="210"/>
      <c r="Q216" s="210"/>
      <c r="R216" s="210"/>
      <c r="S216" s="210"/>
      <c r="T216" s="210"/>
    </row>
    <row r="217" spans="11:20" x14ac:dyDescent="0.2">
      <c r="K217" s="208"/>
      <c r="L217" s="210"/>
      <c r="M217" s="210"/>
      <c r="N217" s="210"/>
      <c r="O217" s="210"/>
      <c r="P217" s="210"/>
      <c r="Q217" s="210"/>
      <c r="R217" s="210"/>
      <c r="S217" s="210"/>
      <c r="T217" s="210"/>
    </row>
    <row r="218" spans="11:20" x14ac:dyDescent="0.2">
      <c r="K218" s="208"/>
      <c r="L218" s="210"/>
      <c r="M218" s="210"/>
      <c r="N218" s="210"/>
      <c r="O218" s="210"/>
      <c r="P218" s="210"/>
      <c r="Q218" s="210"/>
      <c r="R218" s="210"/>
      <c r="S218" s="210"/>
      <c r="T218" s="210"/>
    </row>
    <row r="219" spans="11:20" x14ac:dyDescent="0.2">
      <c r="K219" s="208"/>
      <c r="L219" s="210"/>
      <c r="M219" s="210"/>
      <c r="N219" s="210"/>
      <c r="O219" s="210"/>
      <c r="P219" s="210"/>
      <c r="Q219" s="210"/>
      <c r="R219" s="210"/>
      <c r="S219" s="210"/>
      <c r="T219" s="210"/>
    </row>
    <row r="220" spans="11:20" x14ac:dyDescent="0.2">
      <c r="K220" s="208"/>
      <c r="L220" s="210"/>
      <c r="M220" s="210"/>
      <c r="N220" s="210"/>
      <c r="O220" s="210"/>
      <c r="P220" s="210"/>
      <c r="Q220" s="210"/>
      <c r="R220" s="210"/>
      <c r="S220" s="210"/>
      <c r="T220" s="210"/>
    </row>
    <row r="221" spans="11:20" x14ac:dyDescent="0.2">
      <c r="K221" s="210"/>
      <c r="L221" s="210"/>
      <c r="M221" s="210"/>
      <c r="N221" s="210"/>
      <c r="O221" s="210"/>
      <c r="P221" s="210"/>
      <c r="Q221" s="210"/>
      <c r="R221" s="210"/>
      <c r="S221" s="210"/>
      <c r="T221" s="210"/>
    </row>
    <row r="222" spans="11:20" x14ac:dyDescent="0.2">
      <c r="K222" s="210"/>
      <c r="L222" s="210"/>
      <c r="M222" s="210"/>
      <c r="N222" s="210"/>
      <c r="O222" s="210"/>
      <c r="P222" s="210"/>
      <c r="Q222" s="210"/>
      <c r="R222" s="210"/>
      <c r="S222" s="210"/>
      <c r="T222" s="210"/>
    </row>
    <row r="223" spans="11:20" x14ac:dyDescent="0.2">
      <c r="K223" s="246"/>
      <c r="L223" s="210"/>
      <c r="M223" s="210"/>
      <c r="N223" s="210"/>
      <c r="O223" s="210"/>
      <c r="P223" s="210"/>
      <c r="Q223" s="210"/>
      <c r="R223" s="210"/>
      <c r="S223" s="210"/>
      <c r="T223" s="210"/>
    </row>
    <row r="224" spans="11:20" x14ac:dyDescent="0.2">
      <c r="K224" s="210"/>
      <c r="L224" s="210"/>
      <c r="M224" s="210"/>
      <c r="N224" s="210"/>
      <c r="O224" s="210"/>
      <c r="P224" s="210"/>
      <c r="Q224" s="210"/>
      <c r="R224" s="210"/>
      <c r="S224" s="210"/>
      <c r="T224" s="210"/>
    </row>
    <row r="225" spans="11:20" x14ac:dyDescent="0.2">
      <c r="K225" s="210"/>
      <c r="L225" s="210"/>
      <c r="M225" s="210"/>
      <c r="N225" s="210"/>
      <c r="O225" s="210"/>
      <c r="P225" s="210"/>
      <c r="Q225" s="210"/>
      <c r="R225" s="210"/>
      <c r="S225" s="210"/>
      <c r="T225" s="210"/>
    </row>
    <row r="226" spans="11:20" x14ac:dyDescent="0.2">
      <c r="K226" s="210"/>
      <c r="L226" s="210"/>
      <c r="M226" s="210"/>
      <c r="N226" s="210"/>
      <c r="O226" s="210"/>
      <c r="P226" s="210"/>
      <c r="Q226" s="210"/>
      <c r="R226" s="210"/>
      <c r="S226" s="210"/>
      <c r="T226" s="210"/>
    </row>
  </sheetData>
  <mergeCells count="7">
    <mergeCell ref="B4:I4"/>
    <mergeCell ref="U35:U39"/>
    <mergeCell ref="V26:V30"/>
    <mergeCell ref="C5:H5"/>
    <mergeCell ref="B7:H7"/>
    <mergeCell ref="B8:H8"/>
    <mergeCell ref="E14:H14"/>
  </mergeCells>
  <conditionalFormatting sqref="B1">
    <cfRule type="cellIs" dxfId="1" priority="1" stopIfTrue="1" operator="equal">
      <formula>0</formula>
    </cfRule>
    <cfRule type="cellIs" dxfId="0" priority="2" stopIfTrue="1" operator="notEqual">
      <formula>0</formula>
    </cfRule>
  </conditionalFormatting>
  <pageMargins left="0.7" right="0.7" top="0.75" bottom="0.75" header="0.3" footer="0.3"/>
  <pageSetup orientation="portrait" r:id="rId1"/>
  <ignoredErrors>
    <ignoredError sqref="C38" formulaRange="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AM39"/>
  <sheetViews>
    <sheetView showGridLines="0" zoomScale="70" zoomScaleNormal="70" workbookViewId="0">
      <pane xSplit="3" ySplit="3" topLeftCell="D4" activePane="bottomRight" state="frozen"/>
      <selection pane="topRight" activeCell="D1" sqref="D1"/>
      <selection pane="bottomLeft" activeCell="A4" sqref="A4"/>
      <selection pane="bottomRight" activeCell="A4" sqref="A4"/>
    </sheetView>
  </sheetViews>
  <sheetFormatPr defaultColWidth="8.83203125" defaultRowHeight="12.75" x14ac:dyDescent="0.2"/>
  <cols>
    <col min="1" max="1" width="4.83203125" style="312" customWidth="1"/>
    <col min="2" max="2" width="6.1640625" style="312" customWidth="1"/>
    <col min="3" max="3" width="21.83203125" style="312" customWidth="1"/>
    <col min="4" max="4" width="12.5" style="312" bestFit="1" customWidth="1"/>
    <col min="5" max="5" width="13.83203125" style="312" hidden="1" customWidth="1"/>
    <col min="6" max="9" width="11.1640625" style="312" hidden="1" customWidth="1"/>
    <col min="10" max="11" width="13.6640625" style="312" bestFit="1" customWidth="1"/>
    <col min="12" max="12" width="13" style="312" bestFit="1" customWidth="1"/>
    <col min="13" max="14" width="13.5" style="312" bestFit="1" customWidth="1"/>
    <col min="15" max="15" width="17.33203125" style="312" bestFit="1" customWidth="1"/>
    <col min="16" max="16" width="13.5" style="312" bestFit="1" customWidth="1"/>
    <col min="17" max="17" width="14.33203125" style="312" customWidth="1"/>
    <col min="18" max="18" width="13.5" style="312" bestFit="1" customWidth="1"/>
    <col min="19" max="21" width="13" style="312" bestFit="1" customWidth="1"/>
    <col min="22" max="30" width="13.5" style="312" bestFit="1" customWidth="1"/>
    <col min="31" max="31" width="13" style="330" bestFit="1" customWidth="1"/>
    <col min="32" max="16384" width="8.83203125" style="312"/>
  </cols>
  <sheetData>
    <row r="1" spans="2:39" s="321" customFormat="1" ht="20.25" x14ac:dyDescent="0.2">
      <c r="B1" s="320" t="s">
        <v>140</v>
      </c>
      <c r="N1" s="251" t="s">
        <v>450</v>
      </c>
      <c r="AE1" s="322"/>
    </row>
    <row r="2" spans="2:39" s="321" customFormat="1" ht="18" x14ac:dyDescent="0.2">
      <c r="B2" s="323" t="s">
        <v>205</v>
      </c>
      <c r="K2" s="324" t="s">
        <v>206</v>
      </c>
      <c r="L2" s="324" t="s">
        <v>207</v>
      </c>
      <c r="M2" s="324" t="s">
        <v>208</v>
      </c>
      <c r="N2" s="324" t="s">
        <v>209</v>
      </c>
      <c r="O2" s="324" t="s">
        <v>210</v>
      </c>
      <c r="P2" s="324" t="s">
        <v>211</v>
      </c>
      <c r="Q2" s="324" t="s">
        <v>212</v>
      </c>
      <c r="R2" s="324" t="s">
        <v>213</v>
      </c>
      <c r="S2" s="324" t="s">
        <v>214</v>
      </c>
      <c r="T2" s="324" t="s">
        <v>215</v>
      </c>
      <c r="U2" s="324" t="s">
        <v>216</v>
      </c>
      <c r="V2" s="324" t="s">
        <v>217</v>
      </c>
      <c r="W2" s="324" t="s">
        <v>218</v>
      </c>
      <c r="X2" s="324" t="s">
        <v>219</v>
      </c>
      <c r="Y2" s="324" t="s">
        <v>220</v>
      </c>
      <c r="Z2" s="324" t="s">
        <v>221</v>
      </c>
      <c r="AA2" s="324" t="s">
        <v>222</v>
      </c>
      <c r="AB2" s="324" t="s">
        <v>223</v>
      </c>
      <c r="AC2" s="324" t="s">
        <v>224</v>
      </c>
      <c r="AD2" s="324" t="s">
        <v>225</v>
      </c>
      <c r="AE2" s="325" t="s">
        <v>226</v>
      </c>
    </row>
    <row r="3" spans="2:39" s="326" customFormat="1" x14ac:dyDescent="0.2">
      <c r="K3" s="326">
        <v>2008</v>
      </c>
      <c r="L3" s="326">
        <v>2009</v>
      </c>
      <c r="M3" s="326">
        <v>2010</v>
      </c>
      <c r="N3" s="326">
        <v>2011</v>
      </c>
      <c r="O3" s="326">
        <v>2012</v>
      </c>
      <c r="P3" s="326">
        <v>2013</v>
      </c>
      <c r="Q3" s="326">
        <v>2014</v>
      </c>
      <c r="R3" s="326">
        <v>2015</v>
      </c>
      <c r="S3" s="326">
        <v>2016</v>
      </c>
      <c r="T3" s="326">
        <v>2017</v>
      </c>
      <c r="U3" s="326">
        <v>2018</v>
      </c>
      <c r="V3" s="326">
        <v>2019</v>
      </c>
      <c r="W3" s="326">
        <v>2020</v>
      </c>
      <c r="X3" s="326">
        <v>2021</v>
      </c>
      <c r="Y3" s="326">
        <v>2022</v>
      </c>
      <c r="Z3" s="326">
        <v>2023</v>
      </c>
      <c r="AA3" s="326">
        <v>2024</v>
      </c>
      <c r="AB3" s="326">
        <v>2025</v>
      </c>
      <c r="AC3" s="326">
        <v>2026</v>
      </c>
      <c r="AD3" s="326">
        <v>2027</v>
      </c>
      <c r="AE3" s="327">
        <v>2028</v>
      </c>
    </row>
    <row r="4" spans="2:39" s="321" customFormat="1" x14ac:dyDescent="0.2">
      <c r="B4" s="328" t="s">
        <v>227</v>
      </c>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29"/>
      <c r="AE4" s="330"/>
      <c r="AF4" s="312"/>
      <c r="AG4" s="312"/>
      <c r="AH4" s="312"/>
      <c r="AI4" s="312"/>
      <c r="AJ4" s="312"/>
      <c r="AK4" s="312"/>
      <c r="AL4" s="312"/>
      <c r="AM4" s="312"/>
    </row>
    <row r="5" spans="2:39" s="321" customFormat="1" x14ac:dyDescent="0.2">
      <c r="B5" s="331" t="s">
        <v>228</v>
      </c>
      <c r="D5" s="332" t="s">
        <v>229</v>
      </c>
      <c r="E5" s="331" t="s">
        <v>230</v>
      </c>
      <c r="F5" s="331">
        <v>2003</v>
      </c>
      <c r="G5" s="331">
        <v>2004</v>
      </c>
      <c r="H5" s="331">
        <v>2005</v>
      </c>
      <c r="I5" s="331">
        <v>2006</v>
      </c>
      <c r="J5" s="331">
        <v>2007</v>
      </c>
      <c r="K5" s="331">
        <v>2008</v>
      </c>
      <c r="L5" s="331">
        <v>2009</v>
      </c>
      <c r="M5" s="331">
        <v>2010</v>
      </c>
      <c r="N5" s="331">
        <v>2011</v>
      </c>
      <c r="O5" s="331" t="s">
        <v>231</v>
      </c>
      <c r="P5" s="331">
        <v>2013</v>
      </c>
      <c r="Q5" s="331">
        <v>2014</v>
      </c>
      <c r="R5" s="331">
        <v>2015</v>
      </c>
      <c r="S5" s="331">
        <v>2016</v>
      </c>
      <c r="T5" s="331">
        <v>2017</v>
      </c>
      <c r="U5" s="331">
        <v>2018</v>
      </c>
      <c r="V5" s="331">
        <v>2019</v>
      </c>
      <c r="W5" s="331">
        <v>2020</v>
      </c>
      <c r="X5" s="331">
        <v>2021</v>
      </c>
      <c r="Y5" s="331">
        <v>2022</v>
      </c>
      <c r="Z5" s="331">
        <v>2023</v>
      </c>
      <c r="AA5" s="331">
        <v>2024</v>
      </c>
      <c r="AB5" s="331">
        <v>2025</v>
      </c>
      <c r="AC5" s="331">
        <v>2026</v>
      </c>
      <c r="AD5" s="333">
        <v>2027</v>
      </c>
      <c r="AE5" s="334">
        <v>2028</v>
      </c>
      <c r="AF5" s="331"/>
    </row>
    <row r="6" spans="2:39" s="321" customFormat="1" x14ac:dyDescent="0.2">
      <c r="B6" s="312" t="s">
        <v>232</v>
      </c>
      <c r="D6" s="335">
        <v>2.7E-2</v>
      </c>
      <c r="E6" s="336">
        <f>SUM(E7,E11,E14)</f>
        <v>34443603</v>
      </c>
      <c r="F6" s="337">
        <f t="shared" ref="F6:N14" si="0">E6*(1+$D6)</f>
        <v>35373580.280999996</v>
      </c>
      <c r="G6" s="337">
        <f t="shared" si="0"/>
        <v>36328666.948586993</v>
      </c>
      <c r="H6" s="337">
        <f t="shared" si="0"/>
        <v>37309540.956198841</v>
      </c>
      <c r="I6" s="337">
        <f t="shared" si="0"/>
        <v>38316898.562016204</v>
      </c>
      <c r="J6" s="337">
        <f t="shared" si="0"/>
        <v>39351454.823190637</v>
      </c>
      <c r="K6" s="337">
        <f t="shared" si="0"/>
        <v>40413944.103416778</v>
      </c>
      <c r="L6" s="337">
        <f t="shared" si="0"/>
        <v>41505120.59420903</v>
      </c>
      <c r="M6" s="337">
        <f t="shared" si="0"/>
        <v>42625758.850252673</v>
      </c>
      <c r="N6" s="337">
        <f t="shared" si="0"/>
        <v>43776654.33920949</v>
      </c>
      <c r="O6" s="336">
        <v>44928923</v>
      </c>
      <c r="P6" s="338">
        <f t="shared" ref="P6:P14" si="1">O6*(1+$D6)</f>
        <v>46142003.920999996</v>
      </c>
      <c r="Q6" s="338">
        <f t="shared" ref="Q6:Q14" si="2">P6*(1+$D6)</f>
        <v>47387838.026866995</v>
      </c>
      <c r="R6" s="338">
        <f t="shared" ref="R6:R14" si="3">Q6*(1+$D6)</f>
        <v>48667309.6535924</v>
      </c>
      <c r="S6" s="338">
        <f t="shared" ref="S6:S14" si="4">R6*(1+$D6)</f>
        <v>49981327.014239393</v>
      </c>
      <c r="T6" s="338">
        <f t="shared" ref="T6:T14" si="5">S6*(1+$D6)</f>
        <v>51330822.843623854</v>
      </c>
      <c r="U6" s="338">
        <f t="shared" ref="U6:U14" si="6">T6*(1+$D6)</f>
        <v>52716755.060401693</v>
      </c>
      <c r="V6" s="338">
        <f t="shared" ref="V6:V14" si="7">U6*(1+$D6)</f>
        <v>54140107.447032534</v>
      </c>
      <c r="W6" s="338">
        <f t="shared" ref="W6:W14" si="8">V6*(1+$D6)</f>
        <v>55601890.348102406</v>
      </c>
      <c r="X6" s="338">
        <f t="shared" ref="X6:X14" si="9">W6*(1+$D6)</f>
        <v>57103141.387501165</v>
      </c>
      <c r="Y6" s="338">
        <f t="shared" ref="Y6:Y14" si="10">X6*(1+$D6)</f>
        <v>58644926.204963692</v>
      </c>
      <c r="Z6" s="338">
        <f t="shared" ref="Z6:Z14" si="11">Y6*(1+$D6)</f>
        <v>60228339.212497704</v>
      </c>
      <c r="AA6" s="338">
        <f t="shared" ref="AA6:AA14" si="12">Z6*(1+$D6)</f>
        <v>61854504.37123514</v>
      </c>
      <c r="AB6" s="338">
        <f t="shared" ref="AB6:AB14" si="13">AA6*(1+$D6)</f>
        <v>63524575.989258483</v>
      </c>
      <c r="AC6" s="338">
        <f t="shared" ref="AC6:AC14" si="14">AB6*(1+$D6)</f>
        <v>65239739.540968455</v>
      </c>
      <c r="AD6" s="338">
        <f t="shared" ref="AD6:AD14" si="15">AC6*(1+$D6)</f>
        <v>67001212.508574598</v>
      </c>
      <c r="AE6" s="339">
        <f t="shared" ref="AE6:AE14" si="16">AD6*(1+$D6)</f>
        <v>68810245.246306106</v>
      </c>
      <c r="AF6" s="338"/>
    </row>
    <row r="7" spans="2:39" s="321" customFormat="1" x14ac:dyDescent="0.2">
      <c r="B7" s="340" t="s">
        <v>268</v>
      </c>
      <c r="D7" s="335">
        <v>2.8000000000000001E-2</v>
      </c>
      <c r="E7" s="336">
        <f>SUM(E8:E10)</f>
        <v>620957</v>
      </c>
      <c r="F7" s="337">
        <f t="shared" si="0"/>
        <v>638343.79599999997</v>
      </c>
      <c r="G7" s="337">
        <f t="shared" si="0"/>
        <v>656217.422288</v>
      </c>
      <c r="H7" s="337">
        <f t="shared" si="0"/>
        <v>674591.51011206408</v>
      </c>
      <c r="I7" s="337">
        <f t="shared" si="0"/>
        <v>693480.07239520189</v>
      </c>
      <c r="J7" s="337">
        <f t="shared" si="0"/>
        <v>712897.51442226756</v>
      </c>
      <c r="K7" s="337">
        <f t="shared" si="0"/>
        <v>732858.64482609101</v>
      </c>
      <c r="L7" s="337">
        <f t="shared" si="0"/>
        <v>753378.6868812216</v>
      </c>
      <c r="M7" s="337">
        <f t="shared" si="0"/>
        <v>774473.29011389578</v>
      </c>
      <c r="N7" s="337">
        <f t="shared" si="0"/>
        <v>796158.54223708494</v>
      </c>
      <c r="O7" s="336">
        <f>O6-O14</f>
        <v>1303569</v>
      </c>
      <c r="P7" s="338">
        <f t="shared" si="1"/>
        <v>1340068.932</v>
      </c>
      <c r="Q7" s="338">
        <f t="shared" si="2"/>
        <v>1377590.862096</v>
      </c>
      <c r="R7" s="338">
        <f t="shared" si="3"/>
        <v>1416163.4062346881</v>
      </c>
      <c r="S7" s="338">
        <f t="shared" si="4"/>
        <v>1455815.9816092595</v>
      </c>
      <c r="T7" s="338">
        <f t="shared" si="5"/>
        <v>1496578.8290943189</v>
      </c>
      <c r="U7" s="338">
        <f t="shared" si="6"/>
        <v>1538483.0363089598</v>
      </c>
      <c r="V7" s="338">
        <f t="shared" si="7"/>
        <v>1581560.5613256108</v>
      </c>
      <c r="W7" s="338">
        <f t="shared" si="8"/>
        <v>1625844.2570427279</v>
      </c>
      <c r="X7" s="338">
        <f t="shared" si="9"/>
        <v>1671367.8962399242</v>
      </c>
      <c r="Y7" s="338">
        <f t="shared" si="10"/>
        <v>1718166.1973346421</v>
      </c>
      <c r="Z7" s="338">
        <f t="shared" si="11"/>
        <v>1766274.850860012</v>
      </c>
      <c r="AA7" s="338">
        <f t="shared" si="12"/>
        <v>1815730.5466840924</v>
      </c>
      <c r="AB7" s="338">
        <f t="shared" si="13"/>
        <v>1866571.0019912471</v>
      </c>
      <c r="AC7" s="338">
        <f t="shared" si="14"/>
        <v>1918834.990047002</v>
      </c>
      <c r="AD7" s="338">
        <f t="shared" si="15"/>
        <v>1972562.369768318</v>
      </c>
      <c r="AE7" s="339">
        <f t="shared" si="16"/>
        <v>2027794.1161218309</v>
      </c>
      <c r="AF7" s="338"/>
    </row>
    <row r="8" spans="2:39" s="321" customFormat="1" x14ac:dyDescent="0.2">
      <c r="C8" s="341" t="s">
        <v>263</v>
      </c>
      <c r="D8" s="335">
        <v>3.2000000000000001E-2</v>
      </c>
      <c r="E8" s="336">
        <v>136639</v>
      </c>
      <c r="F8" s="337">
        <f t="shared" si="0"/>
        <v>141011.448</v>
      </c>
      <c r="G8" s="337">
        <f t="shared" ref="G8:G13" si="17">F8*(1+$D8)</f>
        <v>145523.81433600001</v>
      </c>
      <c r="H8" s="337">
        <f t="shared" ref="H8:H13" si="18">G8*(1+$D8)</f>
        <v>150180.57639475202</v>
      </c>
      <c r="I8" s="337">
        <f t="shared" ref="I8:I13" si="19">H8*(1+$D8)</f>
        <v>154986.35483938409</v>
      </c>
      <c r="J8" s="337">
        <f t="shared" ref="J8:J13" si="20">I8*(1+$D8)</f>
        <v>159945.91819424438</v>
      </c>
      <c r="K8" s="337">
        <f t="shared" ref="K8:K13" si="21">J8*(1+$D8)</f>
        <v>165064.18757646022</v>
      </c>
      <c r="L8" s="337">
        <f t="shared" ref="L8:L13" si="22">K8*(1+$D8)</f>
        <v>170346.24157890695</v>
      </c>
      <c r="M8" s="337">
        <f t="shared" ref="M8:M13" si="23">L8*(1+$D8)</f>
        <v>175797.32130943198</v>
      </c>
      <c r="N8" s="337">
        <f t="shared" ref="N8:N13" si="24">M8*(1+$D8)</f>
        <v>181422.8355913338</v>
      </c>
      <c r="O8" s="336">
        <v>187455</v>
      </c>
      <c r="P8" s="338">
        <f t="shared" si="1"/>
        <v>193453.56</v>
      </c>
      <c r="Q8" s="338">
        <f t="shared" si="2"/>
        <v>199644.07392</v>
      </c>
      <c r="R8" s="338">
        <f t="shared" si="3"/>
        <v>206032.68428543999</v>
      </c>
      <c r="S8" s="338">
        <f t="shared" si="4"/>
        <v>212625.73018257407</v>
      </c>
      <c r="T8" s="338">
        <f t="shared" si="5"/>
        <v>219429.75354841645</v>
      </c>
      <c r="U8" s="338">
        <f t="shared" si="6"/>
        <v>226451.50566196578</v>
      </c>
      <c r="V8" s="338">
        <f t="shared" si="7"/>
        <v>233697.95384314869</v>
      </c>
      <c r="W8" s="338">
        <f t="shared" si="8"/>
        <v>241176.28836612945</v>
      </c>
      <c r="X8" s="338">
        <f t="shared" si="9"/>
        <v>248893.92959384559</v>
      </c>
      <c r="Y8" s="338">
        <f t="shared" si="10"/>
        <v>256858.53534084867</v>
      </c>
      <c r="Z8" s="338">
        <f t="shared" si="11"/>
        <v>265078.00847175583</v>
      </c>
      <c r="AA8" s="338">
        <f t="shared" si="12"/>
        <v>273560.504742852</v>
      </c>
      <c r="AB8" s="338">
        <f t="shared" si="13"/>
        <v>282314.44089462329</v>
      </c>
      <c r="AC8" s="338">
        <f t="shared" si="14"/>
        <v>291348.50300325121</v>
      </c>
      <c r="AD8" s="338">
        <f t="shared" si="15"/>
        <v>300671.65509935527</v>
      </c>
      <c r="AE8" s="339">
        <f t="shared" si="16"/>
        <v>310293.14806253463</v>
      </c>
      <c r="AF8" s="338"/>
    </row>
    <row r="9" spans="2:39" s="321" customFormat="1" x14ac:dyDescent="0.2">
      <c r="C9" s="341" t="s">
        <v>264</v>
      </c>
      <c r="D9" s="335">
        <v>0.02</v>
      </c>
      <c r="E9" s="336">
        <v>94244</v>
      </c>
      <c r="F9" s="337">
        <f t="shared" si="0"/>
        <v>96128.88</v>
      </c>
      <c r="G9" s="337">
        <f t="shared" si="17"/>
        <v>98051.457600000009</v>
      </c>
      <c r="H9" s="337">
        <f t="shared" si="18"/>
        <v>100012.48675200001</v>
      </c>
      <c r="I9" s="337">
        <f t="shared" si="19"/>
        <v>102012.73648704002</v>
      </c>
      <c r="J9" s="337">
        <f t="shared" si="20"/>
        <v>104052.99121678082</v>
      </c>
      <c r="K9" s="337">
        <f t="shared" si="21"/>
        <v>106134.05104111644</v>
      </c>
      <c r="L9" s="337">
        <f t="shared" si="22"/>
        <v>108256.73206193878</v>
      </c>
      <c r="M9" s="337">
        <f t="shared" si="23"/>
        <v>110421.86670317755</v>
      </c>
      <c r="N9" s="337">
        <f t="shared" si="24"/>
        <v>112630.30403724111</v>
      </c>
      <c r="O9" s="336">
        <v>115588</v>
      </c>
      <c r="P9" s="338">
        <f t="shared" si="1"/>
        <v>117899.76000000001</v>
      </c>
      <c r="Q9" s="338">
        <f t="shared" si="2"/>
        <v>120257.75520000001</v>
      </c>
      <c r="R9" s="338">
        <f t="shared" si="3"/>
        <v>122662.91030400002</v>
      </c>
      <c r="S9" s="338">
        <f t="shared" si="4"/>
        <v>125116.16851008002</v>
      </c>
      <c r="T9" s="338">
        <f t="shared" si="5"/>
        <v>127618.49188028162</v>
      </c>
      <c r="U9" s="338">
        <f t="shared" si="6"/>
        <v>130170.86171788727</v>
      </c>
      <c r="V9" s="338">
        <f t="shared" si="7"/>
        <v>132774.27895224502</v>
      </c>
      <c r="W9" s="338">
        <f t="shared" si="8"/>
        <v>135429.76453128993</v>
      </c>
      <c r="X9" s="338">
        <f t="shared" si="9"/>
        <v>138138.35982191571</v>
      </c>
      <c r="Y9" s="338">
        <f t="shared" si="10"/>
        <v>140901.12701835402</v>
      </c>
      <c r="Z9" s="338">
        <f t="shared" si="11"/>
        <v>143719.14955872111</v>
      </c>
      <c r="AA9" s="338">
        <f t="shared" si="12"/>
        <v>146593.53254989552</v>
      </c>
      <c r="AB9" s="338">
        <f t="shared" si="13"/>
        <v>149525.40320089343</v>
      </c>
      <c r="AC9" s="338">
        <f t="shared" si="14"/>
        <v>152515.91126491129</v>
      </c>
      <c r="AD9" s="338">
        <f t="shared" si="15"/>
        <v>155566.22949020952</v>
      </c>
      <c r="AE9" s="339">
        <f t="shared" si="16"/>
        <v>158677.55408001371</v>
      </c>
      <c r="AF9" s="338"/>
    </row>
    <row r="10" spans="2:39" s="321" customFormat="1" x14ac:dyDescent="0.2">
      <c r="C10" s="341" t="s">
        <v>265</v>
      </c>
      <c r="D10" s="335">
        <v>4.2000000000000003E-2</v>
      </c>
      <c r="E10" s="336">
        <v>390074</v>
      </c>
      <c r="F10" s="337">
        <f t="shared" si="0"/>
        <v>406457.10800000001</v>
      </c>
      <c r="G10" s="337">
        <f t="shared" si="17"/>
        <v>423528.30653600005</v>
      </c>
      <c r="H10" s="337">
        <f t="shared" si="18"/>
        <v>441316.49541051209</v>
      </c>
      <c r="I10" s="337">
        <f t="shared" si="19"/>
        <v>459851.78821775364</v>
      </c>
      <c r="J10" s="337">
        <f t="shared" si="20"/>
        <v>479165.56332289928</v>
      </c>
      <c r="K10" s="337">
        <f t="shared" si="21"/>
        <v>499290.51698246109</v>
      </c>
      <c r="L10" s="337">
        <f t="shared" si="22"/>
        <v>520260.7186957245</v>
      </c>
      <c r="M10" s="337">
        <f t="shared" si="23"/>
        <v>542111.66888094496</v>
      </c>
      <c r="N10" s="337">
        <f t="shared" si="24"/>
        <v>564880.35897394468</v>
      </c>
      <c r="O10" s="336">
        <v>593678</v>
      </c>
      <c r="P10" s="338">
        <f t="shared" si="1"/>
        <v>618612.47600000002</v>
      </c>
      <c r="Q10" s="338">
        <f t="shared" si="2"/>
        <v>644594.19999200001</v>
      </c>
      <c r="R10" s="338">
        <f t="shared" si="3"/>
        <v>671667.15639166406</v>
      </c>
      <c r="S10" s="338">
        <f t="shared" si="4"/>
        <v>699877.17696011392</v>
      </c>
      <c r="T10" s="338">
        <f t="shared" si="5"/>
        <v>729272.01839243877</v>
      </c>
      <c r="U10" s="338">
        <f t="shared" si="6"/>
        <v>759901.44316492125</v>
      </c>
      <c r="V10" s="338">
        <f t="shared" si="7"/>
        <v>791817.30377784802</v>
      </c>
      <c r="W10" s="338">
        <f t="shared" si="8"/>
        <v>825073.63053651771</v>
      </c>
      <c r="X10" s="338">
        <f t="shared" si="9"/>
        <v>859726.72301905148</v>
      </c>
      <c r="Y10" s="338">
        <f t="shared" si="10"/>
        <v>895835.24538585171</v>
      </c>
      <c r="Z10" s="338">
        <f t="shared" si="11"/>
        <v>933460.32569205749</v>
      </c>
      <c r="AA10" s="338">
        <f t="shared" si="12"/>
        <v>972665.659371124</v>
      </c>
      <c r="AB10" s="338">
        <f t="shared" si="13"/>
        <v>1013517.6170647113</v>
      </c>
      <c r="AC10" s="338">
        <f t="shared" si="14"/>
        <v>1056085.3569814293</v>
      </c>
      <c r="AD10" s="338">
        <f t="shared" si="15"/>
        <v>1100440.9419746494</v>
      </c>
      <c r="AE10" s="339">
        <f t="shared" si="16"/>
        <v>1146659.4615375847</v>
      </c>
      <c r="AF10" s="338"/>
    </row>
    <row r="11" spans="2:39" s="321" customFormat="1" x14ac:dyDescent="0.2">
      <c r="B11" s="340" t="s">
        <v>269</v>
      </c>
      <c r="D11" s="335">
        <f>AVERAGE(D12:D13)</f>
        <v>1.2E-2</v>
      </c>
      <c r="E11" s="336">
        <f>SUM(E12:E13)</f>
        <v>360797</v>
      </c>
      <c r="F11" s="337">
        <f t="shared" si="0"/>
        <v>365126.56400000001</v>
      </c>
      <c r="G11" s="337">
        <f t="shared" si="17"/>
        <v>369508.08276800002</v>
      </c>
      <c r="H11" s="337">
        <f t="shared" si="18"/>
        <v>373942.17976121604</v>
      </c>
      <c r="I11" s="337">
        <f t="shared" si="19"/>
        <v>378429.48591835063</v>
      </c>
      <c r="J11" s="337">
        <f t="shared" si="20"/>
        <v>382970.63974937086</v>
      </c>
      <c r="K11" s="337">
        <f t="shared" si="21"/>
        <v>387566.28742636333</v>
      </c>
      <c r="L11" s="337">
        <f t="shared" si="22"/>
        <v>392217.08287547971</v>
      </c>
      <c r="M11" s="337">
        <f t="shared" si="23"/>
        <v>396923.68786998547</v>
      </c>
      <c r="N11" s="337">
        <f t="shared" si="24"/>
        <v>401686.77212442528</v>
      </c>
      <c r="O11" s="342">
        <f>SUM(O12:O13)</f>
        <v>406848</v>
      </c>
      <c r="P11" s="338">
        <f t="shared" si="1"/>
        <v>411730.17599999998</v>
      </c>
      <c r="Q11" s="338">
        <f t="shared" si="2"/>
        <v>416670.938112</v>
      </c>
      <c r="R11" s="338">
        <f t="shared" si="3"/>
        <v>421670.98936934402</v>
      </c>
      <c r="S11" s="338">
        <f t="shared" si="4"/>
        <v>426731.04124177614</v>
      </c>
      <c r="T11" s="338">
        <f t="shared" si="5"/>
        <v>431851.81373667746</v>
      </c>
      <c r="U11" s="338">
        <f t="shared" si="6"/>
        <v>437034.03550151759</v>
      </c>
      <c r="V11" s="338">
        <f t="shared" si="7"/>
        <v>442278.44392753579</v>
      </c>
      <c r="W11" s="338">
        <f t="shared" si="8"/>
        <v>447585.78525466623</v>
      </c>
      <c r="X11" s="338">
        <f t="shared" si="9"/>
        <v>452956.81467772223</v>
      </c>
      <c r="Y11" s="338">
        <f t="shared" si="10"/>
        <v>458392.29645385488</v>
      </c>
      <c r="Z11" s="338">
        <f t="shared" si="11"/>
        <v>463893.00401130115</v>
      </c>
      <c r="AA11" s="338">
        <f t="shared" si="12"/>
        <v>469459.72005943675</v>
      </c>
      <c r="AB11" s="338">
        <f t="shared" si="13"/>
        <v>475093.23670015001</v>
      </c>
      <c r="AC11" s="338">
        <f t="shared" si="14"/>
        <v>480794.35554055183</v>
      </c>
      <c r="AD11" s="338">
        <f t="shared" si="15"/>
        <v>486563.88780703844</v>
      </c>
      <c r="AE11" s="339">
        <f t="shared" si="16"/>
        <v>492402.65446072293</v>
      </c>
      <c r="AF11" s="338"/>
    </row>
    <row r="12" spans="2:39" s="321" customFormat="1" x14ac:dyDescent="0.2">
      <c r="C12" s="341" t="s">
        <v>266</v>
      </c>
      <c r="D12" s="335">
        <v>1.2999999999999999E-2</v>
      </c>
      <c r="E12" s="336">
        <v>185326</v>
      </c>
      <c r="F12" s="337">
        <f t="shared" si="0"/>
        <v>187735.23799999998</v>
      </c>
      <c r="G12" s="337">
        <f t="shared" si="17"/>
        <v>190175.79609399996</v>
      </c>
      <c r="H12" s="337">
        <f t="shared" si="18"/>
        <v>192648.08144322195</v>
      </c>
      <c r="I12" s="337">
        <f t="shared" si="19"/>
        <v>195152.50650198382</v>
      </c>
      <c r="J12" s="337">
        <f t="shared" si="20"/>
        <v>197689.48908650959</v>
      </c>
      <c r="K12" s="337">
        <f t="shared" si="21"/>
        <v>200259.4524446342</v>
      </c>
      <c r="L12" s="337">
        <f t="shared" si="22"/>
        <v>202862.82532641443</v>
      </c>
      <c r="M12" s="337">
        <f t="shared" si="23"/>
        <v>205500.0420556578</v>
      </c>
      <c r="N12" s="337">
        <f t="shared" si="24"/>
        <v>208171.54260238132</v>
      </c>
      <c r="O12" s="336">
        <v>211732</v>
      </c>
      <c r="P12" s="338">
        <f t="shared" si="1"/>
        <v>214484.51599999997</v>
      </c>
      <c r="Q12" s="338">
        <f t="shared" si="2"/>
        <v>217272.81470799996</v>
      </c>
      <c r="R12" s="338">
        <f t="shared" si="3"/>
        <v>220097.36129920394</v>
      </c>
      <c r="S12" s="338">
        <f t="shared" si="4"/>
        <v>222958.62699609358</v>
      </c>
      <c r="T12" s="338">
        <f t="shared" si="5"/>
        <v>225857.08914704277</v>
      </c>
      <c r="U12" s="338">
        <f t="shared" si="6"/>
        <v>228793.23130595431</v>
      </c>
      <c r="V12" s="338">
        <f t="shared" si="7"/>
        <v>231767.5433129317</v>
      </c>
      <c r="W12" s="338">
        <f t="shared" si="8"/>
        <v>234780.52137599979</v>
      </c>
      <c r="X12" s="338">
        <f t="shared" si="9"/>
        <v>237832.66815388776</v>
      </c>
      <c r="Y12" s="338">
        <f t="shared" si="10"/>
        <v>240924.49283988829</v>
      </c>
      <c r="Z12" s="338">
        <f t="shared" si="11"/>
        <v>244056.51124680683</v>
      </c>
      <c r="AA12" s="338">
        <f t="shared" si="12"/>
        <v>247229.24589301529</v>
      </c>
      <c r="AB12" s="338">
        <f t="shared" si="13"/>
        <v>250443.22608962446</v>
      </c>
      <c r="AC12" s="338">
        <f t="shared" si="14"/>
        <v>253698.98802878955</v>
      </c>
      <c r="AD12" s="338">
        <f t="shared" si="15"/>
        <v>256997.0748731638</v>
      </c>
      <c r="AE12" s="339">
        <f t="shared" si="16"/>
        <v>260338.03684651491</v>
      </c>
      <c r="AF12" s="338"/>
    </row>
    <row r="13" spans="2:39" s="321" customFormat="1" x14ac:dyDescent="0.2">
      <c r="C13" s="341" t="s">
        <v>267</v>
      </c>
      <c r="D13" s="335">
        <v>1.0999999999999999E-2</v>
      </c>
      <c r="E13" s="336">
        <v>175471</v>
      </c>
      <c r="F13" s="337">
        <f t="shared" si="0"/>
        <v>177401.18099999998</v>
      </c>
      <c r="G13" s="337">
        <f t="shared" si="17"/>
        <v>179352.59399099997</v>
      </c>
      <c r="H13" s="337">
        <f t="shared" si="18"/>
        <v>181325.47252490095</v>
      </c>
      <c r="I13" s="337">
        <f t="shared" si="19"/>
        <v>183320.05272267485</v>
      </c>
      <c r="J13" s="337">
        <f t="shared" si="20"/>
        <v>185336.57330262425</v>
      </c>
      <c r="K13" s="337">
        <f t="shared" si="21"/>
        <v>187375.27560895309</v>
      </c>
      <c r="L13" s="337">
        <f t="shared" si="22"/>
        <v>189436.40364065155</v>
      </c>
      <c r="M13" s="337">
        <f t="shared" si="23"/>
        <v>191520.20408069869</v>
      </c>
      <c r="N13" s="337">
        <f t="shared" si="24"/>
        <v>193626.92632558636</v>
      </c>
      <c r="O13" s="336">
        <v>195116</v>
      </c>
      <c r="P13" s="338">
        <f t="shared" si="1"/>
        <v>197262.27599999998</v>
      </c>
      <c r="Q13" s="338">
        <f t="shared" si="2"/>
        <v>199432.16103599998</v>
      </c>
      <c r="R13" s="338">
        <f t="shared" si="3"/>
        <v>201625.91480739595</v>
      </c>
      <c r="S13" s="338">
        <f t="shared" si="4"/>
        <v>203843.79987027729</v>
      </c>
      <c r="T13" s="338">
        <f t="shared" si="5"/>
        <v>206086.08166885033</v>
      </c>
      <c r="U13" s="338">
        <f t="shared" si="6"/>
        <v>208353.02856720766</v>
      </c>
      <c r="V13" s="338">
        <f t="shared" si="7"/>
        <v>210644.91188144693</v>
      </c>
      <c r="W13" s="338">
        <f t="shared" si="8"/>
        <v>212962.00591214283</v>
      </c>
      <c r="X13" s="338">
        <f t="shared" si="9"/>
        <v>215304.58797717639</v>
      </c>
      <c r="Y13" s="338">
        <f t="shared" si="10"/>
        <v>217672.9384449253</v>
      </c>
      <c r="Z13" s="338">
        <f t="shared" si="11"/>
        <v>220067.34076781946</v>
      </c>
      <c r="AA13" s="338">
        <f t="shared" si="12"/>
        <v>222488.08151626546</v>
      </c>
      <c r="AB13" s="338">
        <f t="shared" si="13"/>
        <v>224935.45041294437</v>
      </c>
      <c r="AC13" s="338">
        <f t="shared" si="14"/>
        <v>227409.74036748672</v>
      </c>
      <c r="AD13" s="338">
        <f t="shared" si="15"/>
        <v>229911.24751152904</v>
      </c>
      <c r="AE13" s="339">
        <f t="shared" si="16"/>
        <v>232440.27123415584</v>
      </c>
      <c r="AF13" s="338"/>
    </row>
    <row r="14" spans="2:39" s="321" customFormat="1" x14ac:dyDescent="0.2">
      <c r="B14" s="341" t="s">
        <v>233</v>
      </c>
      <c r="D14" s="335">
        <v>2.7E-2</v>
      </c>
      <c r="E14" s="336">
        <v>33461849</v>
      </c>
      <c r="F14" s="337">
        <f t="shared" si="0"/>
        <v>34365318.923</v>
      </c>
      <c r="G14" s="337">
        <f t="shared" si="0"/>
        <v>35293182.533920996</v>
      </c>
      <c r="H14" s="337">
        <f t="shared" si="0"/>
        <v>36246098.462336861</v>
      </c>
      <c r="I14" s="337">
        <f t="shared" si="0"/>
        <v>37224743.120819956</v>
      </c>
      <c r="J14" s="337">
        <f t="shared" si="0"/>
        <v>38229811.185082093</v>
      </c>
      <c r="K14" s="337">
        <f t="shared" si="0"/>
        <v>39262016.087079309</v>
      </c>
      <c r="L14" s="337">
        <f t="shared" si="0"/>
        <v>40322090.521430448</v>
      </c>
      <c r="M14" s="337">
        <f t="shared" si="0"/>
        <v>41410786.965509064</v>
      </c>
      <c r="N14" s="337">
        <f t="shared" si="0"/>
        <v>42528878.213577807</v>
      </c>
      <c r="O14" s="336">
        <v>43625354</v>
      </c>
      <c r="P14" s="338">
        <f t="shared" si="1"/>
        <v>44803238.557999998</v>
      </c>
      <c r="Q14" s="338">
        <f t="shared" si="2"/>
        <v>46012925.999065995</v>
      </c>
      <c r="R14" s="338">
        <f t="shared" si="3"/>
        <v>47255275.001040772</v>
      </c>
      <c r="S14" s="338">
        <f t="shared" si="4"/>
        <v>48531167.426068865</v>
      </c>
      <c r="T14" s="338">
        <f t="shared" si="5"/>
        <v>49841508.946572721</v>
      </c>
      <c r="U14" s="338">
        <f t="shared" si="6"/>
        <v>51187229.688130178</v>
      </c>
      <c r="V14" s="338">
        <f t="shared" si="7"/>
        <v>52569284.889709689</v>
      </c>
      <c r="W14" s="338">
        <f t="shared" si="8"/>
        <v>53988655.581731848</v>
      </c>
      <c r="X14" s="338">
        <f t="shared" si="9"/>
        <v>55446349.282438606</v>
      </c>
      <c r="Y14" s="338">
        <f t="shared" si="10"/>
        <v>56943400.713064447</v>
      </c>
      <c r="Z14" s="338">
        <f t="shared" si="11"/>
        <v>58480872.532317184</v>
      </c>
      <c r="AA14" s="338">
        <f t="shared" si="12"/>
        <v>60059856.090689741</v>
      </c>
      <c r="AB14" s="338">
        <f t="shared" si="13"/>
        <v>61681472.205138355</v>
      </c>
      <c r="AC14" s="338">
        <f t="shared" si="14"/>
        <v>63346871.954677083</v>
      </c>
      <c r="AD14" s="338">
        <f t="shared" si="15"/>
        <v>65057237.497453362</v>
      </c>
      <c r="AE14" s="339">
        <f t="shared" si="16"/>
        <v>66813782.909884594</v>
      </c>
      <c r="AF14" s="338"/>
    </row>
    <row r="15" spans="2:39" s="321" customFormat="1" x14ac:dyDescent="0.2">
      <c r="B15" s="341"/>
      <c r="D15" s="335"/>
      <c r="E15" s="336"/>
      <c r="F15" s="337"/>
      <c r="G15" s="337"/>
      <c r="H15" s="337"/>
      <c r="I15" s="337"/>
      <c r="J15" s="337"/>
      <c r="K15" s="337"/>
      <c r="L15" s="337"/>
      <c r="M15" s="337"/>
      <c r="N15" s="337"/>
      <c r="O15" s="336"/>
      <c r="P15" s="338"/>
      <c r="Q15" s="338"/>
      <c r="R15" s="338"/>
      <c r="S15" s="338"/>
      <c r="T15" s="338"/>
      <c r="U15" s="338"/>
      <c r="V15" s="338"/>
      <c r="W15" s="338"/>
      <c r="X15" s="338"/>
      <c r="Y15" s="338"/>
      <c r="Z15" s="338"/>
      <c r="AA15" s="338"/>
      <c r="AB15" s="338"/>
      <c r="AC15" s="338"/>
      <c r="AD15" s="338"/>
      <c r="AE15" s="339"/>
      <c r="AF15" s="338"/>
    </row>
    <row r="17" spans="2:31" x14ac:dyDescent="0.2">
      <c r="B17" s="328" t="s">
        <v>294</v>
      </c>
      <c r="D17" s="343" t="s">
        <v>281</v>
      </c>
    </row>
    <row r="18" spans="2:31" x14ac:dyDescent="0.2">
      <c r="B18" s="344" t="s">
        <v>49</v>
      </c>
      <c r="J18" s="345"/>
      <c r="K18" s="314">
        <f>'ERR Calculations'!G70*1000</f>
        <v>69211</v>
      </c>
      <c r="L18" s="314">
        <f>'ERR Calculations'!H70*1000</f>
        <v>72719</v>
      </c>
      <c r="M18" s="314">
        <f>'ERR Calculations'!I70*1000</f>
        <v>73913</v>
      </c>
      <c r="N18" s="314">
        <f>'ERR Calculations'!J70*1000</f>
        <v>79182</v>
      </c>
      <c r="O18" s="314">
        <f>'ERR Calculations'!K70*1000</f>
        <v>83691</v>
      </c>
      <c r="P18" s="314">
        <f>'ERR Calculations'!L70*1000</f>
        <v>87629</v>
      </c>
      <c r="Q18" s="314">
        <f>'ERR Calculations'!M70*1000</f>
        <v>91835.19200000001</v>
      </c>
      <c r="R18" s="314">
        <f>'ERR Calculations'!N70*1000</f>
        <v>96243.281216000018</v>
      </c>
      <c r="S18" s="314">
        <f>'ERR Calculations'!O70*1000</f>
        <v>100862.95871436803</v>
      </c>
      <c r="T18" s="314">
        <f>'ERR Calculations'!P70*1000</f>
        <v>105704.38073265768</v>
      </c>
      <c r="U18" s="314">
        <f>'ERR Calculations'!Q70*1000</f>
        <v>110778.19100782525</v>
      </c>
      <c r="V18" s="314">
        <f>'ERR Calculations'!R70*1000</f>
        <v>116095.54417620087</v>
      </c>
      <c r="W18" s="314">
        <f>'ERR Calculations'!S70*1000</f>
        <v>121668.13029665852</v>
      </c>
      <c r="X18" s="314">
        <f>'ERR Calculations'!T70*1000</f>
        <v>127508.20055089814</v>
      </c>
      <c r="Y18" s="314">
        <f>'ERR Calculations'!U70*1000</f>
        <v>133628.59417734126</v>
      </c>
      <c r="Z18" s="314">
        <f>'ERR Calculations'!V70*1000</f>
        <v>140042.76669785363</v>
      </c>
      <c r="AA18" s="314">
        <f>'ERR Calculations'!W70*1000</f>
        <v>146764.81949935062</v>
      </c>
      <c r="AB18" s="314">
        <f>'ERR Calculations'!X70*1000</f>
        <v>153809.53083531943</v>
      </c>
      <c r="AC18" s="314">
        <f>'ERR Calculations'!Y70*1000</f>
        <v>161192.38831541478</v>
      </c>
      <c r="AD18" s="314">
        <f>'ERR Calculations'!Z70*1000</f>
        <v>168929.62295455471</v>
      </c>
      <c r="AE18" s="346">
        <f>'ERR Calculations'!AA70*1000</f>
        <v>177038.24485637332</v>
      </c>
    </row>
    <row r="19" spans="2:31" x14ac:dyDescent="0.2">
      <c r="B19" s="344"/>
      <c r="C19" s="344" t="s">
        <v>271</v>
      </c>
      <c r="D19" s="347">
        <f>Assumptions!L$20</f>
        <v>0.84962740645220192</v>
      </c>
      <c r="J19" s="345"/>
      <c r="K19" s="314">
        <f>Assumptions!F20</f>
        <v>58763</v>
      </c>
      <c r="L19" s="314">
        <f>Assumptions!G20</f>
        <v>61779</v>
      </c>
      <c r="M19" s="314">
        <f>Assumptions!H20</f>
        <v>62825</v>
      </c>
      <c r="N19" s="314">
        <f>Assumptions!I20</f>
        <v>67301</v>
      </c>
      <c r="O19" s="314">
        <f>Assumptions!J20</f>
        <v>71106</v>
      </c>
      <c r="P19" s="314">
        <f>Assumptions!K20</f>
        <v>74452</v>
      </c>
      <c r="Q19" s="348">
        <f>Q$18*$D19</f>
        <v>78025.696000000011</v>
      </c>
      <c r="R19" s="348">
        <f t="shared" ref="R19:AE21" si="25">R$18*$D19</f>
        <v>81770.929408000011</v>
      </c>
      <c r="S19" s="348">
        <f t="shared" si="25"/>
        <v>85695.93401958402</v>
      </c>
      <c r="T19" s="348">
        <f t="shared" si="25"/>
        <v>89809.338852524044</v>
      </c>
      <c r="U19" s="348">
        <f t="shared" si="25"/>
        <v>94120.18711744521</v>
      </c>
      <c r="V19" s="348">
        <f t="shared" si="25"/>
        <v>98637.956099082585</v>
      </c>
      <c r="W19" s="348">
        <f t="shared" si="25"/>
        <v>103372.57799183855</v>
      </c>
      <c r="X19" s="348">
        <f t="shared" si="25"/>
        <v>108334.46173544681</v>
      </c>
      <c r="Y19" s="348">
        <f t="shared" si="25"/>
        <v>113534.51589874827</v>
      </c>
      <c r="Z19" s="348">
        <f t="shared" si="25"/>
        <v>118984.17266188817</v>
      </c>
      <c r="AA19" s="348">
        <f t="shared" si="25"/>
        <v>124695.41294965881</v>
      </c>
      <c r="AB19" s="348">
        <f t="shared" si="25"/>
        <v>130680.79277124243</v>
      </c>
      <c r="AC19" s="348">
        <f t="shared" si="25"/>
        <v>136953.47082426207</v>
      </c>
      <c r="AD19" s="348">
        <f t="shared" si="25"/>
        <v>143527.23742382668</v>
      </c>
      <c r="AE19" s="349">
        <f t="shared" si="25"/>
        <v>150416.54482017033</v>
      </c>
    </row>
    <row r="20" spans="2:31" x14ac:dyDescent="0.2">
      <c r="B20" s="344"/>
      <c r="C20" s="344" t="s">
        <v>272</v>
      </c>
      <c r="D20" s="347">
        <f>Assumptions!L$21</f>
        <v>0.14652683472366454</v>
      </c>
      <c r="J20" s="345"/>
      <c r="K20" s="314">
        <f>Assumptions!F21</f>
        <v>10159</v>
      </c>
      <c r="L20" s="314">
        <f>Assumptions!G21</f>
        <v>10645</v>
      </c>
      <c r="M20" s="314">
        <f>Assumptions!H21</f>
        <v>10788</v>
      </c>
      <c r="N20" s="314">
        <f>Assumptions!I21</f>
        <v>11567</v>
      </c>
      <c r="O20" s="314">
        <f>Assumptions!J21</f>
        <v>12262</v>
      </c>
      <c r="P20" s="314">
        <f>Assumptions!K21</f>
        <v>12840</v>
      </c>
      <c r="Q20" s="348">
        <f t="shared" ref="Q20:AE21" si="26">Q$18*$D20</f>
        <v>13456.320000000002</v>
      </c>
      <c r="R20" s="348">
        <f t="shared" si="26"/>
        <v>14102.223360000002</v>
      </c>
      <c r="S20" s="348">
        <f t="shared" si="26"/>
        <v>14779.130081280004</v>
      </c>
      <c r="T20" s="348">
        <f t="shared" si="26"/>
        <v>15488.528325181442</v>
      </c>
      <c r="U20" s="348">
        <f t="shared" si="26"/>
        <v>16231.977684790152</v>
      </c>
      <c r="V20" s="348">
        <f t="shared" si="26"/>
        <v>17011.11261366008</v>
      </c>
      <c r="W20" s="348">
        <f t="shared" si="26"/>
        <v>17827.646019115764</v>
      </c>
      <c r="X20" s="348">
        <f t="shared" si="26"/>
        <v>18683.373028033322</v>
      </c>
      <c r="Y20" s="348">
        <f t="shared" si="26"/>
        <v>19580.174933378927</v>
      </c>
      <c r="Z20" s="348">
        <f t="shared" si="26"/>
        <v>20520.023330181109</v>
      </c>
      <c r="AA20" s="348">
        <f t="shared" si="26"/>
        <v>21504.984450029806</v>
      </c>
      <c r="AB20" s="348">
        <f t="shared" si="26"/>
        <v>22537.223703631233</v>
      </c>
      <c r="AC20" s="348">
        <f t="shared" si="26"/>
        <v>23619.010441405535</v>
      </c>
      <c r="AD20" s="348">
        <f t="shared" si="26"/>
        <v>24752.722942593005</v>
      </c>
      <c r="AE20" s="349">
        <f t="shared" si="26"/>
        <v>25940.853643837469</v>
      </c>
    </row>
    <row r="21" spans="2:31" x14ac:dyDescent="0.2">
      <c r="B21" s="344"/>
      <c r="C21" s="344" t="s">
        <v>273</v>
      </c>
      <c r="D21" s="347">
        <f>Assumptions!L$22</f>
        <v>3.8457588241335629E-3</v>
      </c>
      <c r="J21" s="345"/>
      <c r="K21" s="314">
        <f>Assumptions!F22</f>
        <v>289</v>
      </c>
      <c r="L21" s="314">
        <f>Assumptions!G22</f>
        <v>295</v>
      </c>
      <c r="M21" s="314">
        <f>Assumptions!H22</f>
        <v>300</v>
      </c>
      <c r="N21" s="314">
        <f>Assumptions!I22</f>
        <v>314</v>
      </c>
      <c r="O21" s="314">
        <f>Assumptions!J22</f>
        <v>323</v>
      </c>
      <c r="P21" s="314">
        <f>Assumptions!K22</f>
        <v>337</v>
      </c>
      <c r="Q21" s="348">
        <f t="shared" si="26"/>
        <v>353.17600000000004</v>
      </c>
      <c r="R21" s="348">
        <f t="shared" si="25"/>
        <v>370.12844800000005</v>
      </c>
      <c r="S21" s="348">
        <f t="shared" si="25"/>
        <v>387.89461350400006</v>
      </c>
      <c r="T21" s="348">
        <f t="shared" si="25"/>
        <v>406.51355495219207</v>
      </c>
      <c r="U21" s="348">
        <f t="shared" si="25"/>
        <v>426.0262055898973</v>
      </c>
      <c r="V21" s="348">
        <f t="shared" si="25"/>
        <v>446.47546345821235</v>
      </c>
      <c r="W21" s="348">
        <f t="shared" si="25"/>
        <v>467.9062857042066</v>
      </c>
      <c r="X21" s="348">
        <f t="shared" si="25"/>
        <v>490.36578741800855</v>
      </c>
      <c r="Y21" s="348">
        <f t="shared" si="25"/>
        <v>513.90334521407306</v>
      </c>
      <c r="Z21" s="348">
        <f t="shared" si="25"/>
        <v>538.57070578434843</v>
      </c>
      <c r="AA21" s="348">
        <f t="shared" si="25"/>
        <v>564.42209966199721</v>
      </c>
      <c r="AB21" s="348">
        <f t="shared" si="25"/>
        <v>591.51436044577304</v>
      </c>
      <c r="AC21" s="348">
        <f t="shared" si="25"/>
        <v>619.90704974717016</v>
      </c>
      <c r="AD21" s="348">
        <f t="shared" si="25"/>
        <v>649.66258813503441</v>
      </c>
      <c r="AE21" s="349">
        <f t="shared" si="25"/>
        <v>680.84639236551607</v>
      </c>
    </row>
    <row r="22" spans="2:31" x14ac:dyDescent="0.2">
      <c r="B22" s="344" t="s">
        <v>293</v>
      </c>
      <c r="K22" s="338">
        <f t="shared" ref="K22:AE22" si="27">SUM(K19:K20)</f>
        <v>68922</v>
      </c>
      <c r="L22" s="338">
        <f t="shared" si="27"/>
        <v>72424</v>
      </c>
      <c r="M22" s="338">
        <f t="shared" si="27"/>
        <v>73613</v>
      </c>
      <c r="N22" s="338">
        <f t="shared" si="27"/>
        <v>78868</v>
      </c>
      <c r="O22" s="338">
        <f t="shared" si="27"/>
        <v>83368</v>
      </c>
      <c r="P22" s="338">
        <f t="shared" si="27"/>
        <v>87292</v>
      </c>
      <c r="Q22" s="338">
        <f t="shared" si="27"/>
        <v>91482.016000000018</v>
      </c>
      <c r="R22" s="338">
        <f t="shared" si="27"/>
        <v>95873.152768000014</v>
      </c>
      <c r="S22" s="338">
        <f t="shared" si="27"/>
        <v>100475.06410086402</v>
      </c>
      <c r="T22" s="338">
        <f t="shared" si="27"/>
        <v>105297.86717770548</v>
      </c>
      <c r="U22" s="338">
        <f t="shared" si="27"/>
        <v>110352.16480223536</v>
      </c>
      <c r="V22" s="338">
        <f t="shared" si="27"/>
        <v>115649.06871274266</v>
      </c>
      <c r="W22" s="338">
        <f t="shared" si="27"/>
        <v>121200.22401095432</v>
      </c>
      <c r="X22" s="338">
        <f t="shared" si="27"/>
        <v>127017.83476348013</v>
      </c>
      <c r="Y22" s="338">
        <f t="shared" si="27"/>
        <v>133114.69083212721</v>
      </c>
      <c r="Z22" s="338">
        <f t="shared" si="27"/>
        <v>139504.19599206926</v>
      </c>
      <c r="AA22" s="338">
        <f t="shared" si="27"/>
        <v>146200.39739968861</v>
      </c>
      <c r="AB22" s="338">
        <f t="shared" si="27"/>
        <v>153218.01647487367</v>
      </c>
      <c r="AC22" s="338">
        <f t="shared" si="27"/>
        <v>160572.48126566759</v>
      </c>
      <c r="AD22" s="338">
        <f t="shared" si="27"/>
        <v>168279.96036641969</v>
      </c>
      <c r="AE22" s="339">
        <f t="shared" si="27"/>
        <v>176357.3984640078</v>
      </c>
    </row>
    <row r="23" spans="2:31" x14ac:dyDescent="0.2">
      <c r="B23" s="344"/>
    </row>
    <row r="25" spans="2:31" x14ac:dyDescent="0.2">
      <c r="B25" s="328" t="s">
        <v>295</v>
      </c>
      <c r="D25" s="343"/>
    </row>
    <row r="26" spans="2:31" x14ac:dyDescent="0.2">
      <c r="B26" s="351" t="s">
        <v>55</v>
      </c>
      <c r="C26" s="321"/>
      <c r="K26" s="337">
        <f>$D$36*K22</f>
        <v>353334.71967743943</v>
      </c>
      <c r="L26" s="337">
        <f t="shared" ref="L26:AE26" si="28">$D$36*L22</f>
        <v>371288.03194798285</v>
      </c>
      <c r="M26" s="337">
        <f t="shared" si="28"/>
        <v>377383.54545160249</v>
      </c>
      <c r="N26" s="337">
        <f t="shared" si="28"/>
        <v>404323.76703404274</v>
      </c>
      <c r="O26" s="337">
        <f t="shared" si="28"/>
        <v>427393.41444050911</v>
      </c>
      <c r="P26" s="337">
        <f t="shared" si="28"/>
        <v>447510.14697894786</v>
      </c>
      <c r="Q26" s="337">
        <f t="shared" si="28"/>
        <v>468990.63403393741</v>
      </c>
      <c r="R26" s="337">
        <f t="shared" si="28"/>
        <v>491502.18446756637</v>
      </c>
      <c r="S26" s="337">
        <f t="shared" si="28"/>
        <v>515094.2893220096</v>
      </c>
      <c r="T26" s="337">
        <f t="shared" si="28"/>
        <v>539818.81520946603</v>
      </c>
      <c r="U26" s="337">
        <f t="shared" si="28"/>
        <v>565730.11833952041</v>
      </c>
      <c r="V26" s="337">
        <f t="shared" si="28"/>
        <v>592885.16401981749</v>
      </c>
      <c r="W26" s="337">
        <f t="shared" si="28"/>
        <v>621343.6518927688</v>
      </c>
      <c r="X26" s="337">
        <f t="shared" si="28"/>
        <v>651168.14718362165</v>
      </c>
      <c r="Y26" s="337">
        <f t="shared" si="28"/>
        <v>682424.21824843565</v>
      </c>
      <c r="Z26" s="337">
        <f t="shared" si="28"/>
        <v>715180.5807243603</v>
      </c>
      <c r="AA26" s="337">
        <f t="shared" si="28"/>
        <v>749509.24859912973</v>
      </c>
      <c r="AB26" s="337">
        <f t="shared" si="28"/>
        <v>785485.69253188802</v>
      </c>
      <c r="AC26" s="337">
        <f t="shared" si="28"/>
        <v>823189.00577341858</v>
      </c>
      <c r="AD26" s="337">
        <f t="shared" si="28"/>
        <v>862702.07805054297</v>
      </c>
      <c r="AE26" s="371">
        <f t="shared" si="28"/>
        <v>904111.77779696882</v>
      </c>
    </row>
    <row r="29" spans="2:31" x14ac:dyDescent="0.2">
      <c r="B29" s="352" t="s">
        <v>268</v>
      </c>
      <c r="C29" s="353"/>
      <c r="D29" s="364" t="s">
        <v>164</v>
      </c>
      <c r="E29" s="354"/>
      <c r="F29" s="354"/>
      <c r="G29" s="354"/>
      <c r="H29" s="354"/>
      <c r="I29" s="354"/>
      <c r="J29" s="367" t="s">
        <v>296</v>
      </c>
      <c r="K29" s="355" t="s">
        <v>297</v>
      </c>
    </row>
    <row r="30" spans="2:31" x14ac:dyDescent="0.2">
      <c r="B30" s="356"/>
      <c r="C30" s="357" t="s">
        <v>263</v>
      </c>
      <c r="D30" s="365">
        <v>4.8</v>
      </c>
      <c r="E30" s="350"/>
      <c r="F30" s="350"/>
      <c r="G30" s="350"/>
      <c r="H30" s="350"/>
      <c r="I30" s="350"/>
      <c r="J30" s="368">
        <v>187455</v>
      </c>
      <c r="K30" s="358">
        <f>J30/SUM(J$30:J$35)</f>
        <v>0.1438013637943216</v>
      </c>
    </row>
    <row r="31" spans="2:31" x14ac:dyDescent="0.2">
      <c r="B31" s="356"/>
      <c r="C31" s="357" t="s">
        <v>264</v>
      </c>
      <c r="D31" s="365">
        <v>4.5</v>
      </c>
      <c r="E31" s="350"/>
      <c r="F31" s="350"/>
      <c r="G31" s="350"/>
      <c r="H31" s="350"/>
      <c r="I31" s="350"/>
      <c r="J31" s="368">
        <v>115588</v>
      </c>
      <c r="K31" s="358">
        <f t="shared" ref="K31:K35" si="29">J31/SUM(J$30:J$35)</f>
        <v>8.867041176953426E-2</v>
      </c>
    </row>
    <row r="32" spans="2:31" x14ac:dyDescent="0.2">
      <c r="B32" s="356"/>
      <c r="C32" s="357" t="s">
        <v>265</v>
      </c>
      <c r="D32" s="365">
        <v>5.2</v>
      </c>
      <c r="E32" s="350"/>
      <c r="F32" s="350"/>
      <c r="G32" s="350"/>
      <c r="H32" s="350"/>
      <c r="I32" s="350"/>
      <c r="J32" s="368">
        <v>593678</v>
      </c>
      <c r="K32" s="358">
        <f t="shared" si="29"/>
        <v>0.45542506764122193</v>
      </c>
    </row>
    <row r="33" spans="2:15" x14ac:dyDescent="0.2">
      <c r="B33" s="359" t="s">
        <v>269</v>
      </c>
      <c r="C33" s="321"/>
      <c r="D33" s="365"/>
      <c r="E33" s="350"/>
      <c r="F33" s="350"/>
      <c r="G33" s="350"/>
      <c r="H33" s="350"/>
      <c r="I33" s="350"/>
      <c r="J33" s="369"/>
      <c r="K33" s="358">
        <f t="shared" si="29"/>
        <v>0</v>
      </c>
    </row>
    <row r="34" spans="2:15" x14ac:dyDescent="0.2">
      <c r="B34" s="356"/>
      <c r="C34" s="357" t="s">
        <v>266</v>
      </c>
      <c r="D34" s="365">
        <v>5.3</v>
      </c>
      <c r="E34" s="350"/>
      <c r="F34" s="350"/>
      <c r="G34" s="350"/>
      <c r="H34" s="350"/>
      <c r="I34" s="350"/>
      <c r="J34" s="368">
        <v>211732</v>
      </c>
      <c r="K34" s="358">
        <f t="shared" si="29"/>
        <v>0.16242485054492703</v>
      </c>
    </row>
    <row r="35" spans="2:15" x14ac:dyDescent="0.2">
      <c r="B35" s="356"/>
      <c r="C35" s="357" t="s">
        <v>267</v>
      </c>
      <c r="D35" s="365">
        <v>5.4</v>
      </c>
      <c r="E35" s="350"/>
      <c r="F35" s="350"/>
      <c r="G35" s="350"/>
      <c r="H35" s="350"/>
      <c r="I35" s="350"/>
      <c r="J35" s="368">
        <v>195116</v>
      </c>
      <c r="K35" s="358">
        <f t="shared" si="29"/>
        <v>0.1496783062499952</v>
      </c>
    </row>
    <row r="36" spans="2:15" x14ac:dyDescent="0.2">
      <c r="B36" s="360" t="s">
        <v>298</v>
      </c>
      <c r="C36" s="361"/>
      <c r="D36" s="366">
        <f>SUMPRODUCT(D30:D35,K30:K35)</f>
        <v>5.1265883125480896</v>
      </c>
      <c r="E36" s="362"/>
      <c r="F36" s="362"/>
      <c r="G36" s="362"/>
      <c r="H36" s="362"/>
      <c r="I36" s="362"/>
      <c r="J36" s="370"/>
      <c r="K36" s="363"/>
    </row>
    <row r="39" spans="2:15" x14ac:dyDescent="0.2">
      <c r="O39" s="416"/>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B47"/>
  <sheetViews>
    <sheetView showGridLines="0" zoomScale="80" zoomScaleNormal="80" workbookViewId="0"/>
  </sheetViews>
  <sheetFormatPr defaultColWidth="9.1640625" defaultRowHeight="12.75" x14ac:dyDescent="0.2"/>
  <cols>
    <col min="1" max="1" width="5.6640625" style="27" customWidth="1"/>
    <col min="2" max="2" width="138" style="27" customWidth="1"/>
    <col min="3" max="3" width="9.1640625" style="27"/>
    <col min="4" max="4" width="20.83203125" style="27" customWidth="1"/>
    <col min="5" max="16384" width="9.1640625" style="27"/>
  </cols>
  <sheetData>
    <row r="2" spans="1:2" ht="20.25" x14ac:dyDescent="0.3">
      <c r="B2" s="40" t="s">
        <v>83</v>
      </c>
    </row>
    <row r="3" spans="1:2" s="41" customFormat="1" x14ac:dyDescent="0.2">
      <c r="B3" s="42"/>
    </row>
    <row r="4" spans="1:2" ht="18" x14ac:dyDescent="0.25">
      <c r="B4" s="43" t="s">
        <v>107</v>
      </c>
    </row>
    <row r="5" spans="1:2" ht="18" x14ac:dyDescent="0.25">
      <c r="A5" s="44"/>
    </row>
    <row r="6" spans="1:2" ht="18" x14ac:dyDescent="0.25">
      <c r="A6" s="44"/>
      <c r="B6" s="45" t="s">
        <v>108</v>
      </c>
    </row>
    <row r="8" spans="1:2" s="46" customFormat="1" x14ac:dyDescent="0.2">
      <c r="B8" s="47" t="s">
        <v>109</v>
      </c>
    </row>
    <row r="9" spans="1:2" s="46" customFormat="1" x14ac:dyDescent="0.2">
      <c r="B9" s="47"/>
    </row>
    <row r="10" spans="1:2" ht="38.25" x14ac:dyDescent="0.2">
      <c r="A10" s="282"/>
      <c r="B10" s="378" t="s">
        <v>402</v>
      </c>
    </row>
    <row r="11" spans="1:2" x14ac:dyDescent="0.2">
      <c r="A11" s="49"/>
      <c r="B11" s="50"/>
    </row>
    <row r="12" spans="1:2" s="53" customFormat="1" x14ac:dyDescent="0.2">
      <c r="A12" s="51"/>
      <c r="B12" s="52" t="s">
        <v>110</v>
      </c>
    </row>
    <row r="13" spans="1:2" s="53" customFormat="1" x14ac:dyDescent="0.2">
      <c r="A13" s="51"/>
      <c r="B13" s="52"/>
    </row>
    <row r="14" spans="1:2" s="53" customFormat="1" x14ac:dyDescent="0.2">
      <c r="A14" s="51"/>
      <c r="B14" s="54" t="s">
        <v>322</v>
      </c>
    </row>
    <row r="15" spans="1:2" x14ac:dyDescent="0.2">
      <c r="A15" s="49"/>
      <c r="B15" s="50"/>
    </row>
    <row r="16" spans="1:2" x14ac:dyDescent="0.2">
      <c r="A16" s="49"/>
      <c r="B16" s="50"/>
    </row>
    <row r="17" spans="1:2" x14ac:dyDescent="0.2">
      <c r="A17" s="49"/>
      <c r="B17" s="55" t="s">
        <v>111</v>
      </c>
    </row>
    <row r="18" spans="1:2" x14ac:dyDescent="0.2">
      <c r="A18" s="49"/>
    </row>
    <row r="19" spans="1:2" s="48" customFormat="1" x14ac:dyDescent="0.2">
      <c r="B19" s="48" t="s">
        <v>112</v>
      </c>
    </row>
    <row r="20" spans="1:2" s="48" customFormat="1" ht="6" customHeight="1" x14ac:dyDescent="0.2"/>
    <row r="21" spans="1:2" s="48" customFormat="1" ht="30.75" customHeight="1" x14ac:dyDescent="0.2">
      <c r="B21" s="48" t="s">
        <v>307</v>
      </c>
    </row>
    <row r="22" spans="1:2" s="48" customFormat="1" ht="33.75" customHeight="1" x14ac:dyDescent="0.2">
      <c r="B22" s="48" t="s">
        <v>308</v>
      </c>
    </row>
    <row r="23" spans="1:2" s="48" customFormat="1" ht="25.5" x14ac:dyDescent="0.2">
      <c r="B23" s="48" t="s">
        <v>309</v>
      </c>
    </row>
    <row r="24" spans="1:2" s="48" customFormat="1" ht="30.75" customHeight="1" x14ac:dyDescent="0.2">
      <c r="B24" s="48" t="s">
        <v>310</v>
      </c>
    </row>
    <row r="25" spans="1:2" s="48" customFormat="1" x14ac:dyDescent="0.2">
      <c r="B25" s="48" t="s">
        <v>311</v>
      </c>
    </row>
    <row r="26" spans="1:2" s="48" customFormat="1" ht="34.5" customHeight="1" x14ac:dyDescent="0.2">
      <c r="B26" s="48" t="s">
        <v>312</v>
      </c>
    </row>
    <row r="27" spans="1:2" s="48" customFormat="1" ht="29.25" customHeight="1" x14ac:dyDescent="0.2">
      <c r="B27" s="48" t="s">
        <v>313</v>
      </c>
    </row>
    <row r="28" spans="1:2" x14ac:dyDescent="0.2">
      <c r="A28" s="49"/>
      <c r="B28" s="55"/>
    </row>
    <row r="29" spans="1:2" x14ac:dyDescent="0.2">
      <c r="A29" s="49"/>
      <c r="B29" s="56" t="s">
        <v>113</v>
      </c>
    </row>
    <row r="30" spans="1:2" x14ac:dyDescent="0.2">
      <c r="A30" s="49"/>
      <c r="B30" s="56"/>
    </row>
    <row r="31" spans="1:2" s="46" customFormat="1" x14ac:dyDescent="0.2">
      <c r="B31" s="47" t="s">
        <v>320</v>
      </c>
    </row>
    <row r="32" spans="1:2" s="46" customFormat="1" x14ac:dyDescent="0.2">
      <c r="B32" s="47"/>
    </row>
    <row r="33" spans="1:2" s="46" customFormat="1" ht="25.5" x14ac:dyDescent="0.2">
      <c r="B33" s="48" t="s">
        <v>314</v>
      </c>
    </row>
    <row r="34" spans="1:2" s="46" customFormat="1" ht="38.25" customHeight="1" x14ac:dyDescent="0.2">
      <c r="B34" s="48" t="s">
        <v>315</v>
      </c>
    </row>
    <row r="35" spans="1:2" s="46" customFormat="1" ht="73.5" customHeight="1" x14ac:dyDescent="0.2">
      <c r="B35" s="48" t="s">
        <v>319</v>
      </c>
    </row>
    <row r="36" spans="1:2" s="46" customFormat="1" ht="73.5" customHeight="1" x14ac:dyDescent="0.2">
      <c r="B36" s="48" t="s">
        <v>316</v>
      </c>
    </row>
    <row r="37" spans="1:2" s="46" customFormat="1" ht="72.75" customHeight="1" x14ac:dyDescent="0.2">
      <c r="B37" s="48" t="s">
        <v>317</v>
      </c>
    </row>
    <row r="38" spans="1:2" s="46" customFormat="1" x14ac:dyDescent="0.2">
      <c r="B38" s="48"/>
    </row>
    <row r="39" spans="1:2" s="46" customFormat="1" ht="27" x14ac:dyDescent="0.2">
      <c r="B39" s="379" t="s">
        <v>318</v>
      </c>
    </row>
    <row r="40" spans="1:2" x14ac:dyDescent="0.2">
      <c r="A40" s="49"/>
      <c r="B40" s="57"/>
    </row>
    <row r="41" spans="1:2" x14ac:dyDescent="0.2">
      <c r="A41" s="49"/>
      <c r="B41" s="57"/>
    </row>
    <row r="42" spans="1:2" s="53" customFormat="1" x14ac:dyDescent="0.2">
      <c r="A42" s="51"/>
      <c r="B42" s="58" t="s">
        <v>86</v>
      </c>
    </row>
    <row r="43" spans="1:2" s="53" customFormat="1" x14ac:dyDescent="0.2">
      <c r="A43" s="51"/>
      <c r="B43" s="58"/>
    </row>
    <row r="44" spans="1:2" ht="51" x14ac:dyDescent="0.2">
      <c r="A44" s="282"/>
      <c r="B44" s="380" t="s">
        <v>321</v>
      </c>
    </row>
    <row r="45" spans="1:2" s="53" customFormat="1" ht="100.9" customHeight="1" x14ac:dyDescent="0.2">
      <c r="A45" s="51"/>
      <c r="B45" s="381" t="s">
        <v>452</v>
      </c>
    </row>
    <row r="46" spans="1:2" x14ac:dyDescent="0.2">
      <c r="B46" s="380"/>
    </row>
    <row r="47" spans="1:2" x14ac:dyDescent="0.2">
      <c r="B47" s="59" t="s">
        <v>115</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heetViews>
  <sheetFormatPr defaultRowHeight="12.75" x14ac:dyDescent="0.2"/>
  <cols>
    <col min="1" max="3" width="36.83203125" customWidth="1"/>
  </cols>
  <sheetData>
    <row r="1" spans="1:16" x14ac:dyDescent="0.2">
      <c r="A1" s="283" t="s">
        <v>323</v>
      </c>
    </row>
    <row r="2" spans="1:16" x14ac:dyDescent="0.2">
      <c r="P2" t="e">
        <f ca="1">_xll.CB.RecalcCounterFN()</f>
        <v>#NAME?</v>
      </c>
    </row>
    <row r="3" spans="1:16" x14ac:dyDescent="0.2">
      <c r="A3" t="s">
        <v>324</v>
      </c>
      <c r="B3" t="s">
        <v>325</v>
      </c>
      <c r="C3">
        <v>0</v>
      </c>
    </row>
    <row r="4" spans="1:16" x14ac:dyDescent="0.2">
      <c r="A4" t="s">
        <v>326</v>
      </c>
    </row>
    <row r="5" spans="1:16" x14ac:dyDescent="0.2">
      <c r="A5" t="s">
        <v>327</v>
      </c>
    </row>
    <row r="7" spans="1:16" x14ac:dyDescent="0.2">
      <c r="A7" s="283" t="s">
        <v>328</v>
      </c>
      <c r="B7" t="s">
        <v>329</v>
      </c>
    </row>
    <row r="8" spans="1:16" x14ac:dyDescent="0.2">
      <c r="B8">
        <v>3</v>
      </c>
    </row>
    <row r="10" spans="1:16" x14ac:dyDescent="0.2">
      <c r="A10" t="s">
        <v>330</v>
      </c>
    </row>
    <row r="11" spans="1:16" x14ac:dyDescent="0.2">
      <c r="A11" t="e">
        <f>CB_DATA_!#REF!</f>
        <v>#REF!</v>
      </c>
      <c r="B11" t="e">
        <f>'ERR &amp; Sensitivity Analysis'!#REF!</f>
        <v>#REF!</v>
      </c>
      <c r="C11" t="e">
        <f>'ERR Calculations'!#REF!</f>
        <v>#REF!</v>
      </c>
    </row>
    <row r="13" spans="1:16" x14ac:dyDescent="0.2">
      <c r="A13" t="s">
        <v>331</v>
      </c>
    </row>
    <row r="14" spans="1:16" x14ac:dyDescent="0.2">
      <c r="A14" t="s">
        <v>335</v>
      </c>
      <c r="B14" t="s">
        <v>339</v>
      </c>
      <c r="C14" t="s">
        <v>453</v>
      </c>
    </row>
    <row r="16" spans="1:16" x14ac:dyDescent="0.2">
      <c r="A16" t="s">
        <v>332</v>
      </c>
    </row>
    <row r="19" spans="1:3" x14ac:dyDescent="0.2">
      <c r="A19" t="s">
        <v>333</v>
      </c>
    </row>
    <row r="20" spans="1:3" x14ac:dyDescent="0.2">
      <c r="A20">
        <v>28</v>
      </c>
      <c r="B20">
        <v>31</v>
      </c>
      <c r="C20">
        <v>31</v>
      </c>
    </row>
    <row r="25" spans="1:3" x14ac:dyDescent="0.2">
      <c r="A25" s="283" t="s">
        <v>334</v>
      </c>
    </row>
    <row r="26" spans="1:3" x14ac:dyDescent="0.2">
      <c r="A26" s="387" t="s">
        <v>336</v>
      </c>
      <c r="B26" s="387" t="s">
        <v>454</v>
      </c>
      <c r="C26" s="387" t="s">
        <v>454</v>
      </c>
    </row>
    <row r="27" spans="1:3" x14ac:dyDescent="0.2">
      <c r="A27" t="s">
        <v>337</v>
      </c>
      <c r="B27" t="s">
        <v>457</v>
      </c>
      <c r="C27" t="s">
        <v>470</v>
      </c>
    </row>
    <row r="28" spans="1:3" x14ac:dyDescent="0.2">
      <c r="A28" s="387" t="s">
        <v>338</v>
      </c>
      <c r="B28" s="387" t="s">
        <v>338</v>
      </c>
      <c r="C28" s="387" t="s">
        <v>338</v>
      </c>
    </row>
    <row r="29" spans="1:3" x14ac:dyDescent="0.2">
      <c r="B29" s="387" t="s">
        <v>336</v>
      </c>
      <c r="C29" s="387" t="s">
        <v>336</v>
      </c>
    </row>
    <row r="30" spans="1:3" x14ac:dyDescent="0.2">
      <c r="B30" t="s">
        <v>456</v>
      </c>
      <c r="C30" t="s">
        <v>455</v>
      </c>
    </row>
    <row r="31" spans="1:3" x14ac:dyDescent="0.2">
      <c r="B31" s="387" t="s">
        <v>338</v>
      </c>
      <c r="C31" s="387" t="s">
        <v>338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J80"/>
  <sheetViews>
    <sheetView showGridLines="0" tabSelected="1" zoomScale="80" zoomScaleNormal="80" workbookViewId="0"/>
  </sheetViews>
  <sheetFormatPr defaultColWidth="9.1640625" defaultRowHeight="12.75" x14ac:dyDescent="0.2"/>
  <cols>
    <col min="1" max="1" width="5.6640625" style="65" customWidth="1"/>
    <col min="2" max="2" width="16.33203125" style="65" customWidth="1"/>
    <col min="3" max="3" width="67" style="65" customWidth="1"/>
    <col min="4" max="4" width="18.6640625" style="65" bestFit="1" customWidth="1"/>
    <col min="5" max="5" width="15" style="65" customWidth="1"/>
    <col min="6" max="6" width="15.1640625" style="65" customWidth="1"/>
    <col min="7" max="7" width="18.33203125" style="65" customWidth="1"/>
    <col min="8" max="8" width="5.6640625" style="65" customWidth="1"/>
    <col min="9" max="9" width="20.6640625" style="65" customWidth="1"/>
    <col min="10" max="16384" width="9.1640625" style="65"/>
  </cols>
  <sheetData>
    <row r="1" spans="1:10" s="12" customFormat="1" x14ac:dyDescent="0.2">
      <c r="C1" s="60"/>
      <c r="F1" s="61" t="s">
        <v>450</v>
      </c>
    </row>
    <row r="2" spans="1:10" ht="20.25" x14ac:dyDescent="0.3">
      <c r="A2" s="62"/>
      <c r="B2" s="63" t="s">
        <v>140</v>
      </c>
      <c r="C2" s="62"/>
      <c r="D2" s="62"/>
      <c r="E2" s="62"/>
      <c r="F2" s="62"/>
      <c r="G2" s="64"/>
    </row>
    <row r="3" spans="1:10" ht="27.75" customHeight="1" x14ac:dyDescent="0.25">
      <c r="A3" s="62"/>
      <c r="B3" s="66" t="s">
        <v>116</v>
      </c>
      <c r="C3" s="62"/>
      <c r="D3" s="62"/>
      <c r="E3" s="62"/>
      <c r="F3" s="62"/>
      <c r="G3" s="67"/>
    </row>
    <row r="4" spans="1:10" ht="12.75" customHeight="1" x14ac:dyDescent="0.25">
      <c r="C4" s="68"/>
    </row>
    <row r="5" spans="1:10" ht="39.75" customHeight="1" x14ac:dyDescent="0.2">
      <c r="B5" s="793" t="s">
        <v>117</v>
      </c>
      <c r="C5" s="794"/>
      <c r="D5" s="794"/>
      <c r="E5" s="794"/>
      <c r="F5" s="794"/>
      <c r="G5" s="794"/>
    </row>
    <row r="7" spans="1:10" s="68" customFormat="1" ht="15.75" x14ac:dyDescent="0.25">
      <c r="B7" s="795" t="s">
        <v>118</v>
      </c>
      <c r="C7" s="797" t="s">
        <v>119</v>
      </c>
      <c r="D7" s="799" t="s">
        <v>120</v>
      </c>
      <c r="E7" s="800"/>
      <c r="F7" s="800"/>
      <c r="G7" s="801"/>
    </row>
    <row r="8" spans="1:10" s="68" customFormat="1" ht="39" thickBot="1" x14ac:dyDescent="0.3">
      <c r="B8" s="796"/>
      <c r="C8" s="798"/>
      <c r="D8" s="69" t="s">
        <v>121</v>
      </c>
      <c r="E8" s="70" t="s">
        <v>122</v>
      </c>
      <c r="F8" s="71" t="s">
        <v>123</v>
      </c>
      <c r="G8" s="70" t="s">
        <v>124</v>
      </c>
      <c r="I8" s="284" t="s">
        <v>125</v>
      </c>
      <c r="J8" s="72"/>
    </row>
    <row r="9" spans="1:10" ht="38.85" customHeight="1" x14ac:dyDescent="0.2">
      <c r="B9" s="73" t="s">
        <v>104</v>
      </c>
      <c r="C9" s="74" t="s">
        <v>126</v>
      </c>
      <c r="D9" s="412">
        <v>1</v>
      </c>
      <c r="E9" s="75">
        <v>1</v>
      </c>
      <c r="F9" s="638" t="s">
        <v>127</v>
      </c>
      <c r="G9" s="76">
        <f>D9</f>
        <v>1</v>
      </c>
      <c r="I9" s="285" t="str">
        <f>IF(D9=E9,IF(D10=E10,"Y","N"),"N")</f>
        <v>Y</v>
      </c>
    </row>
    <row r="10" spans="1:10" ht="38.85" customHeight="1" x14ac:dyDescent="0.2">
      <c r="B10" s="286" t="s">
        <v>104</v>
      </c>
      <c r="C10" s="287" t="s">
        <v>128</v>
      </c>
      <c r="D10" s="288">
        <v>1</v>
      </c>
      <c r="E10" s="289">
        <v>1</v>
      </c>
      <c r="F10" s="639" t="s">
        <v>127</v>
      </c>
      <c r="G10" s="290">
        <f>D10</f>
        <v>1</v>
      </c>
    </row>
    <row r="11" spans="1:10" ht="14.25" customHeight="1" x14ac:dyDescent="0.2">
      <c r="B11" s="291"/>
      <c r="C11" s="291"/>
      <c r="D11" s="291"/>
      <c r="E11" s="291"/>
      <c r="F11" s="291"/>
      <c r="G11" s="291"/>
    </row>
    <row r="12" spans="1:10" ht="35.25" customHeight="1" x14ac:dyDescent="0.2">
      <c r="B12" s="292" t="s">
        <v>129</v>
      </c>
      <c r="C12" s="293" t="s">
        <v>282</v>
      </c>
      <c r="D12" s="413">
        <v>1</v>
      </c>
      <c r="E12" s="294">
        <v>1</v>
      </c>
      <c r="F12" s="295" t="s">
        <v>283</v>
      </c>
      <c r="G12" s="296">
        <f>IF($I$9="Y",IF(D12&lt;0,0%,D12),E12)</f>
        <v>1</v>
      </c>
      <c r="H12" s="803"/>
      <c r="I12" s="284" t="s">
        <v>130</v>
      </c>
    </row>
    <row r="13" spans="1:10" ht="42" customHeight="1" x14ac:dyDescent="0.2">
      <c r="B13" s="77" t="s">
        <v>129</v>
      </c>
      <c r="C13" s="297" t="s">
        <v>284</v>
      </c>
      <c r="D13" s="414">
        <v>0.16</v>
      </c>
      <c r="E13" s="298">
        <v>0.16</v>
      </c>
      <c r="F13" s="299" t="s">
        <v>285</v>
      </c>
      <c r="G13" s="300">
        <f>IF($I$9="Y",IF(D13&lt;0,0%,D13),E13)</f>
        <v>0.16</v>
      </c>
      <c r="H13" s="803"/>
      <c r="I13" s="285" t="str">
        <f>IF(D12=E12,IF(D13=E13,"Y","N"),"N")</f>
        <v>Y</v>
      </c>
    </row>
    <row r="14" spans="1:10" ht="42" customHeight="1" x14ac:dyDescent="0.2">
      <c r="B14" s="301" t="s">
        <v>129</v>
      </c>
      <c r="C14" s="302" t="s">
        <v>286</v>
      </c>
      <c r="D14" s="415">
        <v>4.8000000000000001E-2</v>
      </c>
      <c r="E14" s="317">
        <v>4.8000000000000001E-2</v>
      </c>
      <c r="F14" s="316" t="s">
        <v>287</v>
      </c>
      <c r="G14" s="318">
        <f>IF($I$9="Y",IF(D14&lt;0,0%,D14),E14)</f>
        <v>4.8000000000000001E-2</v>
      </c>
      <c r="H14" s="803"/>
    </row>
    <row r="15" spans="1:10" x14ac:dyDescent="0.2">
      <c r="D15" s="804"/>
      <c r="E15" s="804"/>
      <c r="F15" s="804"/>
      <c r="G15" s="804"/>
    </row>
    <row r="16" spans="1:10" x14ac:dyDescent="0.2">
      <c r="B16" s="805">
        <f>IF(I9="N",IF(I13="N","Reminder: Please reset all summary parameters to original values before changing specific parameters.  Specific parameters will only be used in ERR computation when all summary parameters are set to initial values",0),0)</f>
        <v>0</v>
      </c>
      <c r="C16" s="805"/>
      <c r="D16" s="805"/>
      <c r="E16" s="805"/>
      <c r="F16" s="805"/>
      <c r="G16" s="805"/>
    </row>
    <row r="17" spans="2:7" x14ac:dyDescent="0.2">
      <c r="B17" s="269"/>
      <c r="C17" s="269"/>
      <c r="D17" s="269"/>
      <c r="E17" s="269"/>
      <c r="F17" s="269"/>
      <c r="G17" s="269"/>
    </row>
    <row r="18" spans="2:7" x14ac:dyDescent="0.2">
      <c r="C18" s="78" t="s">
        <v>131</v>
      </c>
      <c r="D18" s="303">
        <f>'ERR Calculations'!F7</f>
        <v>0.2563449649750793</v>
      </c>
      <c r="E18" s="304"/>
    </row>
    <row r="19" spans="2:7" x14ac:dyDescent="0.2">
      <c r="C19" s="78"/>
      <c r="D19" s="304"/>
      <c r="E19" s="304"/>
    </row>
    <row r="20" spans="2:7" x14ac:dyDescent="0.2">
      <c r="C20" s="78"/>
      <c r="D20" s="79"/>
      <c r="E20" s="304"/>
    </row>
    <row r="21" spans="2:7" x14ac:dyDescent="0.2">
      <c r="C21" s="78" t="s">
        <v>132</v>
      </c>
      <c r="D21" s="305"/>
      <c r="E21" s="306" t="s">
        <v>133</v>
      </c>
      <c r="F21" s="307" t="s">
        <v>114</v>
      </c>
    </row>
    <row r="22" spans="2:7" x14ac:dyDescent="0.2">
      <c r="C22" s="78"/>
      <c r="D22" s="308" t="s">
        <v>134</v>
      </c>
      <c r="E22" s="671">
        <v>0.20300000000000001</v>
      </c>
      <c r="F22" s="672">
        <v>0.25600000000000001</v>
      </c>
    </row>
    <row r="23" spans="2:7" x14ac:dyDescent="0.2">
      <c r="D23" s="308" t="s">
        <v>135</v>
      </c>
      <c r="E23" s="309">
        <v>39318</v>
      </c>
      <c r="F23" s="310">
        <v>43017</v>
      </c>
    </row>
    <row r="25" spans="2:7" x14ac:dyDescent="0.2">
      <c r="C25" s="80" t="s">
        <v>136</v>
      </c>
      <c r="D25" s="311">
        <f>'ERR Calculations'!F11*10^6</f>
        <v>137671267.35103619</v>
      </c>
    </row>
    <row r="26" spans="2:7" x14ac:dyDescent="0.2">
      <c r="C26" s="80"/>
      <c r="D26" s="81"/>
    </row>
    <row r="27" spans="2:7" x14ac:dyDescent="0.2">
      <c r="C27" s="80" t="s">
        <v>137</v>
      </c>
      <c r="D27" s="311">
        <f>'ERR Calculations'!F10*10^6</f>
        <v>52140918.06417577</v>
      </c>
    </row>
    <row r="28" spans="2:7" x14ac:dyDescent="0.2">
      <c r="C28" s="82"/>
      <c r="D28" s="82"/>
    </row>
    <row r="29" spans="2:7" x14ac:dyDescent="0.2">
      <c r="C29" s="83" t="s">
        <v>138</v>
      </c>
    </row>
    <row r="76" spans="3:6" x14ac:dyDescent="0.2">
      <c r="C76" s="802" t="s">
        <v>139</v>
      </c>
      <c r="D76" s="802"/>
      <c r="E76" s="802"/>
      <c r="F76" s="802"/>
    </row>
    <row r="77" spans="3:6" x14ac:dyDescent="0.2">
      <c r="C77" s="802" t="s">
        <v>405</v>
      </c>
      <c r="D77" s="802"/>
      <c r="E77" s="802"/>
      <c r="F77" s="802"/>
    </row>
    <row r="78" spans="3:6" x14ac:dyDescent="0.2">
      <c r="C78" s="83"/>
      <c r="D78" s="83"/>
      <c r="E78" s="83"/>
      <c r="F78" s="83"/>
    </row>
    <row r="79" spans="3:6" ht="13.15" customHeight="1" x14ac:dyDescent="0.2"/>
    <row r="80" spans="3:6" ht="13.15" customHeight="1" x14ac:dyDescent="0.2"/>
  </sheetData>
  <mergeCells count="9">
    <mergeCell ref="H12:H14"/>
    <mergeCell ref="D15:G15"/>
    <mergeCell ref="B16:G16"/>
    <mergeCell ref="C76:F76"/>
    <mergeCell ref="B5:G5"/>
    <mergeCell ref="B7:B8"/>
    <mergeCell ref="C7:C8"/>
    <mergeCell ref="D7:G7"/>
    <mergeCell ref="C77:F77"/>
  </mergeCells>
  <conditionalFormatting sqref="B16:B17 B11">
    <cfRule type="cellIs" dxfId="4" priority="1" stopIfTrue="1" operator="equal">
      <formula>0</formula>
    </cfRule>
    <cfRule type="cellIs" dxfId="3" priority="2" stopIfTrue="1" operator="notEqual">
      <formula>0</formula>
    </cfRule>
  </conditionalFormatting>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2466" r:id="rId4" name="Button 2">
              <controlPr defaultSize="0" print="0" autoFill="0" autoPict="0" macro="[0]!ResetZanz">
                <anchor moveWithCells="1" sizeWithCells="1">
                  <from>
                    <xdr:col>8</xdr:col>
                    <xdr:colOff>9525</xdr:colOff>
                    <xdr:row>3</xdr:row>
                    <xdr:rowOff>95250</xdr:rowOff>
                  </from>
                  <to>
                    <xdr:col>8</xdr:col>
                    <xdr:colOff>1381125</xdr:colOff>
                    <xdr:row>5</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V48"/>
  <sheetViews>
    <sheetView showGridLines="0" zoomScale="80" zoomScaleNormal="80" workbookViewId="0"/>
  </sheetViews>
  <sheetFormatPr defaultColWidth="10.33203125" defaultRowHeight="12.75" x14ac:dyDescent="0.2"/>
  <cols>
    <col min="1" max="1" width="7.1640625" style="675" customWidth="1"/>
    <col min="2" max="2" width="30" style="683" customWidth="1"/>
    <col min="3" max="3" width="9.1640625" style="683" bestFit="1" customWidth="1"/>
    <col min="4" max="4" width="9.83203125" style="683" customWidth="1"/>
    <col min="5" max="5" width="19.33203125" style="683" customWidth="1"/>
    <col min="6" max="6" width="14" style="683" customWidth="1"/>
    <col min="7" max="7" width="13.1640625" style="683" customWidth="1"/>
    <col min="8" max="8" width="14" style="683" customWidth="1"/>
    <col min="9" max="9" width="10" style="683" bestFit="1" customWidth="1"/>
    <col min="10" max="10" width="22.6640625" style="683" customWidth="1"/>
    <col min="11" max="11" width="13.1640625" style="683" customWidth="1"/>
    <col min="12" max="12" width="15.6640625" style="683" bestFit="1" customWidth="1"/>
    <col min="13" max="16384" width="10.33203125" style="683"/>
  </cols>
  <sheetData>
    <row r="1" spans="1:12" s="333" customFormat="1" ht="20.25" x14ac:dyDescent="0.2">
      <c r="A1" s="675"/>
      <c r="B1" s="676" t="s">
        <v>140</v>
      </c>
      <c r="D1" s="677"/>
      <c r="E1" s="678"/>
      <c r="G1" s="642" t="s">
        <v>450</v>
      </c>
      <c r="H1" s="678"/>
      <c r="I1" s="678"/>
      <c r="L1" s="679"/>
    </row>
    <row r="2" spans="1:12" s="333" customFormat="1" ht="18" x14ac:dyDescent="0.2">
      <c r="A2" s="675"/>
      <c r="B2" s="680" t="s">
        <v>237</v>
      </c>
      <c r="D2" s="681"/>
      <c r="E2" s="677"/>
      <c r="F2" s="677"/>
      <c r="G2" s="677"/>
      <c r="H2" s="735"/>
      <c r="I2" s="681"/>
      <c r="L2" s="679"/>
    </row>
    <row r="3" spans="1:12" s="333" customFormat="1" x14ac:dyDescent="0.2">
      <c r="A3" s="675"/>
      <c r="L3" s="679"/>
    </row>
    <row r="4" spans="1:12" ht="15.75" x14ac:dyDescent="0.2">
      <c r="B4" s="333" t="s">
        <v>56</v>
      </c>
      <c r="C4" s="682"/>
      <c r="D4" s="682"/>
      <c r="F4" s="684"/>
      <c r="G4" s="684"/>
    </row>
    <row r="5" spans="1:12" x14ac:dyDescent="0.2">
      <c r="F5" s="684"/>
      <c r="G5" s="684"/>
    </row>
    <row r="6" spans="1:12" x14ac:dyDescent="0.2">
      <c r="B6" s="685" t="s">
        <v>435</v>
      </c>
      <c r="C6" s="686"/>
      <c r="D6" s="675">
        <f>A45</f>
        <v>9</v>
      </c>
      <c r="E6" s="806" t="s">
        <v>238</v>
      </c>
      <c r="F6" s="807"/>
      <c r="G6" s="807"/>
      <c r="H6" s="808"/>
    </row>
    <row r="7" spans="1:12" ht="25.5" x14ac:dyDescent="0.2">
      <c r="A7" s="675">
        <f>A38</f>
        <v>1</v>
      </c>
      <c r="B7" s="313" t="s">
        <v>42</v>
      </c>
      <c r="C7" s="687">
        <f>L26</f>
        <v>4.8478053820337215E-2</v>
      </c>
      <c r="E7" s="685"/>
      <c r="F7" s="688" t="s">
        <v>246</v>
      </c>
      <c r="G7" s="689" t="s">
        <v>247</v>
      </c>
      <c r="H7" s="688" t="s">
        <v>55</v>
      </c>
      <c r="I7" s="675">
        <f>A48</f>
        <v>12</v>
      </c>
      <c r="J7" s="690" t="s">
        <v>61</v>
      </c>
      <c r="K7" s="688" t="s">
        <v>62</v>
      </c>
      <c r="L7" s="691" t="s">
        <v>288</v>
      </c>
    </row>
    <row r="8" spans="1:12" ht="25.5" x14ac:dyDescent="0.2">
      <c r="A8" s="675">
        <f>A39</f>
        <v>2</v>
      </c>
      <c r="B8" s="313" t="s">
        <v>78</v>
      </c>
      <c r="C8" s="687">
        <v>0.6</v>
      </c>
      <c r="E8" s="356" t="s">
        <v>248</v>
      </c>
      <c r="F8" s="736">
        <v>50466434</v>
      </c>
      <c r="G8" s="737">
        <v>1576663.69</v>
      </c>
      <c r="H8" s="692">
        <f t="shared" ref="H8:H9" si="0">SUM(F8:G8)</f>
        <v>52043097.689999998</v>
      </c>
      <c r="I8" s="693"/>
      <c r="J8" s="694">
        <v>2008</v>
      </c>
      <c r="K8" s="738">
        <v>7.2999999999999995E-2</v>
      </c>
      <c r="L8" s="695">
        <f>K8*$H$8</f>
        <v>3799146.1313699996</v>
      </c>
    </row>
    <row r="9" spans="1:12" x14ac:dyDescent="0.2">
      <c r="E9" s="356" t="s">
        <v>249</v>
      </c>
      <c r="F9" s="700">
        <v>6793946.5099999998</v>
      </c>
      <c r="G9" s="701">
        <v>149380.94</v>
      </c>
      <c r="H9" s="692">
        <f t="shared" si="0"/>
        <v>6943327.4500000002</v>
      </c>
      <c r="J9" s="694">
        <v>2009</v>
      </c>
      <c r="K9" s="738">
        <v>0.186</v>
      </c>
      <c r="L9" s="695">
        <f t="shared" ref="L9:L11" si="1">K9*$H$8</f>
        <v>9680016.1703399997</v>
      </c>
    </row>
    <row r="10" spans="1:12" x14ac:dyDescent="0.2">
      <c r="A10" s="675">
        <f>A40</f>
        <v>3</v>
      </c>
      <c r="B10" s="696" t="s">
        <v>45</v>
      </c>
      <c r="C10" s="697"/>
      <c r="E10" s="356" t="s">
        <v>250</v>
      </c>
      <c r="F10" s="700">
        <v>3252422.28</v>
      </c>
      <c r="G10" s="701">
        <v>0</v>
      </c>
      <c r="H10" s="692">
        <f>SUM(F10:G10)</f>
        <v>3252422.28</v>
      </c>
      <c r="J10" s="694">
        <v>2010</v>
      </c>
      <c r="K10" s="738">
        <v>0.34200000000000003</v>
      </c>
      <c r="L10" s="695">
        <f t="shared" si="1"/>
        <v>17798739.409979999</v>
      </c>
    </row>
    <row r="11" spans="1:12" x14ac:dyDescent="0.2">
      <c r="B11" s="698" t="s">
        <v>34</v>
      </c>
      <c r="C11" s="699">
        <v>0.5</v>
      </c>
      <c r="E11" s="356" t="s">
        <v>251</v>
      </c>
      <c r="F11" s="700">
        <v>2113363.8199999998</v>
      </c>
      <c r="G11" s="701">
        <v>0</v>
      </c>
      <c r="H11" s="692">
        <f>SUM(F11:G11)</f>
        <v>2113363.8199999998</v>
      </c>
      <c r="J11" s="694">
        <v>2011</v>
      </c>
      <c r="K11" s="738">
        <v>0.39</v>
      </c>
      <c r="L11" s="695">
        <f t="shared" si="1"/>
        <v>20296808.099100001</v>
      </c>
    </row>
    <row r="12" spans="1:12" x14ac:dyDescent="0.2">
      <c r="B12" s="698" t="s">
        <v>32</v>
      </c>
      <c r="C12" s="699">
        <v>0.35</v>
      </c>
      <c r="E12" s="356" t="s">
        <v>252</v>
      </c>
      <c r="F12" s="700">
        <v>1669032.62</v>
      </c>
      <c r="G12" s="702">
        <v>62993</v>
      </c>
      <c r="H12" s="692">
        <f>SUM(F12:G12)</f>
        <v>1732025.62</v>
      </c>
      <c r="I12" s="693"/>
      <c r="J12" s="694">
        <v>2012</v>
      </c>
      <c r="K12" s="738">
        <v>8.9999999999999993E-3</v>
      </c>
      <c r="L12" s="695">
        <f>K12*$H$8</f>
        <v>468387.87920999993</v>
      </c>
    </row>
    <row r="13" spans="1:12" ht="25.5" x14ac:dyDescent="0.2">
      <c r="B13" s="742" t="s">
        <v>33</v>
      </c>
      <c r="C13" s="743">
        <v>0.15</v>
      </c>
      <c r="E13" s="356" t="s">
        <v>253</v>
      </c>
      <c r="F13" s="700">
        <v>2429305.0806445265</v>
      </c>
      <c r="G13" s="701">
        <v>0</v>
      </c>
      <c r="H13" s="692">
        <f>SUM(F13:G13)</f>
        <v>2429305.0806445265</v>
      </c>
      <c r="J13" s="703" t="s">
        <v>63</v>
      </c>
      <c r="K13" s="739">
        <v>35</v>
      </c>
      <c r="L13" s="695">
        <f>SUM(L8:L12)</f>
        <v>52043097.690000005</v>
      </c>
    </row>
    <row r="14" spans="1:12" x14ac:dyDescent="0.2">
      <c r="B14" s="746"/>
      <c r="C14" s="746"/>
      <c r="E14" s="356" t="s">
        <v>254</v>
      </c>
      <c r="F14" s="704">
        <v>1100886.9511885887</v>
      </c>
      <c r="G14" s="705">
        <v>0</v>
      </c>
      <c r="H14" s="692">
        <f>SUM(F14:G14)</f>
        <v>1100886.9511885887</v>
      </c>
    </row>
    <row r="15" spans="1:12" x14ac:dyDescent="0.2">
      <c r="A15" s="675">
        <f>A41</f>
        <v>4</v>
      </c>
      <c r="B15" s="744" t="s">
        <v>58</v>
      </c>
      <c r="C15" s="745"/>
      <c r="E15" s="685" t="s">
        <v>55</v>
      </c>
      <c r="F15" s="706">
        <f>SUM(F8:F14)</f>
        <v>67825391.261833116</v>
      </c>
      <c r="G15" s="707">
        <f>SUM(G8:G14)</f>
        <v>1789037.63</v>
      </c>
      <c r="H15" s="708">
        <f>SUM(H8:H14)</f>
        <v>69614428.891833127</v>
      </c>
    </row>
    <row r="16" spans="1:12" x14ac:dyDescent="0.2">
      <c r="B16" s="698" t="s">
        <v>34</v>
      </c>
      <c r="C16" s="602">
        <f>WTP!F9*0.01/2</f>
        <v>0.28500000000000003</v>
      </c>
      <c r="J16" s="734"/>
      <c r="K16" s="740"/>
    </row>
    <row r="17" spans="1:22" x14ac:dyDescent="0.2">
      <c r="B17" s="698" t="s">
        <v>59</v>
      </c>
      <c r="C17" s="602">
        <f>WTP!F10*0.01/2</f>
        <v>0.29849999999999999</v>
      </c>
      <c r="D17" s="321"/>
      <c r="F17" s="684"/>
      <c r="G17" s="684"/>
      <c r="J17" s="734"/>
      <c r="K17" s="741"/>
    </row>
    <row r="18" spans="1:22" x14ac:dyDescent="0.2">
      <c r="B18" s="698" t="s">
        <v>60</v>
      </c>
      <c r="C18" s="602">
        <f>WTP!F11*0.01/2</f>
        <v>0.34799999999999998</v>
      </c>
      <c r="D18" s="675">
        <f>A46</f>
        <v>10</v>
      </c>
      <c r="E18" s="685" t="s">
        <v>447</v>
      </c>
      <c r="F18" s="711"/>
      <c r="G18" s="711"/>
      <c r="H18" s="712"/>
      <c r="I18" s="712"/>
      <c r="J18" s="712"/>
      <c r="K18" s="712"/>
      <c r="L18" s="686"/>
    </row>
    <row r="19" spans="1:22" x14ac:dyDescent="0.2">
      <c r="B19" s="703" t="s">
        <v>35</v>
      </c>
      <c r="C19" s="602">
        <f>SUMPRODUCT(C16:C18,C11:C13)*1</f>
        <v>0.29917499999999997</v>
      </c>
      <c r="E19" s="356"/>
      <c r="F19" s="714">
        <v>2008</v>
      </c>
      <c r="G19" s="714">
        <v>2009</v>
      </c>
      <c r="H19" s="714">
        <v>2010</v>
      </c>
      <c r="I19" s="714">
        <v>2011</v>
      </c>
      <c r="J19" s="714">
        <v>2012</v>
      </c>
      <c r="K19" s="714">
        <v>2013</v>
      </c>
      <c r="L19" s="715" t="s">
        <v>62</v>
      </c>
    </row>
    <row r="20" spans="1:22" x14ac:dyDescent="0.2">
      <c r="A20" s="675">
        <f>A42</f>
        <v>5</v>
      </c>
      <c r="B20" s="709" t="s">
        <v>57</v>
      </c>
      <c r="C20" s="710">
        <v>1</v>
      </c>
      <c r="E20" s="356" t="s">
        <v>271</v>
      </c>
      <c r="F20" s="716">
        <v>58763</v>
      </c>
      <c r="G20" s="716">
        <v>61779</v>
      </c>
      <c r="H20" s="716">
        <v>62825</v>
      </c>
      <c r="I20" s="716">
        <v>67301</v>
      </c>
      <c r="J20" s="716">
        <v>71106</v>
      </c>
      <c r="K20" s="716">
        <v>74452</v>
      </c>
      <c r="L20" s="717">
        <f>K20/$K$23</f>
        <v>0.84962740645220192</v>
      </c>
    </row>
    <row r="21" spans="1:22" x14ac:dyDescent="0.2">
      <c r="E21" s="356" t="s">
        <v>272</v>
      </c>
      <c r="F21" s="716">
        <v>10159</v>
      </c>
      <c r="G21" s="716">
        <v>10645</v>
      </c>
      <c r="H21" s="716">
        <v>10788</v>
      </c>
      <c r="I21" s="716">
        <v>11567</v>
      </c>
      <c r="J21" s="716">
        <v>12262</v>
      </c>
      <c r="K21" s="716">
        <v>12840</v>
      </c>
      <c r="L21" s="717">
        <f>K21/$K$23</f>
        <v>0.14652683472366454</v>
      </c>
    </row>
    <row r="22" spans="1:22" x14ac:dyDescent="0.2">
      <c r="E22" s="356" t="s">
        <v>273</v>
      </c>
      <c r="F22" s="716">
        <v>289</v>
      </c>
      <c r="G22" s="716">
        <v>295</v>
      </c>
      <c r="H22" s="716">
        <v>300</v>
      </c>
      <c r="I22" s="716">
        <v>314</v>
      </c>
      <c r="J22" s="716">
        <v>323</v>
      </c>
      <c r="K22" s="716">
        <v>337</v>
      </c>
      <c r="L22" s="717">
        <f>K22/$K$23</f>
        <v>3.8457588241335629E-3</v>
      </c>
    </row>
    <row r="23" spans="1:22" ht="25.5" x14ac:dyDescent="0.2">
      <c r="A23" s="675">
        <f>A43</f>
        <v>6</v>
      </c>
      <c r="B23" s="313" t="s">
        <v>39</v>
      </c>
      <c r="C23" s="713">
        <f>LRMC!G22*0.01</f>
        <v>0.21850000000000003</v>
      </c>
      <c r="E23" s="720" t="s">
        <v>55</v>
      </c>
      <c r="F23" s="721">
        <f t="shared" ref="F23:K23" si="2">SUM(F20:F22)</f>
        <v>69211</v>
      </c>
      <c r="G23" s="721">
        <f t="shared" si="2"/>
        <v>72719</v>
      </c>
      <c r="H23" s="721">
        <f t="shared" si="2"/>
        <v>73913</v>
      </c>
      <c r="I23" s="721">
        <f t="shared" si="2"/>
        <v>79182</v>
      </c>
      <c r="J23" s="721">
        <f t="shared" si="2"/>
        <v>83691</v>
      </c>
      <c r="K23" s="721">
        <f t="shared" si="2"/>
        <v>87629</v>
      </c>
      <c r="L23" s="722"/>
    </row>
    <row r="24" spans="1:22" ht="25.5" x14ac:dyDescent="0.2">
      <c r="B24" s="313" t="s">
        <v>40</v>
      </c>
      <c r="C24" s="713">
        <f>LRMC!G23*0.01</f>
        <v>2.7999999999999997E-2</v>
      </c>
      <c r="E24" s="356"/>
      <c r="F24" s="321"/>
      <c r="G24" s="321"/>
      <c r="H24" s="321"/>
      <c r="I24" s="321"/>
      <c r="J24" s="321"/>
      <c r="K24" s="321"/>
      <c r="L24" s="723"/>
    </row>
    <row r="25" spans="1:22" x14ac:dyDescent="0.2">
      <c r="E25" s="356" t="s">
        <v>277</v>
      </c>
      <c r="F25" s="342"/>
      <c r="G25" s="342">
        <f>G23-F23</f>
        <v>3508</v>
      </c>
      <c r="H25" s="342">
        <f>H23-G23</f>
        <v>1194</v>
      </c>
      <c r="I25" s="342">
        <f>I23-H23</f>
        <v>5269</v>
      </c>
      <c r="J25" s="342">
        <f>J23-I23</f>
        <v>4509</v>
      </c>
      <c r="K25" s="342">
        <f>K23-J23</f>
        <v>3938</v>
      </c>
      <c r="L25" s="723"/>
      <c r="N25" s="684"/>
      <c r="V25" s="718"/>
    </row>
    <row r="26" spans="1:22" x14ac:dyDescent="0.2">
      <c r="E26" s="724" t="s">
        <v>278</v>
      </c>
      <c r="F26" s="725"/>
      <c r="G26" s="726">
        <f>G25/F23</f>
        <v>5.0685584661397755E-2</v>
      </c>
      <c r="H26" s="726">
        <f>H25/G23</f>
        <v>1.6419367703076226E-2</v>
      </c>
      <c r="I26" s="726">
        <f>I25/H23</f>
        <v>7.1286512521477954E-2</v>
      </c>
      <c r="J26" s="726">
        <f>J25/I23</f>
        <v>5.6944760172766541E-2</v>
      </c>
      <c r="K26" s="726">
        <f>K25/J23</f>
        <v>4.7054044042967584E-2</v>
      </c>
      <c r="L26" s="727">
        <f>AVERAGE(G26:K26)</f>
        <v>4.8478053820337215E-2</v>
      </c>
      <c r="N26" s="684"/>
      <c r="R26" s="719"/>
      <c r="V26" s="684"/>
    </row>
    <row r="27" spans="1:22" ht="25.5" x14ac:dyDescent="0.2">
      <c r="B27" s="313" t="s">
        <v>279</v>
      </c>
      <c r="C27" s="728">
        <f>'ERR &amp; Sensitivity Analysis'!G14</f>
        <v>4.8000000000000001E-2</v>
      </c>
      <c r="N27" s="684"/>
      <c r="R27" s="719"/>
      <c r="V27" s="684"/>
    </row>
    <row r="28" spans="1:22" x14ac:dyDescent="0.2">
      <c r="N28" s="684"/>
      <c r="R28" s="719"/>
    </row>
    <row r="29" spans="1:22" x14ac:dyDescent="0.2">
      <c r="A29" s="675">
        <f>A44</f>
        <v>8</v>
      </c>
      <c r="B29" s="315" t="s">
        <v>79</v>
      </c>
      <c r="C29" s="730">
        <v>1.4999999999999999E-2</v>
      </c>
      <c r="D29" s="675">
        <f>A47</f>
        <v>11</v>
      </c>
      <c r="E29" s="685" t="s">
        <v>437</v>
      </c>
      <c r="F29" s="712"/>
      <c r="G29" s="712"/>
      <c r="H29" s="712"/>
      <c r="I29" s="712"/>
      <c r="J29" s="712"/>
      <c r="K29" s="712"/>
      <c r="L29" s="686"/>
    </row>
    <row r="30" spans="1:22" ht="25.5" x14ac:dyDescent="0.2">
      <c r="A30" s="675">
        <f>A44</f>
        <v>8</v>
      </c>
      <c r="B30" s="762" t="s">
        <v>80</v>
      </c>
      <c r="C30" s="763">
        <v>0.123</v>
      </c>
      <c r="E30" s="356"/>
      <c r="F30" s="714">
        <v>2008</v>
      </c>
      <c r="G30" s="714">
        <v>2009</v>
      </c>
      <c r="H30" s="714">
        <v>2010</v>
      </c>
      <c r="I30" s="714">
        <v>2011</v>
      </c>
      <c r="J30" s="714">
        <v>2012</v>
      </c>
      <c r="K30" s="714">
        <v>2013</v>
      </c>
      <c r="L30" s="723"/>
    </row>
    <row r="31" spans="1:22" x14ac:dyDescent="0.2">
      <c r="B31" s="765"/>
      <c r="C31" s="766"/>
      <c r="E31" s="356" t="s">
        <v>271</v>
      </c>
      <c r="F31" s="729">
        <f>F20*WTP!$G$11/10^6</f>
        <v>43.48462</v>
      </c>
      <c r="G31" s="729">
        <f>G20*WTP!$G$11/10^6</f>
        <v>45.716459999999998</v>
      </c>
      <c r="H31" s="729">
        <f>H20*WTP!$G$11/10^6</f>
        <v>46.490499999999997</v>
      </c>
      <c r="I31" s="729">
        <f>I20*WTP!$G$11/10^6</f>
        <v>49.80274</v>
      </c>
      <c r="J31" s="729">
        <f>J20*WTP!$G$11/10^6</f>
        <v>52.61844</v>
      </c>
      <c r="K31" s="729">
        <f>K20*WTP!$G$11/10^6</f>
        <v>55.094479999999997</v>
      </c>
      <c r="L31" s="723"/>
    </row>
    <row r="32" spans="1:22" x14ac:dyDescent="0.2">
      <c r="B32" s="734"/>
      <c r="C32" s="764"/>
      <c r="E32" s="356" t="s">
        <v>272</v>
      </c>
      <c r="F32" s="729">
        <f>F21*WTP!$G$10/10^6</f>
        <v>17.57507</v>
      </c>
      <c r="G32" s="729">
        <f>G21*WTP!$G$10/10^6</f>
        <v>18.415849999999999</v>
      </c>
      <c r="H32" s="729">
        <f>H21*WTP!$G$10/10^6</f>
        <v>18.663239999999998</v>
      </c>
      <c r="I32" s="729">
        <f>I21*WTP!$G$10/10^6</f>
        <v>20.010909999999999</v>
      </c>
      <c r="J32" s="729">
        <f>J21*WTP!$G$10/10^6</f>
        <v>21.213259999999998</v>
      </c>
      <c r="K32" s="729">
        <f>K21*WTP!$G$10/10^6</f>
        <v>22.213200000000001</v>
      </c>
      <c r="L32" s="717"/>
    </row>
    <row r="33" spans="1:12" x14ac:dyDescent="0.2">
      <c r="E33" s="356" t="s">
        <v>273</v>
      </c>
      <c r="F33" s="729">
        <f>F22*WTP!$G$9/10^6</f>
        <v>0.57799999999999996</v>
      </c>
      <c r="G33" s="729">
        <f>G22*WTP!$G$9/10^6</f>
        <v>0.59</v>
      </c>
      <c r="H33" s="729">
        <f>H22*WTP!$G$9/10^6</f>
        <v>0.6</v>
      </c>
      <c r="I33" s="729">
        <f>I22*WTP!$G$9/10^6</f>
        <v>0.628</v>
      </c>
      <c r="J33" s="729">
        <f>J22*WTP!$G$9/10^6</f>
        <v>0.64600000000000002</v>
      </c>
      <c r="K33" s="729">
        <f>K22*WTP!$G$9/10^6</f>
        <v>0.67400000000000004</v>
      </c>
      <c r="L33" s="717"/>
    </row>
    <row r="34" spans="1:12" x14ac:dyDescent="0.2">
      <c r="E34" s="731" t="s">
        <v>55</v>
      </c>
      <c r="F34" s="732">
        <f t="shared" ref="F34:K34" si="3">SUM(F31:F33)</f>
        <v>61.637690000000006</v>
      </c>
      <c r="G34" s="732">
        <f t="shared" si="3"/>
        <v>64.722309999999993</v>
      </c>
      <c r="H34" s="732">
        <f t="shared" si="3"/>
        <v>65.753739999999993</v>
      </c>
      <c r="I34" s="732">
        <f t="shared" si="3"/>
        <v>70.441649999999996</v>
      </c>
      <c r="J34" s="732">
        <f t="shared" si="3"/>
        <v>74.477699999999999</v>
      </c>
      <c r="K34" s="732">
        <f t="shared" si="3"/>
        <v>77.981680000000011</v>
      </c>
      <c r="L34" s="733"/>
    </row>
    <row r="37" spans="1:12" x14ac:dyDescent="0.2">
      <c r="B37" s="674" t="s">
        <v>416</v>
      </c>
    </row>
    <row r="38" spans="1:12" x14ac:dyDescent="0.2">
      <c r="A38" s="675">
        <v>1</v>
      </c>
      <c r="B38" s="673" t="s">
        <v>438</v>
      </c>
    </row>
    <row r="39" spans="1:12" x14ac:dyDescent="0.2">
      <c r="A39" s="675">
        <v>2</v>
      </c>
      <c r="B39" s="673" t="s">
        <v>439</v>
      </c>
    </row>
    <row r="40" spans="1:12" x14ac:dyDescent="0.2">
      <c r="A40" s="675">
        <v>3</v>
      </c>
      <c r="B40" s="673" t="s">
        <v>440</v>
      </c>
    </row>
    <row r="41" spans="1:12" x14ac:dyDescent="0.2">
      <c r="A41" s="675">
        <v>4</v>
      </c>
      <c r="B41" s="673" t="s">
        <v>441</v>
      </c>
    </row>
    <row r="42" spans="1:12" x14ac:dyDescent="0.2">
      <c r="A42" s="675">
        <v>5</v>
      </c>
      <c r="B42" s="673" t="s">
        <v>436</v>
      </c>
    </row>
    <row r="43" spans="1:12" x14ac:dyDescent="0.2">
      <c r="A43" s="675">
        <v>6</v>
      </c>
      <c r="B43" s="683" t="s">
        <v>442</v>
      </c>
    </row>
    <row r="44" spans="1:12" x14ac:dyDescent="0.2">
      <c r="A44" s="675">
        <v>8</v>
      </c>
      <c r="B44" s="673" t="s">
        <v>443</v>
      </c>
    </row>
    <row r="45" spans="1:12" ht="13.5" customHeight="1" x14ac:dyDescent="0.2">
      <c r="A45" s="675">
        <v>9</v>
      </c>
      <c r="B45" s="673" t="s">
        <v>444</v>
      </c>
    </row>
    <row r="46" spans="1:12" x14ac:dyDescent="0.2">
      <c r="A46" s="675">
        <v>10</v>
      </c>
      <c r="B46" s="673" t="s">
        <v>445</v>
      </c>
    </row>
    <row r="47" spans="1:12" x14ac:dyDescent="0.2">
      <c r="A47" s="675">
        <v>11</v>
      </c>
      <c r="B47" s="683" t="s">
        <v>446</v>
      </c>
    </row>
    <row r="48" spans="1:12" x14ac:dyDescent="0.2">
      <c r="A48" s="675">
        <v>12</v>
      </c>
      <c r="B48" s="673" t="s">
        <v>448</v>
      </c>
    </row>
  </sheetData>
  <mergeCells count="1">
    <mergeCell ref="E6:H6"/>
  </mergeCells>
  <phoneticPr fontId="3" type="noConversion"/>
  <pageMargins left="0.62992125984251968" right="0.59055118110236227" top="0.55000000000000004" bottom="0.51181102362204722" header="0.33" footer="0.39370078740157483"/>
  <pageSetup paperSize="9" scale="45" orientation="landscape" r:id="rId1"/>
  <headerFooter alignWithMargins="0"/>
  <ignoredErrors>
    <ignoredError sqref="F23:K23" formulaRang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D108"/>
  <sheetViews>
    <sheetView showGridLines="0" zoomScale="80" zoomScaleNormal="80" workbookViewId="0"/>
  </sheetViews>
  <sheetFormatPr defaultColWidth="9.33203125" defaultRowHeight="12.75" x14ac:dyDescent="0.2"/>
  <cols>
    <col min="1" max="1" width="3" style="3" customWidth="1"/>
    <col min="2" max="2" width="9.33203125" style="3"/>
    <col min="3" max="3" width="5" style="3" customWidth="1"/>
    <col min="4" max="4" width="5.5" style="3" customWidth="1"/>
    <col min="5" max="5" width="43.1640625" style="3" customWidth="1"/>
    <col min="6" max="27" width="9.1640625" style="3" customWidth="1"/>
    <col min="28" max="31" width="4.1640625" style="3" customWidth="1"/>
    <col min="32" max="16384" width="9.33203125" style="3"/>
  </cols>
  <sheetData>
    <row r="1" spans="1:12" s="747" customFormat="1" ht="20.25" x14ac:dyDescent="0.3">
      <c r="B1" s="436" t="s">
        <v>140</v>
      </c>
      <c r="C1" s="748"/>
      <c r="H1" s="541" t="s">
        <v>450</v>
      </c>
    </row>
    <row r="2" spans="1:12" s="749" customFormat="1" ht="18" x14ac:dyDescent="0.25">
      <c r="A2" s="748"/>
      <c r="B2" s="542" t="s">
        <v>236</v>
      </c>
      <c r="D2" s="748"/>
      <c r="E2" s="748"/>
      <c r="F2" s="543"/>
    </row>
    <row r="3" spans="1:12" ht="13.5" thickBot="1" x14ac:dyDescent="0.25">
      <c r="C3" s="544"/>
    </row>
    <row r="4" spans="1:12" x14ac:dyDescent="0.2">
      <c r="C4" s="590" t="s">
        <v>407</v>
      </c>
      <c r="D4" s="591"/>
      <c r="E4" s="424"/>
      <c r="F4" s="424"/>
      <c r="G4" s="425"/>
    </row>
    <row r="5" spans="1:12" x14ac:dyDescent="0.2">
      <c r="C5" s="426"/>
      <c r="D5" s="427"/>
      <c r="E5" s="428"/>
      <c r="F5" s="545"/>
      <c r="G5" s="429"/>
      <c r="H5" s="430"/>
      <c r="I5" s="430"/>
      <c r="J5" s="430"/>
    </row>
    <row r="6" spans="1:12" ht="12.75" customHeight="1" x14ac:dyDescent="0.2">
      <c r="C6" s="431" t="s">
        <v>255</v>
      </c>
      <c r="D6" s="432"/>
      <c r="G6" s="592"/>
      <c r="H6" s="811"/>
      <c r="I6" s="811"/>
      <c r="J6" s="811"/>
      <c r="K6" s="811"/>
      <c r="L6" s="4"/>
    </row>
    <row r="7" spans="1:12" x14ac:dyDescent="0.2">
      <c r="C7" s="593"/>
      <c r="D7" s="530" t="s">
        <v>256</v>
      </c>
      <c r="F7" s="596">
        <f>IRR(H96:AA96,0.9)</f>
        <v>0.2563449649750793</v>
      </c>
      <c r="G7" s="450"/>
      <c r="H7" s="437"/>
      <c r="I7" s="438"/>
      <c r="J7" s="438"/>
      <c r="K7" s="438"/>
      <c r="L7" s="4"/>
    </row>
    <row r="8" spans="1:12" x14ac:dyDescent="0.2">
      <c r="C8" s="431" t="s">
        <v>257</v>
      </c>
      <c r="D8" s="433"/>
      <c r="F8" s="597"/>
      <c r="G8" s="594"/>
      <c r="H8" s="439"/>
      <c r="I8" s="471"/>
      <c r="J8" s="471"/>
      <c r="K8" s="471"/>
      <c r="L8" s="4"/>
    </row>
    <row r="9" spans="1:12" x14ac:dyDescent="0.2">
      <c r="C9" s="593"/>
      <c r="D9" s="530" t="s">
        <v>258</v>
      </c>
      <c r="F9" s="598">
        <f>NPV(0.1,H96:AA96)</f>
        <v>85.530349286860428</v>
      </c>
      <c r="G9" s="594"/>
      <c r="H9" s="439"/>
      <c r="I9" s="440"/>
      <c r="J9" s="471"/>
      <c r="K9" s="441"/>
      <c r="L9" s="4"/>
    </row>
    <row r="10" spans="1:12" x14ac:dyDescent="0.2">
      <c r="C10" s="593"/>
      <c r="D10" s="530" t="s">
        <v>245</v>
      </c>
      <c r="F10" s="598">
        <f>NPV(0.1,H75:L75)</f>
        <v>52.140918064175771</v>
      </c>
      <c r="G10" s="594"/>
      <c r="H10" s="439"/>
      <c r="I10" s="471"/>
      <c r="J10" s="471"/>
      <c r="K10" s="441"/>
      <c r="L10" s="750"/>
    </row>
    <row r="11" spans="1:12" x14ac:dyDescent="0.2">
      <c r="C11" s="593"/>
      <c r="D11" s="530" t="s">
        <v>259</v>
      </c>
      <c r="F11" s="598">
        <f>F9+F10</f>
        <v>137.67126735103619</v>
      </c>
      <c r="G11" s="594"/>
      <c r="H11" s="439"/>
      <c r="I11" s="441"/>
      <c r="J11" s="441"/>
      <c r="K11" s="441"/>
      <c r="L11" s="750"/>
    </row>
    <row r="12" spans="1:12" x14ac:dyDescent="0.2">
      <c r="C12" s="593"/>
      <c r="D12" s="530" t="s">
        <v>260</v>
      </c>
      <c r="F12" s="598">
        <f>NPV(0.1,H95:AA95)</f>
        <v>165.72614326653138</v>
      </c>
      <c r="G12" s="594"/>
      <c r="H12" s="750"/>
      <c r="I12" s="456"/>
      <c r="J12" s="456"/>
      <c r="K12" s="456"/>
      <c r="L12" s="750"/>
    </row>
    <row r="13" spans="1:12" x14ac:dyDescent="0.2">
      <c r="C13" s="593"/>
      <c r="D13" s="530" t="s">
        <v>261</v>
      </c>
      <c r="F13" s="598">
        <f>NPV(0.1,H74:AA74)</f>
        <v>80.195793979670924</v>
      </c>
      <c r="G13" s="594"/>
      <c r="H13" s="750"/>
      <c r="I13" s="456"/>
      <c r="J13" s="456"/>
      <c r="K13" s="456"/>
      <c r="L13" s="750"/>
    </row>
    <row r="14" spans="1:12" ht="13.5" thickBot="1" x14ac:dyDescent="0.25">
      <c r="C14" s="434" t="s">
        <v>262</v>
      </c>
      <c r="D14" s="435"/>
      <c r="E14" s="589"/>
      <c r="F14" s="599">
        <f>F12/F13</f>
        <v>2.0665191407487256</v>
      </c>
      <c r="G14" s="595"/>
      <c r="H14" s="442"/>
      <c r="I14" s="443"/>
      <c r="J14" s="443"/>
      <c r="K14" s="443"/>
      <c r="L14" s="750"/>
    </row>
    <row r="15" spans="1:12" x14ac:dyDescent="0.2">
      <c r="F15" s="444"/>
      <c r="G15" s="750"/>
      <c r="H15" s="442"/>
      <c r="I15" s="443"/>
      <c r="J15" s="443"/>
      <c r="K15" s="443"/>
      <c r="L15" s="750"/>
    </row>
    <row r="16" spans="1:12" hidden="1" x14ac:dyDescent="0.2">
      <c r="F16" s="444"/>
      <c r="G16" s="750"/>
      <c r="H16" s="442"/>
      <c r="I16" s="443"/>
      <c r="J16" s="443"/>
      <c r="K16" s="443"/>
      <c r="L16" s="750"/>
    </row>
    <row r="17" spans="3:28" hidden="1" x14ac:dyDescent="0.2">
      <c r="F17" s="444"/>
      <c r="G17" s="750"/>
      <c r="H17" s="442"/>
      <c r="I17" s="443"/>
      <c r="J17" s="443"/>
      <c r="K17" s="443"/>
      <c r="L17" s="750"/>
    </row>
    <row r="18" spans="3:28" hidden="1" x14ac:dyDescent="0.2">
      <c r="F18" s="444"/>
      <c r="G18" s="750"/>
      <c r="H18" s="442"/>
      <c r="I18" s="443"/>
      <c r="J18" s="443"/>
      <c r="K18" s="443"/>
      <c r="L18" s="750"/>
    </row>
    <row r="19" spans="3:28" hidden="1" x14ac:dyDescent="0.2">
      <c r="F19" s="750"/>
      <c r="G19" s="445"/>
      <c r="H19" s="445"/>
      <c r="I19" s="471"/>
      <c r="J19" s="446"/>
      <c r="K19" s="471"/>
      <c r="L19" s="750"/>
    </row>
    <row r="20" spans="3:28" ht="13.5" thickBot="1" x14ac:dyDescent="0.25"/>
    <row r="21" spans="3:28" x14ac:dyDescent="0.2">
      <c r="C21" s="532"/>
      <c r="D21" s="533"/>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5"/>
    </row>
    <row r="22" spans="3:28" x14ac:dyDescent="0.2">
      <c r="C22" s="751" t="s">
        <v>408</v>
      </c>
      <c r="D22" s="536"/>
      <c r="E22" s="536"/>
      <c r="F22" s="537" t="s">
        <v>50</v>
      </c>
      <c r="G22" s="538"/>
      <c r="H22" s="538"/>
      <c r="I22" s="538"/>
      <c r="J22" s="538"/>
      <c r="K22" s="539"/>
      <c r="L22" s="536"/>
      <c r="M22" s="536"/>
      <c r="N22" s="536"/>
      <c r="O22" s="536"/>
      <c r="P22" s="536"/>
      <c r="Q22" s="536"/>
      <c r="R22" s="536"/>
      <c r="S22" s="536"/>
      <c r="T22" s="536"/>
      <c r="U22" s="536"/>
      <c r="V22" s="536"/>
      <c r="W22" s="536"/>
      <c r="X22" s="536"/>
      <c r="Y22" s="536"/>
      <c r="Z22" s="536"/>
      <c r="AA22" s="536"/>
      <c r="AB22" s="540"/>
    </row>
    <row r="23" spans="3:28" x14ac:dyDescent="0.2">
      <c r="C23" s="593"/>
      <c r="E23" s="447"/>
      <c r="G23" s="448"/>
      <c r="H23" s="448"/>
      <c r="I23" s="448"/>
      <c r="J23" s="448"/>
      <c r="K23" s="449"/>
      <c r="AB23" s="450"/>
    </row>
    <row r="24" spans="3:28" s="451" customFormat="1" x14ac:dyDescent="0.2">
      <c r="C24" s="452"/>
      <c r="E24" s="454" t="s">
        <v>1</v>
      </c>
      <c r="F24" s="454">
        <v>2007</v>
      </c>
      <c r="G24" s="454">
        <v>2008</v>
      </c>
      <c r="H24" s="454">
        <f>G24+1</f>
        <v>2009</v>
      </c>
      <c r="I24" s="454">
        <f t="shared" ref="I24:S24" si="0">H24+1</f>
        <v>2010</v>
      </c>
      <c r="J24" s="454">
        <f t="shared" si="0"/>
        <v>2011</v>
      </c>
      <c r="K24" s="454">
        <f t="shared" si="0"/>
        <v>2012</v>
      </c>
      <c r="L24" s="454">
        <f t="shared" si="0"/>
        <v>2013</v>
      </c>
      <c r="M24" s="454">
        <f t="shared" si="0"/>
        <v>2014</v>
      </c>
      <c r="N24" s="454">
        <f t="shared" si="0"/>
        <v>2015</v>
      </c>
      <c r="O24" s="454">
        <f t="shared" si="0"/>
        <v>2016</v>
      </c>
      <c r="P24" s="454">
        <f t="shared" si="0"/>
        <v>2017</v>
      </c>
      <c r="Q24" s="454">
        <f t="shared" si="0"/>
        <v>2018</v>
      </c>
      <c r="R24" s="454">
        <f t="shared" si="0"/>
        <v>2019</v>
      </c>
      <c r="S24" s="454">
        <f t="shared" si="0"/>
        <v>2020</v>
      </c>
      <c r="T24" s="454">
        <f>S24+1</f>
        <v>2021</v>
      </c>
      <c r="U24" s="454">
        <f t="shared" ref="U24:AA24" si="1">T24+1</f>
        <v>2022</v>
      </c>
      <c r="V24" s="454">
        <f t="shared" si="1"/>
        <v>2023</v>
      </c>
      <c r="W24" s="454">
        <f t="shared" si="1"/>
        <v>2024</v>
      </c>
      <c r="X24" s="454">
        <f t="shared" si="1"/>
        <v>2025</v>
      </c>
      <c r="Y24" s="454">
        <f t="shared" si="1"/>
        <v>2026</v>
      </c>
      <c r="Z24" s="454">
        <f t="shared" si="1"/>
        <v>2027</v>
      </c>
      <c r="AA24" s="454">
        <f t="shared" si="1"/>
        <v>2028</v>
      </c>
      <c r="AB24" s="455"/>
    </row>
    <row r="25" spans="3:28" x14ac:dyDescent="0.2">
      <c r="C25" s="452"/>
      <c r="D25" s="453"/>
      <c r="E25" s="456" t="s">
        <v>270</v>
      </c>
      <c r="F25" s="456">
        <v>-1</v>
      </c>
      <c r="G25" s="456">
        <v>0</v>
      </c>
      <c r="H25" s="456">
        <v>1</v>
      </c>
      <c r="I25" s="456">
        <v>2</v>
      </c>
      <c r="J25" s="456">
        <v>3</v>
      </c>
      <c r="K25" s="456">
        <v>4</v>
      </c>
      <c r="L25" s="456">
        <v>5</v>
      </c>
      <c r="M25" s="456">
        <v>6</v>
      </c>
      <c r="N25" s="456">
        <v>7</v>
      </c>
      <c r="O25" s="456">
        <v>8</v>
      </c>
      <c r="P25" s="456">
        <v>9</v>
      </c>
      <c r="Q25" s="456">
        <v>10</v>
      </c>
      <c r="R25" s="456">
        <v>11</v>
      </c>
      <c r="S25" s="456">
        <v>12</v>
      </c>
      <c r="T25" s="456">
        <v>13</v>
      </c>
      <c r="U25" s="456">
        <v>14</v>
      </c>
      <c r="V25" s="456">
        <v>15</v>
      </c>
      <c r="W25" s="456">
        <v>16</v>
      </c>
      <c r="X25" s="456">
        <v>17</v>
      </c>
      <c r="Y25" s="456">
        <v>18</v>
      </c>
      <c r="Z25" s="456">
        <v>19</v>
      </c>
      <c r="AA25" s="456">
        <v>20</v>
      </c>
      <c r="AB25" s="457"/>
    </row>
    <row r="26" spans="3:28" x14ac:dyDescent="0.2">
      <c r="C26" s="459"/>
      <c r="D26" s="462" t="s">
        <v>20</v>
      </c>
      <c r="E26" s="453"/>
      <c r="F26" s="456"/>
      <c r="G26" s="456"/>
      <c r="H26" s="456"/>
      <c r="I26" s="456"/>
      <c r="J26" s="456"/>
      <c r="K26" s="456"/>
      <c r="L26" s="456"/>
      <c r="M26" s="456"/>
      <c r="N26" s="456"/>
      <c r="O26" s="456"/>
      <c r="P26" s="456"/>
      <c r="Q26" s="456"/>
      <c r="R26" s="456"/>
      <c r="S26" s="456"/>
      <c r="T26" s="456"/>
      <c r="U26" s="456"/>
      <c r="V26" s="456"/>
      <c r="W26" s="456"/>
      <c r="X26" s="456"/>
      <c r="Y26" s="456"/>
      <c r="Z26" s="456"/>
      <c r="AA26" s="456"/>
      <c r="AB26" s="457"/>
    </row>
    <row r="27" spans="3:28" x14ac:dyDescent="0.2">
      <c r="C27" s="461"/>
      <c r="D27" s="462"/>
      <c r="E27" s="463" t="s">
        <v>42</v>
      </c>
      <c r="F27" s="464" t="s">
        <v>43</v>
      </c>
      <c r="G27" s="464" t="s">
        <v>43</v>
      </c>
      <c r="H27" s="464" t="s">
        <v>43</v>
      </c>
      <c r="I27" s="464" t="s">
        <v>43</v>
      </c>
      <c r="J27" s="464" t="s">
        <v>43</v>
      </c>
      <c r="K27" s="464" t="s">
        <v>43</v>
      </c>
      <c r="L27" s="465"/>
      <c r="M27" s="465">
        <f t="shared" ref="M27:AA27" si="2">energy_growth</f>
        <v>4.8478053820337215E-2</v>
      </c>
      <c r="N27" s="465">
        <f t="shared" si="2"/>
        <v>4.8478053820337215E-2</v>
      </c>
      <c r="O27" s="465">
        <f t="shared" si="2"/>
        <v>4.8478053820337215E-2</v>
      </c>
      <c r="P27" s="465">
        <f t="shared" si="2"/>
        <v>4.8478053820337215E-2</v>
      </c>
      <c r="Q27" s="465">
        <f t="shared" si="2"/>
        <v>4.8478053820337215E-2</v>
      </c>
      <c r="R27" s="465">
        <f t="shared" si="2"/>
        <v>4.8478053820337215E-2</v>
      </c>
      <c r="S27" s="465">
        <f t="shared" si="2"/>
        <v>4.8478053820337215E-2</v>
      </c>
      <c r="T27" s="465">
        <f t="shared" si="2"/>
        <v>4.8478053820337215E-2</v>
      </c>
      <c r="U27" s="465">
        <f t="shared" si="2"/>
        <v>4.8478053820337215E-2</v>
      </c>
      <c r="V27" s="465">
        <f t="shared" si="2"/>
        <v>4.8478053820337215E-2</v>
      </c>
      <c r="W27" s="465">
        <f t="shared" si="2"/>
        <v>4.8478053820337215E-2</v>
      </c>
      <c r="X27" s="465">
        <f t="shared" si="2"/>
        <v>4.8478053820337215E-2</v>
      </c>
      <c r="Y27" s="465">
        <f t="shared" si="2"/>
        <v>4.8478053820337215E-2</v>
      </c>
      <c r="Z27" s="465">
        <f t="shared" si="2"/>
        <v>4.8478053820337215E-2</v>
      </c>
      <c r="AA27" s="465">
        <f t="shared" si="2"/>
        <v>4.8478053820337215E-2</v>
      </c>
      <c r="AB27" s="466"/>
    </row>
    <row r="28" spans="3:28" x14ac:dyDescent="0.2">
      <c r="C28" s="809"/>
      <c r="D28" s="810"/>
      <c r="E28" s="463" t="s">
        <v>24</v>
      </c>
      <c r="F28" s="467">
        <v>200</v>
      </c>
      <c r="G28" s="467">
        <v>210</v>
      </c>
      <c r="H28" s="467">
        <v>270</v>
      </c>
      <c r="I28" s="467">
        <v>280</v>
      </c>
      <c r="J28" s="467">
        <v>290</v>
      </c>
      <c r="K28" s="467">
        <v>292</v>
      </c>
      <c r="L28" s="467">
        <f>K28*(1+L27)</f>
        <v>292</v>
      </c>
      <c r="M28" s="467">
        <f>L28*(1+M27)</f>
        <v>306.15559171553849</v>
      </c>
      <c r="N28" s="467">
        <f t="shared" ref="N28:AA28" si="3">M28*(1+N27)</f>
        <v>320.99741896812156</v>
      </c>
      <c r="O28" s="467">
        <f t="shared" si="3"/>
        <v>336.55874912104753</v>
      </c>
      <c r="P28" s="467">
        <f t="shared" si="3"/>
        <v>352.87446227464307</v>
      </c>
      <c r="Q28" s="467">
        <f t="shared" si="3"/>
        <v>369.98112944861577</v>
      </c>
      <c r="R28" s="467">
        <f t="shared" si="3"/>
        <v>387.91709455453497</v>
      </c>
      <c r="S28" s="467">
        <f t="shared" si="3"/>
        <v>406.72256034217861</v>
      </c>
      <c r="T28" s="467">
        <f t="shared" si="3"/>
        <v>426.43967851239216</v>
      </c>
      <c r="U28" s="467">
        <f t="shared" si="3"/>
        <v>447.11264419844326</v>
      </c>
      <c r="V28" s="467">
        <f t="shared" si="3"/>
        <v>468.78779502764871</v>
      </c>
      <c r="W28" s="467">
        <f t="shared" si="3"/>
        <v>491.51371498531631</v>
      </c>
      <c r="X28" s="467">
        <f t="shared" si="3"/>
        <v>515.34134331380847</v>
      </c>
      <c r="Y28" s="467">
        <f t="shared" si="3"/>
        <v>540.32408869082019</v>
      </c>
      <c r="Z28" s="467">
        <f t="shared" si="3"/>
        <v>566.51794894279851</v>
      </c>
      <c r="AA28" s="467">
        <f t="shared" si="3"/>
        <v>593.98163656183465</v>
      </c>
      <c r="AB28" s="468"/>
    </row>
    <row r="29" spans="3:28" x14ac:dyDescent="0.2">
      <c r="C29" s="809"/>
      <c r="D29" s="810"/>
      <c r="E29" s="463" t="s">
        <v>25</v>
      </c>
      <c r="F29" s="467">
        <f t="shared" ref="F29:M29" si="4">F28/(F30*8.76)</f>
        <v>38.051750380517511</v>
      </c>
      <c r="G29" s="467">
        <f>G28/(G30*8.76)</f>
        <v>39.954337899543383</v>
      </c>
      <c r="H29" s="467">
        <f t="shared" si="4"/>
        <v>51.369863013698634</v>
      </c>
      <c r="I29" s="467">
        <f t="shared" si="4"/>
        <v>53.272450532724513</v>
      </c>
      <c r="J29" s="467">
        <f t="shared" si="4"/>
        <v>55.175038051750384</v>
      </c>
      <c r="K29" s="467">
        <f t="shared" si="4"/>
        <v>44.742729306487696</v>
      </c>
      <c r="L29" s="467">
        <f t="shared" si="4"/>
        <v>52.910052910052912</v>
      </c>
      <c r="M29" s="467">
        <f t="shared" si="4"/>
        <v>58.248780767796525</v>
      </c>
      <c r="N29" s="467">
        <f t="shared" ref="N29:AA29" si="5">N28/(N30*8.76)</f>
        <v>61.072568296826788</v>
      </c>
      <c r="O29" s="467">
        <f t="shared" si="5"/>
        <v>64.033247549666584</v>
      </c>
      <c r="P29" s="467">
        <f t="shared" si="5"/>
        <v>67.137454770670303</v>
      </c>
      <c r="Q29" s="467">
        <f t="shared" si="5"/>
        <v>70.392147916403317</v>
      </c>
      <c r="R29" s="467">
        <f t="shared" si="5"/>
        <v>73.804622251623869</v>
      </c>
      <c r="S29" s="467">
        <f t="shared" si="5"/>
        <v>77.382526701327748</v>
      </c>
      <c r="T29" s="467">
        <f t="shared" si="5"/>
        <v>81.133880995508406</v>
      </c>
      <c r="U29" s="467">
        <f t="shared" si="5"/>
        <v>85.067093645061519</v>
      </c>
      <c r="V29" s="467">
        <f t="shared" si="5"/>
        <v>89.190980789126485</v>
      </c>
      <c r="W29" s="467">
        <f t="shared" si="5"/>
        <v>93.514785956110416</v>
      </c>
      <c r="X29" s="467">
        <f t="shared" si="5"/>
        <v>98.04820078268807</v>
      </c>
      <c r="Y29" s="467">
        <f t="shared" si="5"/>
        <v>102.80138673721846</v>
      </c>
      <c r="Z29" s="467">
        <f t="shared" si="5"/>
        <v>107.78499789627065</v>
      </c>
      <c r="AA29" s="467">
        <f t="shared" si="5"/>
        <v>113.01020482531102</v>
      </c>
      <c r="AB29" s="468"/>
    </row>
    <row r="30" spans="3:28" x14ac:dyDescent="0.2">
      <c r="C30" s="469"/>
      <c r="D30" s="470"/>
      <c r="E30" s="463" t="s">
        <v>78</v>
      </c>
      <c r="F30" s="471">
        <v>0.6</v>
      </c>
      <c r="G30" s="471">
        <v>0.6</v>
      </c>
      <c r="H30" s="471">
        <v>0.6</v>
      </c>
      <c r="I30" s="471">
        <v>0.6</v>
      </c>
      <c r="J30" s="471">
        <v>0.6</v>
      </c>
      <c r="K30" s="471">
        <v>0.745</v>
      </c>
      <c r="L30" s="471">
        <v>0.63</v>
      </c>
      <c r="M30" s="471">
        <f>Assumptions!C8</f>
        <v>0.6</v>
      </c>
      <c r="N30" s="471">
        <f>M30</f>
        <v>0.6</v>
      </c>
      <c r="O30" s="471">
        <f t="shared" ref="O30:AA30" si="6">N30</f>
        <v>0.6</v>
      </c>
      <c r="P30" s="471">
        <f t="shared" si="6"/>
        <v>0.6</v>
      </c>
      <c r="Q30" s="471">
        <f t="shared" si="6"/>
        <v>0.6</v>
      </c>
      <c r="R30" s="471">
        <f t="shared" si="6"/>
        <v>0.6</v>
      </c>
      <c r="S30" s="471">
        <f t="shared" si="6"/>
        <v>0.6</v>
      </c>
      <c r="T30" s="471">
        <f t="shared" si="6"/>
        <v>0.6</v>
      </c>
      <c r="U30" s="471">
        <f t="shared" si="6"/>
        <v>0.6</v>
      </c>
      <c r="V30" s="471">
        <f t="shared" si="6"/>
        <v>0.6</v>
      </c>
      <c r="W30" s="471">
        <f t="shared" si="6"/>
        <v>0.6</v>
      </c>
      <c r="X30" s="471">
        <f t="shared" si="6"/>
        <v>0.6</v>
      </c>
      <c r="Y30" s="471">
        <f t="shared" si="6"/>
        <v>0.6</v>
      </c>
      <c r="Z30" s="471">
        <f t="shared" si="6"/>
        <v>0.6</v>
      </c>
      <c r="AA30" s="471">
        <f t="shared" si="6"/>
        <v>0.6</v>
      </c>
      <c r="AB30" s="472"/>
    </row>
    <row r="31" spans="3:28" x14ac:dyDescent="0.2">
      <c r="C31" s="469"/>
      <c r="D31" s="470"/>
      <c r="E31" s="463"/>
      <c r="F31" s="471"/>
      <c r="G31" s="471"/>
      <c r="H31" s="471"/>
      <c r="I31" s="471"/>
      <c r="J31" s="471"/>
      <c r="K31" s="471"/>
      <c r="L31" s="471"/>
      <c r="M31" s="471"/>
      <c r="N31" s="471"/>
      <c r="O31" s="471"/>
      <c r="P31" s="471"/>
      <c r="Q31" s="471"/>
      <c r="R31" s="471"/>
      <c r="S31" s="471"/>
      <c r="T31" s="471"/>
      <c r="U31" s="471"/>
      <c r="V31" s="471"/>
      <c r="W31" s="471"/>
      <c r="X31" s="471"/>
      <c r="Y31" s="471"/>
      <c r="Z31" s="471"/>
      <c r="AA31" s="471"/>
      <c r="AB31" s="472"/>
    </row>
    <row r="32" spans="3:28" ht="12.75" customHeight="1" x14ac:dyDescent="0.2">
      <c r="C32" s="469"/>
      <c r="D32" s="812" t="s">
        <v>41</v>
      </c>
      <c r="E32" s="812"/>
      <c r="F32" s="467"/>
      <c r="G32" s="467"/>
      <c r="H32" s="467"/>
      <c r="I32" s="467"/>
      <c r="J32" s="467"/>
      <c r="K32" s="467"/>
      <c r="L32" s="467"/>
      <c r="M32" s="467"/>
      <c r="N32" s="467"/>
      <c r="O32" s="467"/>
      <c r="P32" s="467"/>
      <c r="Q32" s="467"/>
      <c r="R32" s="467"/>
      <c r="S32" s="467"/>
      <c r="T32" s="467"/>
      <c r="U32" s="467"/>
      <c r="V32" s="467"/>
      <c r="W32" s="467"/>
      <c r="X32" s="467"/>
      <c r="Y32" s="467"/>
      <c r="Z32" s="467"/>
      <c r="AA32" s="467"/>
      <c r="AB32" s="468"/>
    </row>
    <row r="33" spans="3:30" x14ac:dyDescent="0.2">
      <c r="C33" s="459"/>
      <c r="E33" s="460" t="s">
        <v>23</v>
      </c>
      <c r="F33" s="456">
        <v>0</v>
      </c>
      <c r="G33" s="456">
        <v>0</v>
      </c>
      <c r="H33" s="456">
        <v>0</v>
      </c>
      <c r="I33" s="456">
        <v>0</v>
      </c>
      <c r="J33" s="456">
        <v>0</v>
      </c>
      <c r="K33" s="456">
        <v>0</v>
      </c>
      <c r="L33" s="456">
        <v>100</v>
      </c>
      <c r="M33" s="456">
        <v>100</v>
      </c>
      <c r="N33" s="456">
        <v>100</v>
      </c>
      <c r="O33" s="456">
        <v>100</v>
      </c>
      <c r="P33" s="456">
        <v>100</v>
      </c>
      <c r="Q33" s="456">
        <v>100</v>
      </c>
      <c r="R33" s="456">
        <v>100</v>
      </c>
      <c r="S33" s="456">
        <v>100</v>
      </c>
      <c r="T33" s="456">
        <v>100</v>
      </c>
      <c r="U33" s="456">
        <v>100</v>
      </c>
      <c r="V33" s="456">
        <v>100</v>
      </c>
      <c r="W33" s="456">
        <v>100</v>
      </c>
      <c r="X33" s="456">
        <v>100</v>
      </c>
      <c r="Y33" s="456">
        <v>100</v>
      </c>
      <c r="Z33" s="456">
        <v>100</v>
      </c>
      <c r="AA33" s="456">
        <v>100</v>
      </c>
      <c r="AB33" s="457"/>
    </row>
    <row r="34" spans="3:30" x14ac:dyDescent="0.2">
      <c r="C34" s="459"/>
      <c r="E34" s="460"/>
      <c r="F34" s="456"/>
      <c r="G34" s="456"/>
      <c r="H34" s="456"/>
      <c r="I34" s="456"/>
      <c r="J34" s="456"/>
      <c r="K34" s="456"/>
      <c r="L34" s="456"/>
      <c r="M34" s="456"/>
      <c r="N34" s="456"/>
      <c r="O34" s="456"/>
      <c r="P34" s="456"/>
      <c r="Q34" s="456"/>
      <c r="R34" s="456"/>
      <c r="S34" s="456"/>
      <c r="T34" s="456"/>
      <c r="U34" s="456"/>
      <c r="V34" s="456"/>
      <c r="W34" s="456"/>
      <c r="X34" s="456"/>
      <c r="Y34" s="456"/>
      <c r="Z34" s="456"/>
      <c r="AA34" s="456"/>
      <c r="AB34" s="457"/>
    </row>
    <row r="35" spans="3:30" x14ac:dyDescent="0.2">
      <c r="C35" s="809"/>
      <c r="D35" s="810"/>
      <c r="E35" s="463" t="s">
        <v>26</v>
      </c>
      <c r="F35" s="5">
        <v>0</v>
      </c>
      <c r="G35" s="5">
        <v>0</v>
      </c>
      <c r="H35" s="5">
        <v>0</v>
      </c>
      <c r="I35" s="5">
        <v>0</v>
      </c>
      <c r="J35" s="5">
        <v>0</v>
      </c>
      <c r="K35" s="5">
        <v>0</v>
      </c>
      <c r="L35" s="5">
        <f t="shared" ref="L35:AA35" si="7">(L33/(L33)*L28)</f>
        <v>292</v>
      </c>
      <c r="M35" s="5">
        <f t="shared" si="7"/>
        <v>306.15559171553849</v>
      </c>
      <c r="N35" s="5">
        <f t="shared" si="7"/>
        <v>320.99741896812156</v>
      </c>
      <c r="O35" s="5">
        <f t="shared" si="7"/>
        <v>336.55874912104753</v>
      </c>
      <c r="P35" s="5">
        <f t="shared" si="7"/>
        <v>352.87446227464307</v>
      </c>
      <c r="Q35" s="5">
        <f t="shared" si="7"/>
        <v>369.98112944861577</v>
      </c>
      <c r="R35" s="5">
        <f t="shared" si="7"/>
        <v>387.91709455453497</v>
      </c>
      <c r="S35" s="5">
        <f t="shared" si="7"/>
        <v>406.72256034217861</v>
      </c>
      <c r="T35" s="5">
        <f t="shared" si="7"/>
        <v>426.43967851239216</v>
      </c>
      <c r="U35" s="5">
        <f t="shared" si="7"/>
        <v>447.11264419844326</v>
      </c>
      <c r="V35" s="5">
        <f t="shared" si="7"/>
        <v>468.78779502764871</v>
      </c>
      <c r="W35" s="5">
        <f t="shared" si="7"/>
        <v>491.51371498531631</v>
      </c>
      <c r="X35" s="5">
        <f t="shared" si="7"/>
        <v>515.34134331380847</v>
      </c>
      <c r="Y35" s="5">
        <f t="shared" si="7"/>
        <v>540.32408869082019</v>
      </c>
      <c r="Z35" s="5">
        <f t="shared" si="7"/>
        <v>566.51794894279851</v>
      </c>
      <c r="AA35" s="5">
        <f t="shared" si="7"/>
        <v>593.98163656183465</v>
      </c>
      <c r="AB35" s="473"/>
      <c r="AD35" s="5"/>
    </row>
    <row r="36" spans="3:30" x14ac:dyDescent="0.2">
      <c r="C36" s="474"/>
      <c r="D36" s="475"/>
      <c r="E36" s="463" t="s">
        <v>0</v>
      </c>
      <c r="F36" s="4">
        <v>0</v>
      </c>
      <c r="G36" s="4">
        <v>0</v>
      </c>
      <c r="H36" s="4">
        <v>0</v>
      </c>
      <c r="I36" s="4">
        <v>0</v>
      </c>
      <c r="J36" s="4">
        <v>0</v>
      </c>
      <c r="K36" s="4">
        <v>0</v>
      </c>
      <c r="L36" s="4">
        <f t="shared" ref="L36:AA36" si="8">(L33/(L33)*L29)</f>
        <v>52.910052910052912</v>
      </c>
      <c r="M36" s="4">
        <f t="shared" si="8"/>
        <v>58.248780767796525</v>
      </c>
      <c r="N36" s="4">
        <f t="shared" si="8"/>
        <v>61.072568296826788</v>
      </c>
      <c r="O36" s="4">
        <f t="shared" si="8"/>
        <v>64.033247549666584</v>
      </c>
      <c r="P36" s="4">
        <f t="shared" si="8"/>
        <v>67.137454770670303</v>
      </c>
      <c r="Q36" s="4">
        <f t="shared" si="8"/>
        <v>70.392147916403317</v>
      </c>
      <c r="R36" s="4">
        <f t="shared" si="8"/>
        <v>73.804622251623869</v>
      </c>
      <c r="S36" s="4">
        <f t="shared" si="8"/>
        <v>77.382526701327748</v>
      </c>
      <c r="T36" s="4">
        <f t="shared" si="8"/>
        <v>81.133880995508406</v>
      </c>
      <c r="U36" s="4">
        <f t="shared" si="8"/>
        <v>85.067093645061519</v>
      </c>
      <c r="V36" s="4">
        <f t="shared" si="8"/>
        <v>89.190980789126485</v>
      </c>
      <c r="W36" s="4">
        <f t="shared" si="8"/>
        <v>93.514785956110416</v>
      </c>
      <c r="X36" s="4">
        <f t="shared" si="8"/>
        <v>98.04820078268807</v>
      </c>
      <c r="Y36" s="4">
        <f t="shared" si="8"/>
        <v>102.80138673721846</v>
      </c>
      <c r="Z36" s="4">
        <f t="shared" si="8"/>
        <v>107.78499789627065</v>
      </c>
      <c r="AA36" s="4">
        <f t="shared" si="8"/>
        <v>113.01020482531102</v>
      </c>
      <c r="AB36" s="476"/>
      <c r="AD36" s="4"/>
    </row>
    <row r="37" spans="3:30" x14ac:dyDescent="0.2">
      <c r="C37" s="474"/>
      <c r="D37" s="475"/>
      <c r="E37" s="463" t="s">
        <v>37</v>
      </c>
      <c r="F37" s="4">
        <f t="shared" ref="F37:K37" si="9">IF(F29&gt;F33,F33,F29)</f>
        <v>0</v>
      </c>
      <c r="G37" s="4">
        <f t="shared" si="9"/>
        <v>0</v>
      </c>
      <c r="H37" s="4">
        <f t="shared" si="9"/>
        <v>0</v>
      </c>
      <c r="I37" s="4">
        <f t="shared" si="9"/>
        <v>0</v>
      </c>
      <c r="J37" s="4">
        <f t="shared" si="9"/>
        <v>0</v>
      </c>
      <c r="K37" s="4">
        <f t="shared" si="9"/>
        <v>0</v>
      </c>
      <c r="L37" s="4">
        <f t="shared" ref="L37:AA37" si="10">IF(L36&gt;L33,L33,L36)</f>
        <v>52.910052910052912</v>
      </c>
      <c r="M37" s="4">
        <f t="shared" si="10"/>
        <v>58.248780767796525</v>
      </c>
      <c r="N37" s="4">
        <f t="shared" si="10"/>
        <v>61.072568296826788</v>
      </c>
      <c r="O37" s="4">
        <f t="shared" si="10"/>
        <v>64.033247549666584</v>
      </c>
      <c r="P37" s="4">
        <f t="shared" si="10"/>
        <v>67.137454770670303</v>
      </c>
      <c r="Q37" s="4">
        <f t="shared" si="10"/>
        <v>70.392147916403317</v>
      </c>
      <c r="R37" s="4">
        <f t="shared" si="10"/>
        <v>73.804622251623869</v>
      </c>
      <c r="S37" s="4">
        <f t="shared" si="10"/>
        <v>77.382526701327748</v>
      </c>
      <c r="T37" s="4">
        <f t="shared" si="10"/>
        <v>81.133880995508406</v>
      </c>
      <c r="U37" s="4">
        <f t="shared" si="10"/>
        <v>85.067093645061519</v>
      </c>
      <c r="V37" s="4">
        <f t="shared" si="10"/>
        <v>89.190980789126485</v>
      </c>
      <c r="W37" s="4">
        <f t="shared" si="10"/>
        <v>93.514785956110416</v>
      </c>
      <c r="X37" s="4">
        <f t="shared" si="10"/>
        <v>98.04820078268807</v>
      </c>
      <c r="Y37" s="4">
        <f t="shared" si="10"/>
        <v>100</v>
      </c>
      <c r="Z37" s="4">
        <f t="shared" si="10"/>
        <v>100</v>
      </c>
      <c r="AA37" s="4">
        <f t="shared" si="10"/>
        <v>100</v>
      </c>
      <c r="AB37" s="476"/>
    </row>
    <row r="38" spans="3:30" x14ac:dyDescent="0.2">
      <c r="C38" s="474"/>
      <c r="D38" s="475"/>
      <c r="E38" s="463" t="s">
        <v>36</v>
      </c>
      <c r="F38" s="4">
        <f t="shared" ref="F38:AA38" si="11">F37*F30*8.76</f>
        <v>0</v>
      </c>
      <c r="G38" s="4">
        <f t="shared" si="11"/>
        <v>0</v>
      </c>
      <c r="H38" s="4">
        <f t="shared" si="11"/>
        <v>0</v>
      </c>
      <c r="I38" s="4">
        <f t="shared" si="11"/>
        <v>0</v>
      </c>
      <c r="J38" s="4">
        <f t="shared" si="11"/>
        <v>0</v>
      </c>
      <c r="K38" s="4">
        <f t="shared" si="11"/>
        <v>0</v>
      </c>
      <c r="L38" s="4">
        <f t="shared" si="11"/>
        <v>292</v>
      </c>
      <c r="M38" s="4">
        <f t="shared" si="11"/>
        <v>306.15559171553849</v>
      </c>
      <c r="N38" s="4">
        <f t="shared" si="11"/>
        <v>320.99741896812156</v>
      </c>
      <c r="O38" s="4">
        <f t="shared" si="11"/>
        <v>336.55874912104753</v>
      </c>
      <c r="P38" s="4">
        <f t="shared" si="11"/>
        <v>352.87446227464307</v>
      </c>
      <c r="Q38" s="4">
        <f t="shared" si="11"/>
        <v>369.98112944861583</v>
      </c>
      <c r="R38" s="4">
        <f t="shared" si="11"/>
        <v>387.91709455453503</v>
      </c>
      <c r="S38" s="4">
        <f t="shared" si="11"/>
        <v>406.72256034217861</v>
      </c>
      <c r="T38" s="4">
        <f t="shared" si="11"/>
        <v>426.43967851239216</v>
      </c>
      <c r="U38" s="4">
        <f t="shared" si="11"/>
        <v>447.11264419844332</v>
      </c>
      <c r="V38" s="4">
        <f t="shared" si="11"/>
        <v>468.78779502764877</v>
      </c>
      <c r="W38" s="4">
        <f t="shared" si="11"/>
        <v>491.51371498531631</v>
      </c>
      <c r="X38" s="4">
        <f t="shared" si="11"/>
        <v>515.34134331380847</v>
      </c>
      <c r="Y38" s="4">
        <f t="shared" si="11"/>
        <v>525.6</v>
      </c>
      <c r="Z38" s="4">
        <f t="shared" si="11"/>
        <v>525.6</v>
      </c>
      <c r="AA38" s="4">
        <f t="shared" si="11"/>
        <v>525.6</v>
      </c>
      <c r="AB38" s="476"/>
    </row>
    <row r="39" spans="3:30" x14ac:dyDescent="0.2">
      <c r="C39" s="474"/>
      <c r="D39" s="475"/>
      <c r="E39" s="463" t="s">
        <v>69</v>
      </c>
      <c r="F39" s="477">
        <f t="shared" ref="F39:AA39" si="12">cable_loss</f>
        <v>1.4999999999999999E-2</v>
      </c>
      <c r="G39" s="477">
        <f t="shared" si="12"/>
        <v>1.4999999999999999E-2</v>
      </c>
      <c r="H39" s="477">
        <f t="shared" si="12"/>
        <v>1.4999999999999999E-2</v>
      </c>
      <c r="I39" s="477">
        <f t="shared" si="12"/>
        <v>1.4999999999999999E-2</v>
      </c>
      <c r="J39" s="477">
        <f t="shared" si="12"/>
        <v>1.4999999999999999E-2</v>
      </c>
      <c r="K39" s="477">
        <f t="shared" si="12"/>
        <v>1.4999999999999999E-2</v>
      </c>
      <c r="L39" s="477">
        <f t="shared" si="12"/>
        <v>1.4999999999999999E-2</v>
      </c>
      <c r="M39" s="477">
        <f t="shared" si="12"/>
        <v>1.4999999999999999E-2</v>
      </c>
      <c r="N39" s="477">
        <f t="shared" si="12"/>
        <v>1.4999999999999999E-2</v>
      </c>
      <c r="O39" s="477">
        <f t="shared" si="12"/>
        <v>1.4999999999999999E-2</v>
      </c>
      <c r="P39" s="477">
        <f t="shared" si="12"/>
        <v>1.4999999999999999E-2</v>
      </c>
      <c r="Q39" s="477">
        <f t="shared" si="12"/>
        <v>1.4999999999999999E-2</v>
      </c>
      <c r="R39" s="477">
        <f t="shared" si="12"/>
        <v>1.4999999999999999E-2</v>
      </c>
      <c r="S39" s="477">
        <f t="shared" si="12"/>
        <v>1.4999999999999999E-2</v>
      </c>
      <c r="T39" s="477">
        <f t="shared" si="12"/>
        <v>1.4999999999999999E-2</v>
      </c>
      <c r="U39" s="477">
        <f t="shared" si="12"/>
        <v>1.4999999999999999E-2</v>
      </c>
      <c r="V39" s="477">
        <f t="shared" si="12"/>
        <v>1.4999999999999999E-2</v>
      </c>
      <c r="W39" s="477">
        <f t="shared" si="12"/>
        <v>1.4999999999999999E-2</v>
      </c>
      <c r="X39" s="477">
        <f t="shared" si="12"/>
        <v>1.4999999999999999E-2</v>
      </c>
      <c r="Y39" s="477">
        <f t="shared" si="12"/>
        <v>1.4999999999999999E-2</v>
      </c>
      <c r="Z39" s="477">
        <f t="shared" si="12"/>
        <v>1.4999999999999999E-2</v>
      </c>
      <c r="AA39" s="477">
        <f t="shared" si="12"/>
        <v>1.4999999999999999E-2</v>
      </c>
      <c r="AB39" s="478"/>
    </row>
    <row r="40" spans="3:30" x14ac:dyDescent="0.2">
      <c r="C40" s="474"/>
      <c r="D40" s="479"/>
      <c r="E40" s="480" t="s">
        <v>48</v>
      </c>
      <c r="F40" s="477">
        <f t="shared" ref="F40:K40" si="13">zanz_loss</f>
        <v>0.123</v>
      </c>
      <c r="G40" s="477">
        <f t="shared" si="13"/>
        <v>0.123</v>
      </c>
      <c r="H40" s="477">
        <f t="shared" si="13"/>
        <v>0.123</v>
      </c>
      <c r="I40" s="477">
        <f t="shared" si="13"/>
        <v>0.123</v>
      </c>
      <c r="J40" s="477">
        <f t="shared" si="13"/>
        <v>0.123</v>
      </c>
      <c r="K40" s="477">
        <f t="shared" si="13"/>
        <v>0.123</v>
      </c>
      <c r="L40" s="477">
        <f>K40</f>
        <v>0.123</v>
      </c>
      <c r="M40" s="477">
        <f t="shared" ref="M40:AA40" si="14">L40</f>
        <v>0.123</v>
      </c>
      <c r="N40" s="477">
        <f t="shared" si="14"/>
        <v>0.123</v>
      </c>
      <c r="O40" s="477">
        <f t="shared" si="14"/>
        <v>0.123</v>
      </c>
      <c r="P40" s="477">
        <f t="shared" si="14"/>
        <v>0.123</v>
      </c>
      <c r="Q40" s="477">
        <f t="shared" si="14"/>
        <v>0.123</v>
      </c>
      <c r="R40" s="477">
        <f t="shared" si="14"/>
        <v>0.123</v>
      </c>
      <c r="S40" s="477">
        <f t="shared" si="14"/>
        <v>0.123</v>
      </c>
      <c r="T40" s="477">
        <f t="shared" si="14"/>
        <v>0.123</v>
      </c>
      <c r="U40" s="477">
        <f t="shared" si="14"/>
        <v>0.123</v>
      </c>
      <c r="V40" s="477">
        <f t="shared" si="14"/>
        <v>0.123</v>
      </c>
      <c r="W40" s="477">
        <f t="shared" si="14"/>
        <v>0.123</v>
      </c>
      <c r="X40" s="477">
        <f t="shared" si="14"/>
        <v>0.123</v>
      </c>
      <c r="Y40" s="477">
        <f t="shared" si="14"/>
        <v>0.123</v>
      </c>
      <c r="Z40" s="477">
        <f t="shared" si="14"/>
        <v>0.123</v>
      </c>
      <c r="AA40" s="477">
        <f t="shared" si="14"/>
        <v>0.123</v>
      </c>
      <c r="AB40" s="478"/>
    </row>
    <row r="41" spans="3:30" x14ac:dyDescent="0.2">
      <c r="C41" s="474"/>
      <c r="D41" s="479"/>
      <c r="E41" s="480" t="s">
        <v>404</v>
      </c>
      <c r="F41" s="481"/>
      <c r="G41" s="481"/>
      <c r="H41" s="481"/>
      <c r="I41" s="481"/>
      <c r="J41" s="481"/>
      <c r="K41" s="481"/>
      <c r="L41" s="482">
        <f>Assumptions!K34</f>
        <v>77.981680000000011</v>
      </c>
      <c r="M41" s="482">
        <f t="shared" ref="M41:AA41" si="15">(1+M27)*L41</f>
        <v>81.762080080040334</v>
      </c>
      <c r="N41" s="482">
        <f t="shared" si="15"/>
        <v>85.72574659862326</v>
      </c>
      <c r="O41" s="482">
        <f t="shared" si="15"/>
        <v>89.881563956019917</v>
      </c>
      <c r="P41" s="482">
        <f t="shared" si="15"/>
        <v>94.238847250935947</v>
      </c>
      <c r="Q41" s="482">
        <f t="shared" si="15"/>
        <v>98.807363159933374</v>
      </c>
      <c r="R41" s="482">
        <f t="shared" si="15"/>
        <v>103.59735182904623</v>
      </c>
      <c r="S41" s="482">
        <f t="shared" si="15"/>
        <v>108.61954982665915</v>
      </c>
      <c r="T41" s="482">
        <f t="shared" si="15"/>
        <v>113.88521420909674</v>
      </c>
      <c r="U41" s="482">
        <f t="shared" si="15"/>
        <v>119.40614775286598</v>
      </c>
      <c r="V41" s="482">
        <f t="shared" si="15"/>
        <v>125.19472541010856</v>
      </c>
      <c r="W41" s="482">
        <f t="shared" si="15"/>
        <v>131.26392204656216</v>
      </c>
      <c r="X41" s="482">
        <f t="shared" si="15"/>
        <v>137.62734152420396</v>
      </c>
      <c r="Y41" s="482">
        <f t="shared" si="15"/>
        <v>144.29924719376427</v>
      </c>
      <c r="Z41" s="482">
        <f t="shared" si="15"/>
        <v>151.29459386545773</v>
      </c>
      <c r="AA41" s="482">
        <f t="shared" si="15"/>
        <v>158.62906132959347</v>
      </c>
      <c r="AB41" s="483"/>
    </row>
    <row r="42" spans="3:30" ht="13.5" thickBot="1" x14ac:dyDescent="0.25">
      <c r="C42" s="528"/>
      <c r="D42" s="548"/>
      <c r="E42" s="549"/>
      <c r="F42" s="550"/>
      <c r="G42" s="550"/>
      <c r="H42" s="550"/>
      <c r="I42" s="550"/>
      <c r="J42" s="550"/>
      <c r="K42" s="550"/>
      <c r="L42" s="551"/>
      <c r="M42" s="551"/>
      <c r="N42" s="551"/>
      <c r="O42" s="551"/>
      <c r="P42" s="551"/>
      <c r="Q42" s="551"/>
      <c r="R42" s="551"/>
      <c r="S42" s="551"/>
      <c r="T42" s="551"/>
      <c r="U42" s="551"/>
      <c r="V42" s="551"/>
      <c r="W42" s="551"/>
      <c r="X42" s="551"/>
      <c r="Y42" s="551"/>
      <c r="Z42" s="551"/>
      <c r="AA42" s="551"/>
      <c r="AB42" s="552"/>
    </row>
    <row r="43" spans="3:30" x14ac:dyDescent="0.2">
      <c r="C43" s="475"/>
      <c r="D43" s="479"/>
      <c r="E43" s="480"/>
      <c r="F43" s="481"/>
      <c r="G43" s="481"/>
      <c r="H43" s="481"/>
      <c r="I43" s="481"/>
      <c r="J43" s="481"/>
      <c r="K43" s="481"/>
      <c r="L43" s="482"/>
      <c r="M43" s="482"/>
      <c r="N43" s="482"/>
      <c r="O43" s="482"/>
      <c r="P43" s="482"/>
      <c r="Q43" s="482"/>
      <c r="R43" s="482"/>
      <c r="S43" s="482"/>
      <c r="T43" s="482"/>
      <c r="U43" s="482"/>
      <c r="V43" s="482"/>
      <c r="W43" s="482"/>
      <c r="X43" s="482"/>
      <c r="Y43" s="482"/>
      <c r="Z43" s="482"/>
      <c r="AA43" s="482"/>
      <c r="AB43" s="482"/>
    </row>
    <row r="44" spans="3:30" ht="13.5" thickBot="1" x14ac:dyDescent="0.25">
      <c r="C44" s="475"/>
      <c r="D44" s="479"/>
      <c r="E44" s="480"/>
      <c r="F44" s="481"/>
      <c r="G44" s="481"/>
      <c r="H44" s="481"/>
      <c r="I44" s="481"/>
      <c r="J44" s="481"/>
      <c r="K44" s="481"/>
      <c r="L44" s="482"/>
      <c r="M44" s="482"/>
      <c r="N44" s="482"/>
      <c r="O44" s="482"/>
      <c r="P44" s="482"/>
      <c r="Q44" s="482"/>
      <c r="R44" s="482"/>
      <c r="S44" s="482"/>
      <c r="T44" s="482"/>
      <c r="U44" s="482"/>
      <c r="V44" s="482"/>
      <c r="W44" s="482"/>
      <c r="X44" s="482"/>
      <c r="Y44" s="482"/>
      <c r="Z44" s="482"/>
      <c r="AA44" s="482"/>
      <c r="AB44" s="482"/>
    </row>
    <row r="45" spans="3:30" x14ac:dyDescent="0.2">
      <c r="C45" s="562"/>
      <c r="D45" s="563"/>
      <c r="E45" s="564"/>
      <c r="F45" s="565"/>
      <c r="G45" s="565"/>
      <c r="H45" s="565"/>
      <c r="I45" s="565"/>
      <c r="J45" s="565"/>
      <c r="K45" s="565"/>
      <c r="L45" s="566"/>
      <c r="M45" s="566"/>
      <c r="N45" s="566"/>
      <c r="O45" s="566"/>
      <c r="P45" s="566"/>
      <c r="Q45" s="566"/>
      <c r="R45" s="566"/>
      <c r="S45" s="566"/>
      <c r="T45" s="566"/>
      <c r="U45" s="566"/>
      <c r="V45" s="566"/>
      <c r="W45" s="566"/>
      <c r="X45" s="566"/>
      <c r="Y45" s="566"/>
      <c r="Z45" s="566"/>
      <c r="AA45" s="566"/>
      <c r="AB45" s="567"/>
    </row>
    <row r="46" spans="3:30" x14ac:dyDescent="0.2">
      <c r="C46" s="568" t="s">
        <v>21</v>
      </c>
      <c r="D46" s="553"/>
      <c r="E46" s="554"/>
      <c r="F46" s="555"/>
      <c r="G46" s="556"/>
      <c r="H46" s="555"/>
      <c r="I46" s="555"/>
      <c r="J46" s="555"/>
      <c r="K46" s="555"/>
      <c r="L46" s="555"/>
      <c r="M46" s="555"/>
      <c r="N46" s="555"/>
      <c r="O46" s="555"/>
      <c r="P46" s="555"/>
      <c r="Q46" s="555"/>
      <c r="R46" s="555"/>
      <c r="S46" s="555"/>
      <c r="T46" s="555"/>
      <c r="U46" s="555"/>
      <c r="V46" s="555"/>
      <c r="W46" s="555"/>
      <c r="X46" s="555"/>
      <c r="Y46" s="555"/>
      <c r="Z46" s="555"/>
      <c r="AA46" s="555"/>
      <c r="AB46" s="569"/>
    </row>
    <row r="47" spans="3:30" s="451" customFormat="1" x14ac:dyDescent="0.2">
      <c r="C47" s="570"/>
      <c r="D47" s="462"/>
      <c r="E47" s="454" t="s">
        <v>1</v>
      </c>
      <c r="F47" s="454">
        <v>2007</v>
      </c>
      <c r="G47" s="454">
        <v>2008</v>
      </c>
      <c r="H47" s="454">
        <f>G47+1</f>
        <v>2009</v>
      </c>
      <c r="I47" s="454">
        <f t="shared" ref="I47" si="16">H47+1</f>
        <v>2010</v>
      </c>
      <c r="J47" s="454">
        <f t="shared" ref="J47" si="17">I47+1</f>
        <v>2011</v>
      </c>
      <c r="K47" s="454">
        <f t="shared" ref="K47" si="18">J47+1</f>
        <v>2012</v>
      </c>
      <c r="L47" s="454">
        <f t="shared" ref="L47" si="19">K47+1</f>
        <v>2013</v>
      </c>
      <c r="M47" s="454">
        <f t="shared" ref="M47" si="20">L47+1</f>
        <v>2014</v>
      </c>
      <c r="N47" s="454">
        <f t="shared" ref="N47" si="21">M47+1</f>
        <v>2015</v>
      </c>
      <c r="O47" s="454">
        <f t="shared" ref="O47" si="22">N47+1</f>
        <v>2016</v>
      </c>
      <c r="P47" s="454">
        <f t="shared" ref="P47" si="23">O47+1</f>
        <v>2017</v>
      </c>
      <c r="Q47" s="454">
        <f t="shared" ref="Q47" si="24">P47+1</f>
        <v>2018</v>
      </c>
      <c r="R47" s="454">
        <f t="shared" ref="R47" si="25">Q47+1</f>
        <v>2019</v>
      </c>
      <c r="S47" s="454">
        <f t="shared" ref="S47" si="26">R47+1</f>
        <v>2020</v>
      </c>
      <c r="T47" s="454">
        <f>S47+1</f>
        <v>2021</v>
      </c>
      <c r="U47" s="454">
        <f t="shared" ref="U47" si="27">T47+1</f>
        <v>2022</v>
      </c>
      <c r="V47" s="454">
        <f t="shared" ref="V47" si="28">U47+1</f>
        <v>2023</v>
      </c>
      <c r="W47" s="454">
        <f t="shared" ref="W47" si="29">V47+1</f>
        <v>2024</v>
      </c>
      <c r="X47" s="454">
        <f t="shared" ref="X47" si="30">W47+1</f>
        <v>2025</v>
      </c>
      <c r="Y47" s="454">
        <f t="shared" ref="Y47" si="31">X47+1</f>
        <v>2026</v>
      </c>
      <c r="Z47" s="454">
        <f t="shared" ref="Z47" si="32">Y47+1</f>
        <v>2027</v>
      </c>
      <c r="AA47" s="454">
        <f t="shared" ref="AA47" si="33">Z47+1</f>
        <v>2028</v>
      </c>
      <c r="AB47" s="455"/>
    </row>
    <row r="48" spans="3:30" x14ac:dyDescent="0.2">
      <c r="C48" s="474"/>
      <c r="D48" s="458"/>
      <c r="E48" s="463"/>
      <c r="F48" s="4"/>
      <c r="G48" s="448"/>
      <c r="H48" s="4"/>
      <c r="I48" s="4"/>
      <c r="J48" s="4"/>
      <c r="K48" s="4"/>
      <c r="L48" s="4"/>
      <c r="M48" s="4"/>
      <c r="N48" s="4"/>
      <c r="O48" s="4"/>
      <c r="P48" s="4"/>
      <c r="Q48" s="4"/>
      <c r="R48" s="4"/>
      <c r="S48" s="4"/>
      <c r="T48" s="4"/>
      <c r="U48" s="4"/>
      <c r="V48" s="4"/>
      <c r="W48" s="4"/>
      <c r="X48" s="4"/>
      <c r="Y48" s="4"/>
      <c r="Z48" s="4"/>
      <c r="AA48" s="4"/>
      <c r="AB48" s="476"/>
    </row>
    <row r="49" spans="3:28" x14ac:dyDescent="0.2">
      <c r="C49" s="474"/>
      <c r="D49" s="475"/>
      <c r="E49" s="463"/>
      <c r="F49" s="4"/>
      <c r="M49" s="4"/>
      <c r="N49" s="4"/>
      <c r="O49" s="4"/>
      <c r="P49" s="4"/>
      <c r="Q49" s="4"/>
      <c r="R49" s="4"/>
      <c r="S49" s="4"/>
      <c r="T49" s="4"/>
      <c r="U49" s="4"/>
      <c r="V49" s="4"/>
      <c r="W49" s="4"/>
      <c r="X49" s="4"/>
      <c r="Y49" s="4"/>
      <c r="Z49" s="4"/>
      <c r="AA49" s="4"/>
      <c r="AB49" s="476"/>
    </row>
    <row r="50" spans="3:28" x14ac:dyDescent="0.2">
      <c r="C50" s="474"/>
      <c r="D50" s="560" t="s">
        <v>238</v>
      </c>
      <c r="E50" s="463"/>
      <c r="F50" s="4"/>
      <c r="G50" s="448" t="s">
        <v>55</v>
      </c>
      <c r="H50" s="484">
        <f>Assumptions!K8</f>
        <v>7.2999999999999995E-2</v>
      </c>
      <c r="I50" s="484">
        <f>Assumptions!K9</f>
        <v>0.186</v>
      </c>
      <c r="J50" s="484">
        <f>Assumptions!K10</f>
        <v>0.34200000000000003</v>
      </c>
      <c r="K50" s="484">
        <f>Assumptions!K11</f>
        <v>0.39</v>
      </c>
      <c r="L50" s="484">
        <f>Assumptions!K12</f>
        <v>8.9999999999999993E-3</v>
      </c>
      <c r="M50" s="4"/>
      <c r="N50" s="4"/>
      <c r="O50" s="4"/>
      <c r="P50" s="4"/>
      <c r="Q50" s="4"/>
      <c r="R50" s="4"/>
      <c r="S50" s="4"/>
      <c r="T50" s="4"/>
      <c r="U50" s="4"/>
      <c r="V50" s="4"/>
      <c r="W50" s="4"/>
      <c r="X50" s="4"/>
      <c r="Y50" s="4"/>
      <c r="Z50" s="4"/>
      <c r="AA50" s="4"/>
      <c r="AB50" s="476"/>
    </row>
    <row r="51" spans="3:28" x14ac:dyDescent="0.2">
      <c r="C51" s="474"/>
      <c r="E51" s="463" t="s">
        <v>406</v>
      </c>
      <c r="F51" s="4"/>
      <c r="G51" s="486">
        <f>SUM(H51:L51)</f>
        <v>52.043097689999996</v>
      </c>
      <c r="H51" s="487">
        <f>Assumptions!L8/10^6</f>
        <v>3.7991461313699997</v>
      </c>
      <c r="I51" s="487">
        <f>Assumptions!L9/10^6</f>
        <v>9.6800161703400001</v>
      </c>
      <c r="J51" s="487">
        <f>Assumptions!L10/10^6</f>
        <v>17.798739409979998</v>
      </c>
      <c r="K51" s="487">
        <f>Assumptions!L11/10^6</f>
        <v>20.296808099100001</v>
      </c>
      <c r="L51" s="487">
        <f>Assumptions!L12/10^6</f>
        <v>0.46838787920999991</v>
      </c>
      <c r="M51" s="488"/>
      <c r="N51" s="488"/>
      <c r="O51" s="488"/>
      <c r="P51" s="488"/>
      <c r="Q51" s="488"/>
      <c r="R51" s="488"/>
      <c r="S51" s="488"/>
      <c r="T51" s="488"/>
      <c r="U51" s="488"/>
      <c r="V51" s="488"/>
      <c r="W51" s="488"/>
      <c r="X51" s="488"/>
      <c r="Y51" s="488"/>
      <c r="Z51" s="488"/>
      <c r="AA51" s="488"/>
      <c r="AB51" s="489"/>
    </row>
    <row r="52" spans="3:28" x14ac:dyDescent="0.2">
      <c r="C52" s="474"/>
      <c r="D52" s="475"/>
      <c r="E52" s="463" t="s">
        <v>27</v>
      </c>
      <c r="F52" s="4"/>
      <c r="G52" s="448"/>
      <c r="H52" s="448"/>
      <c r="I52" s="448"/>
      <c r="J52" s="448"/>
      <c r="K52" s="448"/>
      <c r="L52" s="448"/>
      <c r="M52" s="448"/>
      <c r="N52" s="448"/>
      <c r="O52" s="448"/>
      <c r="P52" s="448"/>
      <c r="Q52" s="448"/>
      <c r="R52" s="448"/>
      <c r="S52" s="448"/>
      <c r="T52" s="448"/>
      <c r="U52" s="448"/>
      <c r="V52" s="448"/>
      <c r="W52" s="448"/>
      <c r="X52" s="448"/>
      <c r="Y52" s="448"/>
      <c r="Z52" s="448"/>
      <c r="AA52" s="448"/>
      <c r="AB52" s="490"/>
    </row>
    <row r="53" spans="3:28" x14ac:dyDescent="0.2">
      <c r="C53" s="474"/>
      <c r="D53" s="475"/>
      <c r="E53" s="463" t="s">
        <v>47</v>
      </c>
      <c r="F53" s="4"/>
      <c r="G53" s="448"/>
      <c r="H53" s="448"/>
      <c r="I53" s="448"/>
      <c r="J53" s="448"/>
      <c r="K53" s="477"/>
      <c r="L53" s="477"/>
      <c r="M53" s="477"/>
      <c r="N53" s="477"/>
      <c r="O53" s="477"/>
      <c r="P53" s="477"/>
      <c r="Q53" s="477"/>
      <c r="R53" s="477"/>
      <c r="S53" s="477"/>
      <c r="T53" s="477"/>
      <c r="U53" s="477"/>
      <c r="V53" s="477"/>
      <c r="W53" s="477"/>
      <c r="X53" s="477"/>
      <c r="Y53" s="477"/>
      <c r="Z53" s="477"/>
      <c r="AA53" s="477"/>
      <c r="AB53" s="478"/>
    </row>
    <row r="54" spans="3:28" x14ac:dyDescent="0.2">
      <c r="C54" s="474"/>
      <c r="D54" s="475"/>
      <c r="E54" s="463"/>
      <c r="F54" s="4"/>
      <c r="G54" s="448"/>
      <c r="H54" s="448"/>
      <c r="I54" s="448"/>
      <c r="J54" s="448"/>
      <c r="K54" s="477"/>
      <c r="L54" s="477"/>
      <c r="M54" s="477"/>
      <c r="N54" s="477"/>
      <c r="O54" s="477"/>
      <c r="P54" s="477"/>
      <c r="Q54" s="477"/>
      <c r="R54" s="477"/>
      <c r="S54" s="477"/>
      <c r="T54" s="477"/>
      <c r="U54" s="477"/>
      <c r="V54" s="477"/>
      <c r="W54" s="477"/>
      <c r="X54" s="477"/>
      <c r="Y54" s="477"/>
      <c r="Z54" s="477"/>
      <c r="AA54" s="477"/>
      <c r="AB54" s="478"/>
    </row>
    <row r="55" spans="3:28" x14ac:dyDescent="0.2">
      <c r="C55" s="474"/>
      <c r="D55" s="475"/>
      <c r="E55" s="491" t="s">
        <v>239</v>
      </c>
      <c r="F55" s="4"/>
      <c r="G55" s="448"/>
      <c r="H55" s="492">
        <f>Assumptions!$H$9*H50/10^6</f>
        <v>0.50686290384999999</v>
      </c>
      <c r="I55" s="492">
        <f>Assumptions!$H$9*I50/10^6</f>
        <v>1.2914589057000001</v>
      </c>
      <c r="J55" s="492">
        <f>Assumptions!$H$9*J50/10^6</f>
        <v>2.3746179879000002</v>
      </c>
      <c r="K55" s="492">
        <f>Assumptions!$H$9*K50/10^6</f>
        <v>2.7078977055000002</v>
      </c>
      <c r="L55" s="492">
        <f>Assumptions!$H$9*L50/10^6</f>
        <v>6.2489947049999994E-2</v>
      </c>
      <c r="M55" s="477"/>
      <c r="N55" s="477"/>
      <c r="O55" s="477"/>
      <c r="P55" s="477"/>
      <c r="Q55" s="477"/>
      <c r="R55" s="477"/>
      <c r="S55" s="477"/>
      <c r="T55" s="477"/>
      <c r="U55" s="477"/>
      <c r="V55" s="477"/>
      <c r="W55" s="477"/>
      <c r="X55" s="477"/>
      <c r="Y55" s="477"/>
      <c r="Z55" s="477"/>
      <c r="AA55" s="477"/>
      <c r="AB55" s="478"/>
    </row>
    <row r="56" spans="3:28" x14ac:dyDescent="0.2">
      <c r="C56" s="474"/>
      <c r="D56" s="475"/>
      <c r="E56" s="491" t="s">
        <v>240</v>
      </c>
      <c r="F56" s="4"/>
      <c r="G56" s="448"/>
      <c r="H56" s="492">
        <f>Assumptions!$H$12*H$50/10^6</f>
        <v>0.12643787026</v>
      </c>
      <c r="I56" s="492">
        <f>Assumptions!$H$12*I50/10^6</f>
        <v>0.32215676531999998</v>
      </c>
      <c r="J56" s="492">
        <f>Assumptions!$H$12*J50/10^6</f>
        <v>0.59235276204000009</v>
      </c>
      <c r="K56" s="492">
        <f>Assumptions!$H$12*K50/10^6</f>
        <v>0.67548999180000002</v>
      </c>
      <c r="L56" s="492">
        <f>Assumptions!$H$12*L50/10^6</f>
        <v>1.5588230579999999E-2</v>
      </c>
      <c r="M56" s="477"/>
      <c r="N56" s="477"/>
      <c r="O56" s="477"/>
      <c r="P56" s="477"/>
      <c r="Q56" s="477"/>
      <c r="R56" s="477"/>
      <c r="S56" s="477"/>
      <c r="T56" s="477"/>
      <c r="U56" s="477"/>
      <c r="V56" s="477"/>
      <c r="W56" s="477"/>
      <c r="X56" s="477"/>
      <c r="Y56" s="477"/>
      <c r="Z56" s="477"/>
      <c r="AA56" s="477"/>
      <c r="AB56" s="478"/>
    </row>
    <row r="57" spans="3:28" x14ac:dyDescent="0.2">
      <c r="C57" s="474"/>
      <c r="D57" s="475"/>
      <c r="E57" s="491" t="s">
        <v>241</v>
      </c>
      <c r="F57" s="4"/>
      <c r="G57" s="448"/>
      <c r="H57" s="492">
        <f>Assumptions!$H$11*H$50/10^6</f>
        <v>0.15427555885999999</v>
      </c>
      <c r="I57" s="492">
        <f>Assumptions!$H$11*I$50/10^6</f>
        <v>0.39308567051999999</v>
      </c>
      <c r="J57" s="492">
        <f>Assumptions!$H$11*J$50/10^6</f>
        <v>0.72277042644</v>
      </c>
      <c r="K57" s="492">
        <f>Assumptions!$H$11*K$50/10^6</f>
        <v>0.82421188980000004</v>
      </c>
      <c r="L57" s="492">
        <f>Assumptions!$H$11*L$50/10^6</f>
        <v>1.9020274379999997E-2</v>
      </c>
      <c r="M57" s="477"/>
      <c r="N57" s="477"/>
      <c r="O57" s="477"/>
      <c r="P57" s="477"/>
      <c r="Q57" s="477"/>
      <c r="R57" s="477"/>
      <c r="S57" s="477"/>
      <c r="T57" s="477"/>
      <c r="U57" s="477"/>
      <c r="V57" s="477"/>
      <c r="W57" s="477"/>
      <c r="X57" s="477"/>
      <c r="Y57" s="477"/>
      <c r="Z57" s="477"/>
      <c r="AA57" s="477"/>
      <c r="AB57" s="478"/>
    </row>
    <row r="58" spans="3:28" x14ac:dyDescent="0.2">
      <c r="C58" s="474"/>
      <c r="D58" s="475"/>
      <c r="E58" s="491"/>
      <c r="F58" s="4"/>
      <c r="G58" s="448"/>
      <c r="H58" s="448"/>
      <c r="I58" s="448"/>
      <c r="J58" s="448"/>
      <c r="K58" s="477"/>
      <c r="L58" s="477"/>
      <c r="M58" s="477"/>
      <c r="N58" s="477"/>
      <c r="O58" s="477"/>
      <c r="P58" s="477"/>
      <c r="Q58" s="477"/>
      <c r="R58" s="477"/>
      <c r="S58" s="477"/>
      <c r="T58" s="477"/>
      <c r="U58" s="477"/>
      <c r="V58" s="477"/>
      <c r="W58" s="477"/>
      <c r="X58" s="477"/>
      <c r="Y58" s="477"/>
      <c r="Z58" s="477"/>
      <c r="AA58" s="477"/>
      <c r="AB58" s="478"/>
    </row>
    <row r="59" spans="3:28" x14ac:dyDescent="0.2">
      <c r="C59" s="474"/>
      <c r="D59" s="475"/>
      <c r="E59" s="491" t="s">
        <v>242</v>
      </c>
      <c r="F59" s="4"/>
      <c r="G59" s="448"/>
      <c r="H59" s="492">
        <f>Assumptions!$H$10*H50/10^6</f>
        <v>0.23742682643999999</v>
      </c>
      <c r="I59" s="492">
        <f>Assumptions!$H$10*I50/10^6</f>
        <v>0.60495054407999993</v>
      </c>
      <c r="J59" s="492">
        <f>Assumptions!$H$10*J50/10^6</f>
        <v>1.1123284197599999</v>
      </c>
      <c r="K59" s="492">
        <f>Assumptions!$H$10*K50/10^6</f>
        <v>1.2684446891999999</v>
      </c>
      <c r="L59" s="492">
        <f>Assumptions!$H$10*L50/10^6</f>
        <v>2.9271800519999999E-2</v>
      </c>
      <c r="M59" s="477"/>
      <c r="N59" s="477"/>
      <c r="O59" s="477"/>
      <c r="P59" s="477"/>
      <c r="Q59" s="477"/>
      <c r="R59" s="477"/>
      <c r="S59" s="477"/>
      <c r="T59" s="477"/>
      <c r="U59" s="477"/>
      <c r="V59" s="477"/>
      <c r="W59" s="477"/>
      <c r="X59" s="477"/>
      <c r="Y59" s="477"/>
      <c r="Z59" s="477"/>
      <c r="AA59" s="477"/>
      <c r="AB59" s="478"/>
    </row>
    <row r="60" spans="3:28" x14ac:dyDescent="0.2">
      <c r="C60" s="474"/>
      <c r="D60" s="475"/>
      <c r="E60" s="491"/>
      <c r="F60" s="4"/>
      <c r="G60" s="448"/>
      <c r="H60" s="448"/>
      <c r="I60" s="448"/>
      <c r="J60" s="448"/>
      <c r="K60" s="477"/>
      <c r="L60" s="477"/>
      <c r="M60" s="477"/>
      <c r="N60" s="477"/>
      <c r="O60" s="477"/>
      <c r="P60" s="477"/>
      <c r="Q60" s="477"/>
      <c r="R60" s="477"/>
      <c r="S60" s="477"/>
      <c r="T60" s="477"/>
      <c r="U60" s="477"/>
      <c r="V60" s="477"/>
      <c r="W60" s="477"/>
      <c r="X60" s="477"/>
      <c r="Y60" s="477"/>
      <c r="Z60" s="477"/>
      <c r="AA60" s="477"/>
      <c r="AB60" s="478"/>
    </row>
    <row r="61" spans="3:28" x14ac:dyDescent="0.2">
      <c r="C61" s="474"/>
      <c r="D61" s="475"/>
      <c r="E61" s="491" t="s">
        <v>243</v>
      </c>
      <c r="F61" s="4"/>
      <c r="G61" s="448"/>
      <c r="H61" s="492">
        <f>Assumptions!$H13*H50/10^6</f>
        <v>0.17733927088705043</v>
      </c>
      <c r="I61" s="492">
        <f>Assumptions!$H13*I50/10^6</f>
        <v>0.45185074499988193</v>
      </c>
      <c r="J61" s="492">
        <f>Assumptions!$H13*J50/10^6</f>
        <v>0.83082233758042812</v>
      </c>
      <c r="K61" s="492">
        <f>Assumptions!$H13*K50/10^6</f>
        <v>0.94742898145136545</v>
      </c>
      <c r="L61" s="492">
        <f>Assumptions!$H13*L50/10^6</f>
        <v>2.1863745725800739E-2</v>
      </c>
      <c r="M61" s="477"/>
      <c r="N61" s="477"/>
      <c r="O61" s="477"/>
      <c r="P61" s="477"/>
      <c r="Q61" s="477"/>
      <c r="R61" s="477"/>
      <c r="S61" s="477"/>
      <c r="T61" s="477"/>
      <c r="U61" s="477"/>
      <c r="V61" s="477"/>
      <c r="W61" s="477"/>
      <c r="X61" s="477"/>
      <c r="Y61" s="477"/>
      <c r="Z61" s="477"/>
      <c r="AA61" s="477"/>
      <c r="AB61" s="478"/>
    </row>
    <row r="62" spans="3:28" x14ac:dyDescent="0.2">
      <c r="C62" s="474"/>
      <c r="D62" s="475"/>
      <c r="E62" s="491" t="s">
        <v>244</v>
      </c>
      <c r="F62" s="4"/>
      <c r="G62" s="448"/>
      <c r="H62" s="492">
        <f>Assumptions!$H14*H50/10^6</f>
        <v>8.0364747436766984E-2</v>
      </c>
      <c r="I62" s="492">
        <f>Assumptions!$H14*I50/10^6</f>
        <v>0.20476497292107751</v>
      </c>
      <c r="J62" s="492">
        <f>Assumptions!$H14*J50/10^6</f>
        <v>0.37650333730649738</v>
      </c>
      <c r="K62" s="492">
        <f>Assumptions!$H14*K50/10^6</f>
        <v>0.42934591096354963</v>
      </c>
      <c r="L62" s="492">
        <f>Assumptions!$H14*L50/10^6</f>
        <v>9.9079825606972968E-3</v>
      </c>
      <c r="M62" s="477"/>
      <c r="N62" s="477"/>
      <c r="O62" s="477"/>
      <c r="P62" s="477"/>
      <c r="Q62" s="477"/>
      <c r="R62" s="477"/>
      <c r="S62" s="477"/>
      <c r="T62" s="477"/>
      <c r="U62" s="477"/>
      <c r="V62" s="477"/>
      <c r="W62" s="477"/>
      <c r="X62" s="477"/>
      <c r="Y62" s="477"/>
      <c r="Z62" s="477"/>
      <c r="AA62" s="477"/>
      <c r="AB62" s="478"/>
    </row>
    <row r="63" spans="3:28" x14ac:dyDescent="0.2">
      <c r="C63" s="474"/>
      <c r="D63" s="475"/>
      <c r="E63" s="493"/>
      <c r="F63" s="4"/>
      <c r="G63" s="448"/>
      <c r="H63" s="448"/>
      <c r="I63" s="448"/>
      <c r="J63" s="448"/>
      <c r="K63" s="477"/>
      <c r="L63" s="477"/>
      <c r="M63" s="477"/>
      <c r="N63" s="477"/>
      <c r="O63" s="477"/>
      <c r="P63" s="477"/>
      <c r="Q63" s="477"/>
      <c r="R63" s="477"/>
      <c r="S63" s="477"/>
      <c r="T63" s="477"/>
      <c r="U63" s="477"/>
      <c r="V63" s="477"/>
      <c r="W63" s="477"/>
      <c r="X63" s="477"/>
      <c r="Y63" s="477"/>
      <c r="Z63" s="477"/>
      <c r="AA63" s="477"/>
      <c r="AB63" s="478"/>
    </row>
    <row r="64" spans="3:28" x14ac:dyDescent="0.2">
      <c r="C64" s="474"/>
      <c r="D64" s="462" t="s">
        <v>409</v>
      </c>
      <c r="E64" s="479"/>
      <c r="F64" s="4"/>
      <c r="G64" s="4"/>
      <c r="H64" s="4"/>
      <c r="I64" s="4"/>
      <c r="J64" s="4"/>
      <c r="K64" s="4"/>
      <c r="L64" s="4"/>
      <c r="M64" s="4"/>
      <c r="N64" s="4"/>
      <c r="O64" s="4"/>
      <c r="P64" s="4"/>
      <c r="Q64" s="4"/>
      <c r="R64" s="4"/>
      <c r="S64" s="4"/>
      <c r="T64" s="4"/>
      <c r="U64" s="4"/>
      <c r="V64" s="4"/>
      <c r="W64" s="4"/>
      <c r="X64" s="4"/>
      <c r="Y64" s="4"/>
      <c r="Z64" s="4"/>
      <c r="AA64" s="4"/>
      <c r="AB64" s="476"/>
    </row>
    <row r="65" spans="3:28" x14ac:dyDescent="0.2">
      <c r="C65" s="474"/>
      <c r="D65" s="475"/>
      <c r="E65" s="494" t="s">
        <v>39</v>
      </c>
      <c r="F65" s="4"/>
      <c r="G65" s="4"/>
      <c r="H65" s="4"/>
      <c r="I65" s="4"/>
      <c r="J65" s="4"/>
      <c r="K65" s="448">
        <f>Assumptions!C23</f>
        <v>0.21850000000000003</v>
      </c>
      <c r="L65" s="448">
        <f>K65</f>
        <v>0.21850000000000003</v>
      </c>
      <c r="M65" s="448">
        <f t="shared" ref="M65:AA65" si="34">L65</f>
        <v>0.21850000000000003</v>
      </c>
      <c r="N65" s="448">
        <f t="shared" si="34"/>
        <v>0.21850000000000003</v>
      </c>
      <c r="O65" s="448">
        <f t="shared" si="34"/>
        <v>0.21850000000000003</v>
      </c>
      <c r="P65" s="448">
        <f t="shared" si="34"/>
        <v>0.21850000000000003</v>
      </c>
      <c r="Q65" s="448">
        <f t="shared" si="34"/>
        <v>0.21850000000000003</v>
      </c>
      <c r="R65" s="448">
        <f t="shared" si="34"/>
        <v>0.21850000000000003</v>
      </c>
      <c r="S65" s="448">
        <f t="shared" si="34"/>
        <v>0.21850000000000003</v>
      </c>
      <c r="T65" s="448">
        <f t="shared" si="34"/>
        <v>0.21850000000000003</v>
      </c>
      <c r="U65" s="448">
        <f t="shared" si="34"/>
        <v>0.21850000000000003</v>
      </c>
      <c r="V65" s="448">
        <f t="shared" si="34"/>
        <v>0.21850000000000003</v>
      </c>
      <c r="W65" s="448">
        <f t="shared" si="34"/>
        <v>0.21850000000000003</v>
      </c>
      <c r="X65" s="448">
        <f t="shared" si="34"/>
        <v>0.21850000000000003</v>
      </c>
      <c r="Y65" s="448">
        <f t="shared" si="34"/>
        <v>0.21850000000000003</v>
      </c>
      <c r="Z65" s="448">
        <f t="shared" si="34"/>
        <v>0.21850000000000003</v>
      </c>
      <c r="AA65" s="448">
        <f t="shared" si="34"/>
        <v>0.21850000000000003</v>
      </c>
      <c r="AB65" s="490"/>
    </row>
    <row r="66" spans="3:28" x14ac:dyDescent="0.2">
      <c r="C66" s="474"/>
      <c r="D66" s="475"/>
      <c r="E66" s="494" t="s">
        <v>40</v>
      </c>
      <c r="F66" s="4"/>
      <c r="G66" s="4"/>
      <c r="H66" s="4"/>
      <c r="I66" s="4"/>
      <c r="J66" s="4"/>
      <c r="K66" s="448">
        <f>Assumptions!C24</f>
        <v>2.7999999999999997E-2</v>
      </c>
      <c r="L66" s="448">
        <v>2.8000000000000001E-2</v>
      </c>
      <c r="M66" s="448">
        <v>2.8000000000000001E-2</v>
      </c>
      <c r="N66" s="448">
        <v>2.8000000000000001E-2</v>
      </c>
      <c r="O66" s="448">
        <v>2.8000000000000001E-2</v>
      </c>
      <c r="P66" s="448">
        <v>2.8000000000000001E-2</v>
      </c>
      <c r="Q66" s="448">
        <v>2.8000000000000001E-2</v>
      </c>
      <c r="R66" s="448">
        <v>2.8000000000000001E-2</v>
      </c>
      <c r="S66" s="448">
        <v>2.8000000000000001E-2</v>
      </c>
      <c r="T66" s="448">
        <v>2.8000000000000001E-2</v>
      </c>
      <c r="U66" s="448">
        <v>2.8000000000000001E-2</v>
      </c>
      <c r="V66" s="448">
        <v>2.8000000000000001E-2</v>
      </c>
      <c r="W66" s="448">
        <v>2.8000000000000001E-2</v>
      </c>
      <c r="X66" s="448">
        <v>2.8000000000000001E-2</v>
      </c>
      <c r="Y66" s="448">
        <v>2.8000000000000001E-2</v>
      </c>
      <c r="Z66" s="448">
        <v>2.8000000000000001E-2</v>
      </c>
      <c r="AA66" s="448">
        <v>2.8000000000000001E-2</v>
      </c>
      <c r="AB66" s="490"/>
    </row>
    <row r="67" spans="3:28" x14ac:dyDescent="0.2">
      <c r="C67" s="474"/>
      <c r="D67" s="475"/>
      <c r="E67" s="494" t="s">
        <v>81</v>
      </c>
      <c r="F67" s="4"/>
      <c r="G67" s="4"/>
      <c r="H67" s="4"/>
      <c r="I67" s="4"/>
      <c r="J67" s="4"/>
      <c r="K67" s="495">
        <f>K66*K41</f>
        <v>0</v>
      </c>
      <c r="L67" s="495">
        <f t="shared" ref="L67:AA67" si="35">L66*L41</f>
        <v>2.1834870400000002</v>
      </c>
      <c r="M67" s="495">
        <f t="shared" si="35"/>
        <v>2.2893382422411293</v>
      </c>
      <c r="N67" s="495">
        <f t="shared" si="35"/>
        <v>2.4003209047614513</v>
      </c>
      <c r="O67" s="495">
        <f t="shared" si="35"/>
        <v>2.5166837907685577</v>
      </c>
      <c r="P67" s="495">
        <f t="shared" si="35"/>
        <v>2.6386877230262065</v>
      </c>
      <c r="Q67" s="495">
        <f t="shared" si="35"/>
        <v>2.7666061684781345</v>
      </c>
      <c r="R67" s="495">
        <f t="shared" si="35"/>
        <v>2.9007258512132945</v>
      </c>
      <c r="S67" s="495">
        <f t="shared" si="35"/>
        <v>3.0413473951464565</v>
      </c>
      <c r="T67" s="495">
        <f t="shared" si="35"/>
        <v>3.1887859978547088</v>
      </c>
      <c r="U67" s="495">
        <f t="shared" si="35"/>
        <v>3.3433721370802476</v>
      </c>
      <c r="V67" s="495">
        <f t="shared" si="35"/>
        <v>3.5054523114830398</v>
      </c>
      <c r="W67" s="495">
        <f t="shared" si="35"/>
        <v>3.6753898173037407</v>
      </c>
      <c r="X67" s="495">
        <f t="shared" si="35"/>
        <v>3.8535655626777108</v>
      </c>
      <c r="Y67" s="495">
        <f t="shared" si="35"/>
        <v>4.0403789214253996</v>
      </c>
      <c r="Z67" s="495">
        <f t="shared" si="35"/>
        <v>4.2362486282328167</v>
      </c>
      <c r="AA67" s="495">
        <f t="shared" si="35"/>
        <v>4.4416137172286172</v>
      </c>
      <c r="AB67" s="496"/>
    </row>
    <row r="68" spans="3:28" x14ac:dyDescent="0.2">
      <c r="C68" s="474"/>
      <c r="D68" s="475"/>
      <c r="E68" s="494"/>
      <c r="F68" s="4"/>
      <c r="G68" s="4"/>
      <c r="H68" s="4"/>
      <c r="I68" s="4"/>
      <c r="J68" s="4"/>
      <c r="K68" s="495"/>
      <c r="L68" s="495"/>
      <c r="M68" s="495"/>
      <c r="N68" s="495"/>
      <c r="O68" s="495"/>
      <c r="P68" s="495"/>
      <c r="Q68" s="495"/>
      <c r="R68" s="495"/>
      <c r="S68" s="495"/>
      <c r="T68" s="495"/>
      <c r="U68" s="495"/>
      <c r="V68" s="495"/>
      <c r="W68" s="495"/>
      <c r="X68" s="495"/>
      <c r="Y68" s="495"/>
      <c r="Z68" s="495"/>
      <c r="AA68" s="495"/>
      <c r="AB68" s="496"/>
    </row>
    <row r="69" spans="3:28" x14ac:dyDescent="0.2">
      <c r="C69" s="474"/>
      <c r="D69" s="560" t="s">
        <v>49</v>
      </c>
      <c r="E69" s="494"/>
      <c r="F69" s="4"/>
      <c r="G69" s="4"/>
      <c r="H69" s="4"/>
      <c r="I69" s="4"/>
      <c r="J69" s="4"/>
      <c r="K69" s="495"/>
      <c r="L69" s="495"/>
      <c r="M69" s="495"/>
      <c r="N69" s="495"/>
      <c r="O69" s="495"/>
      <c r="P69" s="495"/>
      <c r="Q69" s="495"/>
      <c r="R69" s="495"/>
      <c r="S69" s="495"/>
      <c r="T69" s="495"/>
      <c r="U69" s="495"/>
      <c r="V69" s="495"/>
      <c r="W69" s="495"/>
      <c r="X69" s="495"/>
      <c r="Y69" s="495"/>
      <c r="Z69" s="495"/>
      <c r="AA69" s="495"/>
      <c r="AB69" s="496"/>
    </row>
    <row r="70" spans="3:28" x14ac:dyDescent="0.2">
      <c r="C70" s="474"/>
      <c r="D70" s="485"/>
      <c r="E70" s="494" t="s">
        <v>280</v>
      </c>
      <c r="F70" s="4"/>
      <c r="G70" s="492">
        <f>Assumptions!F23/1000</f>
        <v>69.210999999999999</v>
      </c>
      <c r="H70" s="492">
        <f>Assumptions!G23/1000</f>
        <v>72.718999999999994</v>
      </c>
      <c r="I70" s="492">
        <f>Assumptions!H23/1000</f>
        <v>73.912999999999997</v>
      </c>
      <c r="J70" s="492">
        <f>Assumptions!I23/1000</f>
        <v>79.182000000000002</v>
      </c>
      <c r="K70" s="492">
        <f>Assumptions!J23/1000</f>
        <v>83.691000000000003</v>
      </c>
      <c r="L70" s="492">
        <f>Assumptions!K23/1000</f>
        <v>87.629000000000005</v>
      </c>
      <c r="M70" s="492">
        <f>L70*(1+Assumptions!$C$27)</f>
        <v>91.835192000000006</v>
      </c>
      <c r="N70" s="492">
        <f>M70*(1+Assumptions!$C$27)</f>
        <v>96.243281216000014</v>
      </c>
      <c r="O70" s="492">
        <f>N70*(1+Assumptions!$C$27)</f>
        <v>100.86295871436802</v>
      </c>
      <c r="P70" s="492">
        <f>O70*(1+Assumptions!$C$27)</f>
        <v>105.70438073265768</v>
      </c>
      <c r="Q70" s="492">
        <f>P70*(1+Assumptions!$C$27)</f>
        <v>110.77819100782526</v>
      </c>
      <c r="R70" s="492">
        <f>Q70*(1+Assumptions!$C$27)</f>
        <v>116.09554417620087</v>
      </c>
      <c r="S70" s="492">
        <f>R70*(1+Assumptions!$C$27)</f>
        <v>121.66813029665852</v>
      </c>
      <c r="T70" s="492">
        <f>S70*(1+Assumptions!$C$27)</f>
        <v>127.50820055089814</v>
      </c>
      <c r="U70" s="492">
        <f>T70*(1+Assumptions!$C$27)</f>
        <v>133.62859417734126</v>
      </c>
      <c r="V70" s="492">
        <f>U70*(1+Assumptions!$C$27)</f>
        <v>140.04276669785364</v>
      </c>
      <c r="W70" s="492">
        <f>V70*(1+Assumptions!$C$27)</f>
        <v>146.76481949935061</v>
      </c>
      <c r="X70" s="492">
        <f>W70*(1+Assumptions!$C$27)</f>
        <v>153.80953083531944</v>
      </c>
      <c r="Y70" s="492">
        <f>X70*(1+Assumptions!$C$27)</f>
        <v>161.19238831541477</v>
      </c>
      <c r="Z70" s="492">
        <f>Y70*(1+Assumptions!$C$27)</f>
        <v>168.9296229545547</v>
      </c>
      <c r="AA70" s="492">
        <f>Z70*(1+Assumptions!$C$27)</f>
        <v>177.03824485637332</v>
      </c>
      <c r="AB70" s="497"/>
    </row>
    <row r="71" spans="3:28" x14ac:dyDescent="0.2">
      <c r="C71" s="474"/>
      <c r="D71" s="475"/>
      <c r="E71" s="494"/>
      <c r="F71" s="495"/>
      <c r="G71" s="495"/>
      <c r="H71" s="495"/>
      <c r="I71" s="495"/>
      <c r="J71" s="495"/>
      <c r="K71" s="495"/>
      <c r="L71" s="495"/>
      <c r="M71" s="495"/>
      <c r="N71" s="495"/>
      <c r="O71" s="495"/>
      <c r="P71" s="495"/>
      <c r="Q71" s="495"/>
      <c r="R71" s="495"/>
      <c r="S71" s="495"/>
      <c r="T71" s="495"/>
      <c r="U71" s="495"/>
      <c r="V71" s="495"/>
      <c r="W71" s="495"/>
      <c r="X71" s="495"/>
      <c r="Y71" s="495"/>
      <c r="Z71" s="495"/>
      <c r="AA71" s="495"/>
      <c r="AB71" s="496"/>
    </row>
    <row r="72" spans="3:28" x14ac:dyDescent="0.2">
      <c r="C72" s="474"/>
      <c r="D72" s="475"/>
      <c r="E72" s="494" t="s">
        <v>28</v>
      </c>
      <c r="F72" s="4"/>
      <c r="G72" s="448"/>
      <c r="H72" s="448"/>
      <c r="I72" s="448"/>
      <c r="J72" s="4"/>
      <c r="K72" s="4"/>
      <c r="L72" s="4">
        <f>L41*LRMC!$G$24*0.01</f>
        <v>3.9494372262566846</v>
      </c>
      <c r="M72" s="4">
        <f>M41*LRMC!$G$24*0.01</f>
        <v>4.1408982566711998</v>
      </c>
      <c r="N72" s="4">
        <f>N41*LRMC!$G$24*0.01</f>
        <v>4.3416409452226477</v>
      </c>
      <c r="O72" s="4">
        <f>O41*LRMC!$G$24*0.01</f>
        <v>4.5521152486337311</v>
      </c>
      <c r="P72" s="4">
        <f>P41*LRMC!$G$24*0.01</f>
        <v>4.7727929366533752</v>
      </c>
      <c r="Q72" s="4">
        <f>Q41*LRMC!$G$24*0.01</f>
        <v>5.0041686495097837</v>
      </c>
      <c r="R72" s="4">
        <f>R41*LRMC!$G$24*0.01</f>
        <v>5.2467610066267643</v>
      </c>
      <c r="S72" s="4">
        <f>S41*LRMC!$G$24*0.01</f>
        <v>5.5011137690884633</v>
      </c>
      <c r="T72" s="4">
        <f>T41*LRMC!$G$24*0.01</f>
        <v>5.7677970584581315</v>
      </c>
      <c r="U72" s="4">
        <f>U41*LRMC!$G$24*0.01</f>
        <v>6.0474086346828484</v>
      </c>
      <c r="V72" s="4">
        <f>V41*LRMC!$G$24*0.01</f>
        <v>6.3405752359485756</v>
      </c>
      <c r="W72" s="4">
        <f>W41*LRMC!$G$24*0.01</f>
        <v>6.6479539834887902</v>
      </c>
      <c r="X72" s="4">
        <f>X41*LRMC!$G$24*0.01</f>
        <v>6.9702338544954845</v>
      </c>
      <c r="Y72" s="4">
        <f>Y41*LRMC!$G$24*0.01</f>
        <v>7.3081372264340541</v>
      </c>
      <c r="Z72" s="4">
        <f>Z41*LRMC!$G$24*0.01</f>
        <v>7.6624214962235353</v>
      </c>
      <c r="AA72" s="4">
        <f>AA41*LRMC!$G$24*0.01</f>
        <v>8.0338807779115697</v>
      </c>
      <c r="AB72" s="476"/>
    </row>
    <row r="73" spans="3:28" x14ac:dyDescent="0.2">
      <c r="C73" s="469"/>
      <c r="D73" s="470"/>
      <c r="E73" s="494"/>
      <c r="F73" s="4"/>
      <c r="G73" s="448"/>
      <c r="H73" s="448"/>
      <c r="I73" s="4"/>
      <c r="J73" s="4"/>
      <c r="K73" s="4"/>
      <c r="L73" s="4"/>
      <c r="M73" s="4"/>
      <c r="N73" s="4"/>
      <c r="O73" s="4"/>
      <c r="P73" s="4"/>
      <c r="Q73" s="4"/>
      <c r="R73" s="4"/>
      <c r="S73" s="4"/>
      <c r="T73" s="4"/>
      <c r="U73" s="4"/>
      <c r="V73" s="4"/>
      <c r="W73" s="4"/>
      <c r="X73" s="4"/>
      <c r="Y73" s="4"/>
      <c r="Z73" s="4"/>
      <c r="AA73" s="4"/>
      <c r="AB73" s="476"/>
    </row>
    <row r="74" spans="3:28" s="451" customFormat="1" x14ac:dyDescent="0.2">
      <c r="C74" s="498"/>
      <c r="D74" s="499"/>
      <c r="E74" s="561" t="s">
        <v>29</v>
      </c>
      <c r="F74" s="500"/>
      <c r="G74" s="501"/>
      <c r="H74" s="502">
        <f>SUM(H51:H52,H55:H57,H59,H61:H62,H72)*'ERR &amp; Sensitivity Analysis'!$G$9</f>
        <v>5.0818533091038178</v>
      </c>
      <c r="I74" s="502">
        <f>SUM(I51:I52,I55:I57,I59,I61:I62,I72)*'ERR &amp; Sensitivity Analysis'!$G$9</f>
        <v>12.948283773880961</v>
      </c>
      <c r="J74" s="502">
        <f>SUM(J51:J52,J55:J57,J59,J61:J62,J72)*'ERR &amp; Sensitivity Analysis'!$G$9</f>
        <v>23.808134681006926</v>
      </c>
      <c r="K74" s="502">
        <f>SUM(K51:K52,K55:K57,K59,K61:K62,K72)*'ERR &amp; Sensitivity Analysis'!$G$9</f>
        <v>27.149627267814918</v>
      </c>
      <c r="L74" s="502">
        <f>SUM(L51:L52,L55:L57,L59,L61:L62,L72)*'ERR &amp; Sensitivity Analysis'!$G$9</f>
        <v>4.5759670862831827</v>
      </c>
      <c r="M74" s="502">
        <f>SUM(M51:M52,M55:M57,M59,M61:M62,M72)*'ERR &amp; Sensitivity Analysis'!$G$9</f>
        <v>4.1408982566711998</v>
      </c>
      <c r="N74" s="502">
        <f>SUM(N51:N52,N55:N57,N59,N61:N62,N72)*'ERR &amp; Sensitivity Analysis'!$G$9</f>
        <v>4.3416409452226477</v>
      </c>
      <c r="O74" s="502">
        <f>SUM(O51:O52,O55:O57,O59,O61:O62,O72)*'ERR &amp; Sensitivity Analysis'!$G$9</f>
        <v>4.5521152486337311</v>
      </c>
      <c r="P74" s="502">
        <f>SUM(P51:P52,P55:P57,P59,P61:P62,P72)*'ERR &amp; Sensitivity Analysis'!$G$9</f>
        <v>4.7727929366533752</v>
      </c>
      <c r="Q74" s="502">
        <f>SUM(Q51:Q52,Q55:Q57,Q59,Q61:Q62,Q72)*'ERR &amp; Sensitivity Analysis'!$G$9</f>
        <v>5.0041686495097837</v>
      </c>
      <c r="R74" s="502">
        <f>SUM(R51:R52,R55:R57,R59,R61:R62,R72)*'ERR &amp; Sensitivity Analysis'!$G$9</f>
        <v>5.2467610066267643</v>
      </c>
      <c r="S74" s="502">
        <f>SUM(S51:S52,S55:S57,S59,S61:S62,S72)*'ERR &amp; Sensitivity Analysis'!$G$9</f>
        <v>5.5011137690884633</v>
      </c>
      <c r="T74" s="502">
        <f>SUM(T51:T52,T55:T57,T59,T61:T62,T72)*'ERR &amp; Sensitivity Analysis'!$G$9</f>
        <v>5.7677970584581315</v>
      </c>
      <c r="U74" s="502">
        <f>SUM(U51:U52,U55:U57,U59,U61:U62,U72)*'ERR &amp; Sensitivity Analysis'!$G$9</f>
        <v>6.0474086346828484</v>
      </c>
      <c r="V74" s="502">
        <f>SUM(V51:V52,V55:V57,V59,V61:V62,V72)*'ERR &amp; Sensitivity Analysis'!$G$9</f>
        <v>6.3405752359485756</v>
      </c>
      <c r="W74" s="502">
        <f>SUM(W51:W52,W55:W57,W59,W61:W62,W72)*'ERR &amp; Sensitivity Analysis'!$G$9</f>
        <v>6.6479539834887902</v>
      </c>
      <c r="X74" s="502">
        <f>SUM(X51:X52,X55:X57,X59,X61:X62,X72)*'ERR &amp; Sensitivity Analysis'!$G$9</f>
        <v>6.9702338544954845</v>
      </c>
      <c r="Y74" s="502">
        <f>SUM(Y51:Y52,Y55:Y57,Y59,Y61:Y62,Y72)*'ERR &amp; Sensitivity Analysis'!$G$9</f>
        <v>7.3081372264340541</v>
      </c>
      <c r="Z74" s="502">
        <f>SUM(Z51:Z52,Z55:Z57,Z59,Z61:Z62,Z72)*'ERR &amp; Sensitivity Analysis'!$G$9</f>
        <v>7.6624214962235353</v>
      </c>
      <c r="AA74" s="502">
        <f>SUM(AA51:AA52,AA55:AA57,AA59,AA61:AA62,AA72)*'ERR &amp; Sensitivity Analysis'!$G$9</f>
        <v>8.0338807779115697</v>
      </c>
      <c r="AB74" s="503"/>
    </row>
    <row r="75" spans="3:28" x14ac:dyDescent="0.2">
      <c r="C75" s="469"/>
      <c r="D75" s="504"/>
      <c r="E75" s="493" t="s">
        <v>245</v>
      </c>
      <c r="F75" s="4"/>
      <c r="G75" s="448"/>
      <c r="H75" s="488">
        <f>SUM(H51,H55:H57,H59,H61:H62)</f>
        <v>5.0818533091038178</v>
      </c>
      <c r="I75" s="488">
        <f>SUM(I51,I55:I57,I59,I61:I62)</f>
        <v>12.948283773880961</v>
      </c>
      <c r="J75" s="488">
        <f>SUM(J51,J55:J57,J59,J61:J62)</f>
        <v>23.808134681006926</v>
      </c>
      <c r="K75" s="488">
        <f>SUM(K51,K55:K57,K59,K61:K62)</f>
        <v>27.149627267814918</v>
      </c>
      <c r="L75" s="488">
        <f>SUM(L51,L55:L57,L59,L61:L62)</f>
        <v>0.62652986002649791</v>
      </c>
      <c r="M75" s="488"/>
      <c r="N75" s="488"/>
      <c r="O75" s="488"/>
      <c r="P75" s="488"/>
      <c r="Q75" s="488"/>
      <c r="R75" s="488"/>
      <c r="S75" s="488"/>
      <c r="T75" s="488"/>
      <c r="U75" s="488"/>
      <c r="V75" s="488"/>
      <c r="W75" s="488"/>
      <c r="X75" s="488"/>
      <c r="Y75" s="488"/>
      <c r="Z75" s="488"/>
      <c r="AA75" s="488"/>
      <c r="AB75" s="489"/>
    </row>
    <row r="76" spans="3:28" ht="13.5" thickBot="1" x14ac:dyDescent="0.25">
      <c r="C76" s="571"/>
      <c r="D76" s="572"/>
      <c r="E76" s="573"/>
      <c r="F76" s="574"/>
      <c r="G76" s="575"/>
      <c r="H76" s="576"/>
      <c r="I76" s="576"/>
      <c r="J76" s="576"/>
      <c r="K76" s="576"/>
      <c r="L76" s="576"/>
      <c r="M76" s="576"/>
      <c r="N76" s="576"/>
      <c r="O76" s="576"/>
      <c r="P76" s="576"/>
      <c r="Q76" s="576"/>
      <c r="R76" s="576"/>
      <c r="S76" s="576"/>
      <c r="T76" s="576"/>
      <c r="U76" s="576"/>
      <c r="V76" s="576"/>
      <c r="W76" s="576"/>
      <c r="X76" s="576"/>
      <c r="Y76" s="576"/>
      <c r="Z76" s="576"/>
      <c r="AA76" s="576"/>
      <c r="AB76" s="577"/>
    </row>
    <row r="77" spans="3:28" x14ac:dyDescent="0.2">
      <c r="C77" s="470"/>
      <c r="D77" s="504"/>
      <c r="E77" s="493"/>
      <c r="F77" s="4"/>
      <c r="G77" s="448"/>
      <c r="H77" s="488"/>
      <c r="I77" s="488"/>
      <c r="J77" s="488"/>
      <c r="K77" s="488"/>
      <c r="L77" s="488"/>
      <c r="M77" s="488"/>
      <c r="N77" s="488"/>
      <c r="O77" s="488"/>
      <c r="P77" s="488"/>
      <c r="Q77" s="488"/>
      <c r="R77" s="488"/>
      <c r="S77" s="488"/>
      <c r="T77" s="488"/>
      <c r="U77" s="488"/>
      <c r="V77" s="488"/>
      <c r="W77" s="488"/>
      <c r="X77" s="488"/>
      <c r="Y77" s="488"/>
      <c r="Z77" s="488"/>
      <c r="AA77" s="488"/>
      <c r="AB77" s="488"/>
    </row>
    <row r="78" spans="3:28" ht="13.5" thickBot="1" x14ac:dyDescent="0.25">
      <c r="C78" s="470"/>
      <c r="D78" s="504"/>
      <c r="E78" s="493"/>
      <c r="F78" s="4"/>
      <c r="G78" s="448"/>
      <c r="H78" s="488"/>
      <c r="I78" s="488"/>
      <c r="J78" s="488"/>
      <c r="K78" s="488"/>
      <c r="L78" s="488"/>
      <c r="M78" s="488"/>
      <c r="N78" s="488"/>
      <c r="O78" s="488"/>
      <c r="P78" s="488"/>
      <c r="Q78" s="488"/>
      <c r="R78" s="488"/>
      <c r="S78" s="488"/>
      <c r="T78" s="488"/>
      <c r="U78" s="488"/>
      <c r="V78" s="488"/>
      <c r="W78" s="488"/>
      <c r="X78" s="488"/>
      <c r="Y78" s="488"/>
      <c r="Z78" s="488"/>
      <c r="AA78" s="488"/>
      <c r="AB78" s="488"/>
    </row>
    <row r="79" spans="3:28" x14ac:dyDescent="0.2">
      <c r="C79" s="579"/>
      <c r="D79" s="580"/>
      <c r="E79" s="581"/>
      <c r="F79" s="582"/>
      <c r="G79" s="583"/>
      <c r="H79" s="583"/>
      <c r="I79" s="582"/>
      <c r="J79" s="582"/>
      <c r="K79" s="582"/>
      <c r="L79" s="582"/>
      <c r="M79" s="582"/>
      <c r="N79" s="582"/>
      <c r="O79" s="582"/>
      <c r="P79" s="582"/>
      <c r="Q79" s="582"/>
      <c r="R79" s="582"/>
      <c r="S79" s="582"/>
      <c r="T79" s="582"/>
      <c r="U79" s="582"/>
      <c r="V79" s="582"/>
      <c r="W79" s="582"/>
      <c r="X79" s="582"/>
      <c r="Y79" s="582"/>
      <c r="Z79" s="582"/>
      <c r="AA79" s="582"/>
      <c r="AB79" s="584"/>
    </row>
    <row r="80" spans="3:28" x14ac:dyDescent="0.2">
      <c r="C80" s="585" t="s">
        <v>22</v>
      </c>
      <c r="D80" s="557"/>
      <c r="E80" s="578"/>
      <c r="F80" s="558"/>
      <c r="G80" s="559"/>
      <c r="H80" s="559"/>
      <c r="I80" s="558"/>
      <c r="J80" s="558"/>
      <c r="K80" s="558"/>
      <c r="L80" s="558"/>
      <c r="M80" s="558"/>
      <c r="N80" s="558"/>
      <c r="O80" s="558"/>
      <c r="P80" s="558"/>
      <c r="Q80" s="558"/>
      <c r="R80" s="558"/>
      <c r="S80" s="558"/>
      <c r="T80" s="558"/>
      <c r="U80" s="558"/>
      <c r="V80" s="558"/>
      <c r="W80" s="558"/>
      <c r="X80" s="558"/>
      <c r="Y80" s="558"/>
      <c r="Z80" s="558"/>
      <c r="AA80" s="558"/>
      <c r="AB80" s="586"/>
    </row>
    <row r="81" spans="3:28" x14ac:dyDescent="0.2">
      <c r="C81" s="474"/>
      <c r="D81" s="475"/>
      <c r="E81" s="505"/>
      <c r="F81" s="506"/>
      <c r="G81" s="456">
        <v>2008</v>
      </c>
      <c r="H81" s="456">
        <v>2009</v>
      </c>
      <c r="I81" s="456">
        <v>2010</v>
      </c>
      <c r="J81" s="456">
        <v>2011</v>
      </c>
      <c r="K81" s="456">
        <v>2012</v>
      </c>
      <c r="L81" s="456">
        <f>K81+1</f>
        <v>2013</v>
      </c>
      <c r="M81" s="456">
        <f t="shared" ref="M81:S81" si="36">L81+1</f>
        <v>2014</v>
      </c>
      <c r="N81" s="456">
        <f t="shared" si="36"/>
        <v>2015</v>
      </c>
      <c r="O81" s="456">
        <f t="shared" si="36"/>
        <v>2016</v>
      </c>
      <c r="P81" s="456">
        <f t="shared" si="36"/>
        <v>2017</v>
      </c>
      <c r="Q81" s="456">
        <f t="shared" si="36"/>
        <v>2018</v>
      </c>
      <c r="R81" s="456">
        <f t="shared" si="36"/>
        <v>2019</v>
      </c>
      <c r="S81" s="456">
        <f t="shared" si="36"/>
        <v>2020</v>
      </c>
      <c r="T81" s="456">
        <f t="shared" ref="T81:AA81" si="37">S81+1</f>
        <v>2021</v>
      </c>
      <c r="U81" s="456">
        <f t="shared" si="37"/>
        <v>2022</v>
      </c>
      <c r="V81" s="456">
        <f t="shared" si="37"/>
        <v>2023</v>
      </c>
      <c r="W81" s="456">
        <f t="shared" si="37"/>
        <v>2024</v>
      </c>
      <c r="X81" s="456">
        <f t="shared" si="37"/>
        <v>2025</v>
      </c>
      <c r="Y81" s="456">
        <f t="shared" si="37"/>
        <v>2026</v>
      </c>
      <c r="Z81" s="456">
        <f t="shared" si="37"/>
        <v>2027</v>
      </c>
      <c r="AA81" s="456">
        <f t="shared" si="37"/>
        <v>2028</v>
      </c>
      <c r="AB81" s="457"/>
    </row>
    <row r="82" spans="3:28" s="507" customFormat="1" ht="25.5" customHeight="1" x14ac:dyDescent="0.2">
      <c r="C82" s="474"/>
      <c r="D82" s="600" t="s">
        <v>45</v>
      </c>
      <c r="F82" s="509"/>
      <c r="G82" s="510"/>
      <c r="H82" s="510"/>
      <c r="I82" s="510"/>
      <c r="J82" s="510"/>
      <c r="K82" s="510"/>
      <c r="L82" s="510"/>
      <c r="M82" s="510"/>
      <c r="N82" s="510"/>
      <c r="O82" s="510"/>
      <c r="P82" s="510"/>
      <c r="Q82" s="510"/>
      <c r="R82" s="510"/>
      <c r="S82" s="510"/>
      <c r="T82" s="510"/>
      <c r="U82" s="510"/>
      <c r="V82" s="510"/>
      <c r="W82" s="510"/>
      <c r="X82" s="510"/>
      <c r="Y82" s="510"/>
      <c r="Z82" s="510"/>
      <c r="AA82" s="510"/>
      <c r="AB82" s="511"/>
    </row>
    <row r="83" spans="3:28" s="507" customFormat="1" x14ac:dyDescent="0.2">
      <c r="C83" s="512"/>
      <c r="D83" s="510"/>
      <c r="E83" s="508" t="s">
        <v>34</v>
      </c>
      <c r="F83" s="513"/>
      <c r="G83" s="510"/>
      <c r="H83" s="510"/>
      <c r="I83" s="510"/>
      <c r="J83" s="510"/>
      <c r="K83" s="6">
        <f>Assumptions!$C$11</f>
        <v>0.5</v>
      </c>
      <c r="L83" s="6">
        <f>Assumptions!$C$11</f>
        <v>0.5</v>
      </c>
      <c r="M83" s="6">
        <f>Assumptions!$C$11</f>
        <v>0.5</v>
      </c>
      <c r="N83" s="6">
        <f>Assumptions!$C$11</f>
        <v>0.5</v>
      </c>
      <c r="O83" s="6">
        <f>Assumptions!$C$11</f>
        <v>0.5</v>
      </c>
      <c r="P83" s="6">
        <f>Assumptions!$C$11</f>
        <v>0.5</v>
      </c>
      <c r="Q83" s="6">
        <f>Assumptions!$C$11</f>
        <v>0.5</v>
      </c>
      <c r="R83" s="6">
        <f>Assumptions!$C$11</f>
        <v>0.5</v>
      </c>
      <c r="S83" s="6">
        <f>Assumptions!$C$11</f>
        <v>0.5</v>
      </c>
      <c r="T83" s="6">
        <f>Assumptions!$C$11</f>
        <v>0.5</v>
      </c>
      <c r="U83" s="6">
        <f>Assumptions!$C$11</f>
        <v>0.5</v>
      </c>
      <c r="V83" s="6">
        <f>Assumptions!$C$11</f>
        <v>0.5</v>
      </c>
      <c r="W83" s="6">
        <f>Assumptions!$C$11</f>
        <v>0.5</v>
      </c>
      <c r="X83" s="6">
        <f>Assumptions!$C$11</f>
        <v>0.5</v>
      </c>
      <c r="Y83" s="6">
        <f>Assumptions!$C$11</f>
        <v>0.5</v>
      </c>
      <c r="Z83" s="6">
        <f>Assumptions!$C$11</f>
        <v>0.5</v>
      </c>
      <c r="AA83" s="6">
        <f>Assumptions!$C$11</f>
        <v>0.5</v>
      </c>
      <c r="AB83" s="514"/>
    </row>
    <row r="84" spans="3:28" s="507" customFormat="1" x14ac:dyDescent="0.2">
      <c r="C84" s="593"/>
      <c r="D84" s="3"/>
      <c r="E84" s="508" t="s">
        <v>32</v>
      </c>
      <c r="F84" s="515"/>
      <c r="G84" s="516"/>
      <c r="H84" s="516"/>
      <c r="I84" s="516"/>
      <c r="J84" s="516"/>
      <c r="K84" s="6">
        <f>Assumptions!$C$12</f>
        <v>0.35</v>
      </c>
      <c r="L84" s="6">
        <f>Assumptions!$C$12</f>
        <v>0.35</v>
      </c>
      <c r="M84" s="6">
        <f>Assumptions!$C$12</f>
        <v>0.35</v>
      </c>
      <c r="N84" s="6">
        <f>Assumptions!$C$12</f>
        <v>0.35</v>
      </c>
      <c r="O84" s="6">
        <f>Assumptions!$C$12</f>
        <v>0.35</v>
      </c>
      <c r="P84" s="6">
        <f>Assumptions!$C$12</f>
        <v>0.35</v>
      </c>
      <c r="Q84" s="6">
        <f>Assumptions!$C$12</f>
        <v>0.35</v>
      </c>
      <c r="R84" s="6">
        <f>Assumptions!$C$12</f>
        <v>0.35</v>
      </c>
      <c r="S84" s="6">
        <f>Assumptions!$C$12</f>
        <v>0.35</v>
      </c>
      <c r="T84" s="6">
        <f>Assumptions!$C$12</f>
        <v>0.35</v>
      </c>
      <c r="U84" s="6">
        <f>Assumptions!$C$12</f>
        <v>0.35</v>
      </c>
      <c r="V84" s="6">
        <f>Assumptions!$C$12</f>
        <v>0.35</v>
      </c>
      <c r="W84" s="6">
        <f>Assumptions!$C$12</f>
        <v>0.35</v>
      </c>
      <c r="X84" s="6">
        <f>Assumptions!$C$12</f>
        <v>0.35</v>
      </c>
      <c r="Y84" s="6">
        <f>Assumptions!$C$12</f>
        <v>0.35</v>
      </c>
      <c r="Z84" s="6">
        <f>Assumptions!$C$12</f>
        <v>0.35</v>
      </c>
      <c r="AA84" s="6">
        <f>Assumptions!$C$12</f>
        <v>0.35</v>
      </c>
      <c r="AB84" s="514"/>
    </row>
    <row r="85" spans="3:28" s="507" customFormat="1" ht="15" customHeight="1" x14ac:dyDescent="0.2">
      <c r="C85" s="593"/>
      <c r="D85" s="3"/>
      <c r="E85" s="508" t="s">
        <v>33</v>
      </c>
      <c r="F85" s="515"/>
      <c r="G85" s="516"/>
      <c r="H85" s="516"/>
      <c r="I85" s="516"/>
      <c r="J85" s="516"/>
      <c r="K85" s="6">
        <f>Assumptions!$C$13</f>
        <v>0.15</v>
      </c>
      <c r="L85" s="6">
        <f>Assumptions!$C$13</f>
        <v>0.15</v>
      </c>
      <c r="M85" s="6">
        <f>Assumptions!$C$13</f>
        <v>0.15</v>
      </c>
      <c r="N85" s="6">
        <f>Assumptions!$C$13</f>
        <v>0.15</v>
      </c>
      <c r="O85" s="6">
        <f>Assumptions!$C$13</f>
        <v>0.15</v>
      </c>
      <c r="P85" s="6">
        <f>Assumptions!$C$13</f>
        <v>0.15</v>
      </c>
      <c r="Q85" s="6">
        <f>Assumptions!$C$13</f>
        <v>0.15</v>
      </c>
      <c r="R85" s="6">
        <f>Assumptions!$C$13</f>
        <v>0.15</v>
      </c>
      <c r="S85" s="6">
        <f>Assumptions!$C$13</f>
        <v>0.15</v>
      </c>
      <c r="T85" s="6">
        <f>Assumptions!$C$13</f>
        <v>0.15</v>
      </c>
      <c r="U85" s="6">
        <f>Assumptions!$C$13</f>
        <v>0.15</v>
      </c>
      <c r="V85" s="6">
        <f>Assumptions!$C$13</f>
        <v>0.15</v>
      </c>
      <c r="W85" s="6">
        <f>Assumptions!$C$13</f>
        <v>0.15</v>
      </c>
      <c r="X85" s="6">
        <f>Assumptions!$C$13</f>
        <v>0.15</v>
      </c>
      <c r="Y85" s="6">
        <f>Assumptions!$C$13</f>
        <v>0.15</v>
      </c>
      <c r="Z85" s="6">
        <f>Assumptions!$C$13</f>
        <v>0.15</v>
      </c>
      <c r="AA85" s="6">
        <f>Assumptions!$C$13</f>
        <v>0.15</v>
      </c>
      <c r="AB85" s="514"/>
    </row>
    <row r="86" spans="3:28" s="507" customFormat="1" x14ac:dyDescent="0.2">
      <c r="C86" s="593"/>
      <c r="D86" s="3"/>
      <c r="E86" s="508"/>
      <c r="F86" s="515"/>
      <c r="G86" s="516"/>
      <c r="H86" s="516"/>
      <c r="I86" s="516"/>
      <c r="J86" s="516"/>
      <c r="K86" s="516"/>
      <c r="L86" s="516"/>
      <c r="M86" s="516"/>
      <c r="N86" s="516"/>
      <c r="O86" s="516"/>
      <c r="P86" s="516"/>
      <c r="Q86" s="516"/>
      <c r="R86" s="516"/>
      <c r="S86" s="516"/>
      <c r="T86" s="516"/>
      <c r="U86" s="516"/>
      <c r="V86" s="516"/>
      <c r="W86" s="516"/>
      <c r="X86" s="516"/>
      <c r="Y86" s="516"/>
      <c r="Z86" s="516"/>
      <c r="AA86" s="516"/>
      <c r="AB86" s="517"/>
    </row>
    <row r="87" spans="3:28" s="507" customFormat="1" x14ac:dyDescent="0.2">
      <c r="C87" s="593"/>
      <c r="D87" s="600" t="s">
        <v>410</v>
      </c>
      <c r="F87" s="515"/>
      <c r="G87" s="516"/>
      <c r="H87" s="516"/>
      <c r="I87" s="516"/>
      <c r="J87" s="516"/>
      <c r="K87" s="516"/>
      <c r="L87" s="516"/>
      <c r="M87" s="516"/>
      <c r="N87" s="516"/>
      <c r="O87" s="516"/>
      <c r="P87" s="516"/>
      <c r="Q87" s="516"/>
      <c r="R87" s="516"/>
      <c r="S87" s="516"/>
      <c r="T87" s="516"/>
      <c r="U87" s="516"/>
      <c r="V87" s="516"/>
      <c r="W87" s="516"/>
      <c r="X87" s="516"/>
      <c r="Y87" s="516"/>
      <c r="Z87" s="516"/>
      <c r="AA87" s="516"/>
      <c r="AB87" s="517"/>
    </row>
    <row r="88" spans="3:28" s="507" customFormat="1" x14ac:dyDescent="0.2">
      <c r="C88" s="593"/>
      <c r="D88" s="3"/>
      <c r="E88" s="508" t="s">
        <v>34</v>
      </c>
      <c r="F88" s="508"/>
      <c r="G88" s="516"/>
      <c r="H88" s="516"/>
      <c r="I88" s="516"/>
      <c r="J88" s="516"/>
      <c r="K88" s="518">
        <f>Assumptions!C16</f>
        <v>0.28500000000000003</v>
      </c>
      <c r="L88" s="518">
        <f>K88</f>
        <v>0.28500000000000003</v>
      </c>
      <c r="M88" s="518">
        <f t="shared" ref="M88:AA88" si="38">L88</f>
        <v>0.28500000000000003</v>
      </c>
      <c r="N88" s="518">
        <f t="shared" si="38"/>
        <v>0.28500000000000003</v>
      </c>
      <c r="O88" s="518">
        <f t="shared" si="38"/>
        <v>0.28500000000000003</v>
      </c>
      <c r="P88" s="518">
        <f t="shared" si="38"/>
        <v>0.28500000000000003</v>
      </c>
      <c r="Q88" s="518">
        <f t="shared" si="38"/>
        <v>0.28500000000000003</v>
      </c>
      <c r="R88" s="518">
        <f t="shared" si="38"/>
        <v>0.28500000000000003</v>
      </c>
      <c r="S88" s="518">
        <f t="shared" si="38"/>
        <v>0.28500000000000003</v>
      </c>
      <c r="T88" s="518">
        <f t="shared" si="38"/>
        <v>0.28500000000000003</v>
      </c>
      <c r="U88" s="518">
        <f t="shared" si="38"/>
        <v>0.28500000000000003</v>
      </c>
      <c r="V88" s="518">
        <f t="shared" si="38"/>
        <v>0.28500000000000003</v>
      </c>
      <c r="W88" s="518">
        <f t="shared" si="38"/>
        <v>0.28500000000000003</v>
      </c>
      <c r="X88" s="518">
        <f t="shared" si="38"/>
        <v>0.28500000000000003</v>
      </c>
      <c r="Y88" s="518">
        <f t="shared" si="38"/>
        <v>0.28500000000000003</v>
      </c>
      <c r="Z88" s="518">
        <f t="shared" si="38"/>
        <v>0.28500000000000003</v>
      </c>
      <c r="AA88" s="518">
        <f t="shared" si="38"/>
        <v>0.28500000000000003</v>
      </c>
      <c r="AB88" s="519"/>
    </row>
    <row r="89" spans="3:28" s="507" customFormat="1" ht="15.75" customHeight="1" x14ac:dyDescent="0.2">
      <c r="C89" s="593"/>
      <c r="D89" s="3"/>
      <c r="E89" s="508" t="s">
        <v>32</v>
      </c>
      <c r="F89" s="509"/>
      <c r="G89" s="516"/>
      <c r="H89" s="516"/>
      <c r="I89" s="516"/>
      <c r="J89" s="516"/>
      <c r="K89" s="518">
        <f>Assumptions!C17</f>
        <v>0.29849999999999999</v>
      </c>
      <c r="L89" s="518">
        <f>K89</f>
        <v>0.29849999999999999</v>
      </c>
      <c r="M89" s="518">
        <f t="shared" ref="M89:AA89" si="39">L89</f>
        <v>0.29849999999999999</v>
      </c>
      <c r="N89" s="518">
        <f t="shared" si="39"/>
        <v>0.29849999999999999</v>
      </c>
      <c r="O89" s="518">
        <f t="shared" si="39"/>
        <v>0.29849999999999999</v>
      </c>
      <c r="P89" s="518">
        <f t="shared" si="39"/>
        <v>0.29849999999999999</v>
      </c>
      <c r="Q89" s="518">
        <f t="shared" si="39"/>
        <v>0.29849999999999999</v>
      </c>
      <c r="R89" s="518">
        <f t="shared" si="39"/>
        <v>0.29849999999999999</v>
      </c>
      <c r="S89" s="518">
        <f t="shared" si="39"/>
        <v>0.29849999999999999</v>
      </c>
      <c r="T89" s="518">
        <f t="shared" si="39"/>
        <v>0.29849999999999999</v>
      </c>
      <c r="U89" s="518">
        <f t="shared" si="39"/>
        <v>0.29849999999999999</v>
      </c>
      <c r="V89" s="518">
        <f t="shared" si="39"/>
        <v>0.29849999999999999</v>
      </c>
      <c r="W89" s="518">
        <f t="shared" si="39"/>
        <v>0.29849999999999999</v>
      </c>
      <c r="X89" s="518">
        <f t="shared" si="39"/>
        <v>0.29849999999999999</v>
      </c>
      <c r="Y89" s="518">
        <f t="shared" si="39"/>
        <v>0.29849999999999999</v>
      </c>
      <c r="Z89" s="518">
        <f t="shared" si="39"/>
        <v>0.29849999999999999</v>
      </c>
      <c r="AA89" s="518">
        <f t="shared" si="39"/>
        <v>0.29849999999999999</v>
      </c>
      <c r="AB89" s="519"/>
    </row>
    <row r="90" spans="3:28" s="507" customFormat="1" ht="12.75" customHeight="1" x14ac:dyDescent="0.2">
      <c r="C90" s="593"/>
      <c r="D90" s="3"/>
      <c r="E90" s="508" t="s">
        <v>33</v>
      </c>
      <c r="F90" s="509"/>
      <c r="G90" s="516"/>
      <c r="H90" s="516"/>
      <c r="I90" s="516"/>
      <c r="J90" s="516"/>
      <c r="K90" s="518">
        <f>Assumptions!C18</f>
        <v>0.34799999999999998</v>
      </c>
      <c r="L90" s="518">
        <f>K90</f>
        <v>0.34799999999999998</v>
      </c>
      <c r="M90" s="518">
        <f t="shared" ref="M90:AA90" si="40">L90</f>
        <v>0.34799999999999998</v>
      </c>
      <c r="N90" s="518">
        <f t="shared" si="40"/>
        <v>0.34799999999999998</v>
      </c>
      <c r="O90" s="518">
        <f t="shared" si="40"/>
        <v>0.34799999999999998</v>
      </c>
      <c r="P90" s="518">
        <f t="shared" si="40"/>
        <v>0.34799999999999998</v>
      </c>
      <c r="Q90" s="518">
        <f t="shared" si="40"/>
        <v>0.34799999999999998</v>
      </c>
      <c r="R90" s="518">
        <f t="shared" si="40"/>
        <v>0.34799999999999998</v>
      </c>
      <c r="S90" s="518">
        <f t="shared" si="40"/>
        <v>0.34799999999999998</v>
      </c>
      <c r="T90" s="518">
        <f t="shared" si="40"/>
        <v>0.34799999999999998</v>
      </c>
      <c r="U90" s="518">
        <f t="shared" si="40"/>
        <v>0.34799999999999998</v>
      </c>
      <c r="V90" s="518">
        <f t="shared" si="40"/>
        <v>0.34799999999999998</v>
      </c>
      <c r="W90" s="518">
        <f t="shared" si="40"/>
        <v>0.34799999999999998</v>
      </c>
      <c r="X90" s="518">
        <f t="shared" si="40"/>
        <v>0.34799999999999998</v>
      </c>
      <c r="Y90" s="518">
        <f t="shared" si="40"/>
        <v>0.34799999999999998</v>
      </c>
      <c r="Z90" s="518">
        <f t="shared" si="40"/>
        <v>0.34799999999999998</v>
      </c>
      <c r="AA90" s="518">
        <f t="shared" si="40"/>
        <v>0.34799999999999998</v>
      </c>
      <c r="AB90" s="519"/>
    </row>
    <row r="91" spans="3:28" s="507" customFormat="1" x14ac:dyDescent="0.2">
      <c r="C91" s="593"/>
      <c r="D91" s="3"/>
      <c r="E91" s="509" t="s">
        <v>411</v>
      </c>
      <c r="F91" s="515"/>
      <c r="G91" s="516"/>
      <c r="H91" s="516"/>
      <c r="I91" s="516"/>
      <c r="J91" s="516"/>
      <c r="K91" s="518">
        <f>SUMPRODUCT(K88:K90,K83:K85)*1</f>
        <v>0.29917499999999997</v>
      </c>
      <c r="L91" s="518">
        <f>SUMPRODUCT(L88:L90,L83:L85)*1</f>
        <v>0.29917499999999997</v>
      </c>
      <c r="M91" s="518">
        <f t="shared" ref="M91:AA91" si="41">SUMPRODUCT(M88:M90,M83:M85)*1</f>
        <v>0.29917499999999997</v>
      </c>
      <c r="N91" s="518">
        <f t="shared" si="41"/>
        <v>0.29917499999999997</v>
      </c>
      <c r="O91" s="518">
        <f t="shared" si="41"/>
        <v>0.29917499999999997</v>
      </c>
      <c r="P91" s="518">
        <f t="shared" si="41"/>
        <v>0.29917499999999997</v>
      </c>
      <c r="Q91" s="518">
        <f t="shared" si="41"/>
        <v>0.29917499999999997</v>
      </c>
      <c r="R91" s="518">
        <f t="shared" si="41"/>
        <v>0.29917499999999997</v>
      </c>
      <c r="S91" s="518">
        <f t="shared" si="41"/>
        <v>0.29917499999999997</v>
      </c>
      <c r="T91" s="518">
        <f t="shared" si="41"/>
        <v>0.29917499999999997</v>
      </c>
      <c r="U91" s="518">
        <f t="shared" si="41"/>
        <v>0.29917499999999997</v>
      </c>
      <c r="V91" s="518">
        <f t="shared" si="41"/>
        <v>0.29917499999999997</v>
      </c>
      <c r="W91" s="518">
        <f t="shared" si="41"/>
        <v>0.29917499999999997</v>
      </c>
      <c r="X91" s="518">
        <f t="shared" si="41"/>
        <v>0.29917499999999997</v>
      </c>
      <c r="Y91" s="518">
        <f t="shared" si="41"/>
        <v>0.29917499999999997</v>
      </c>
      <c r="Z91" s="518">
        <f t="shared" si="41"/>
        <v>0.29917499999999997</v>
      </c>
      <c r="AA91" s="518">
        <f t="shared" si="41"/>
        <v>0.29917499999999997</v>
      </c>
      <c r="AB91" s="519"/>
    </row>
    <row r="92" spans="3:28" x14ac:dyDescent="0.2">
      <c r="C92" s="474"/>
      <c r="D92" s="475"/>
      <c r="E92" s="520"/>
      <c r="F92" s="521"/>
      <c r="G92" s="510"/>
      <c r="H92" s="510"/>
      <c r="I92" s="510"/>
      <c r="J92" s="510"/>
      <c r="K92" s="510"/>
      <c r="L92" s="510"/>
      <c r="M92" s="510"/>
      <c r="N92" s="510"/>
      <c r="O92" s="510"/>
      <c r="P92" s="510"/>
      <c r="Q92" s="510"/>
      <c r="R92" s="510"/>
      <c r="S92" s="510"/>
      <c r="T92" s="510"/>
      <c r="U92" s="510"/>
      <c r="V92" s="510"/>
      <c r="W92" s="510"/>
      <c r="X92" s="510"/>
      <c r="Y92" s="510"/>
      <c r="Z92" s="510"/>
      <c r="AA92" s="510"/>
      <c r="AB92" s="511"/>
    </row>
    <row r="93" spans="3:28" ht="12.75" customHeight="1" x14ac:dyDescent="0.2">
      <c r="C93" s="474"/>
      <c r="D93" s="475"/>
      <c r="E93" s="752" t="s">
        <v>44</v>
      </c>
      <c r="F93" s="753"/>
      <c r="G93" s="522"/>
      <c r="H93" s="522"/>
      <c r="I93" s="522"/>
      <c r="J93" s="522"/>
      <c r="K93" s="522">
        <f>K91*K41*Assumptions!$C$20</f>
        <v>0</v>
      </c>
      <c r="L93" s="522">
        <f>L91*L41*Assumptions!$C$20</f>
        <v>23.330169114</v>
      </c>
      <c r="M93" s="522">
        <f>M91*M41*Assumptions!$C$20</f>
        <v>24.461170307946066</v>
      </c>
      <c r="N93" s="522">
        <f>N91*N41*Assumptions!$C$20</f>
        <v>25.647000238643113</v>
      </c>
      <c r="O93" s="522">
        <f>O91*O41*Assumptions!$C$20</f>
        <v>26.890316896542256</v>
      </c>
      <c r="P93" s="522">
        <f>P91*P41*Assumptions!$C$20</f>
        <v>28.193907126298758</v>
      </c>
      <c r="Q93" s="522">
        <f>Q91*Q41*Assumptions!$C$20</f>
        <v>29.560692873373064</v>
      </c>
      <c r="R93" s="522">
        <f>R91*R41*Assumptions!$C$20</f>
        <v>30.993737733454903</v>
      </c>
      <c r="S93" s="522">
        <f>S91*S41*Assumptions!$C$20</f>
        <v>32.496253819390752</v>
      </c>
      <c r="T93" s="522">
        <f>T91*T41*Assumptions!$C$20</f>
        <v>34.071608961006518</v>
      </c>
      <c r="U93" s="522">
        <f>U91*U41*Assumptions!$C$20</f>
        <v>35.723334253963678</v>
      </c>
      <c r="V93" s="522">
        <f>V91*V41*Assumptions!$C$20</f>
        <v>37.455131974569227</v>
      </c>
      <c r="W93" s="522">
        <f>W91*W41*Assumptions!$C$20</f>
        <v>39.27088387828023</v>
      </c>
      <c r="X93" s="522">
        <f>X91*X41*Assumptions!$C$20</f>
        <v>41.174659900503713</v>
      </c>
      <c r="Y93" s="522">
        <f>Y91*Y41*Assumptions!$C$20</f>
        <v>43.170727279194423</v>
      </c>
      <c r="Z93" s="522">
        <f>Z91*Z41*Assumptions!$C$20</f>
        <v>45.263560119698312</v>
      </c>
      <c r="AA93" s="522">
        <f>AA91*AA41*Assumptions!$C$20</f>
        <v>47.457849423281118</v>
      </c>
      <c r="AB93" s="523"/>
    </row>
    <row r="94" spans="3:28" ht="12.75" customHeight="1" x14ac:dyDescent="0.2">
      <c r="C94" s="474"/>
      <c r="D94" s="475"/>
      <c r="E94" s="509"/>
      <c r="F94" s="753"/>
      <c r="G94" s="516"/>
      <c r="H94" s="516"/>
      <c r="I94" s="516"/>
      <c r="J94" s="516"/>
      <c r="K94" s="516"/>
      <c r="L94" s="516"/>
      <c r="M94" s="516"/>
      <c r="N94" s="516"/>
      <c r="O94" s="516"/>
      <c r="P94" s="516"/>
      <c r="Q94" s="516"/>
      <c r="R94" s="516"/>
      <c r="S94" s="516"/>
      <c r="T94" s="516"/>
      <c r="U94" s="516"/>
      <c r="V94" s="516"/>
      <c r="W94" s="516"/>
      <c r="X94" s="516"/>
      <c r="Y94" s="516"/>
      <c r="Z94" s="516"/>
      <c r="AA94" s="516"/>
      <c r="AB94" s="517"/>
    </row>
    <row r="95" spans="3:28" s="451" customFormat="1" ht="12.75" customHeight="1" x14ac:dyDescent="0.2">
      <c r="C95" s="524"/>
      <c r="D95" s="525"/>
      <c r="E95" s="525" t="s">
        <v>31</v>
      </c>
      <c r="F95" s="526"/>
      <c r="G95" s="487">
        <f>G93*'ERR &amp; Sensitivity Analysis'!$G$10</f>
        <v>0</v>
      </c>
      <c r="H95" s="487">
        <f>H93*'ERR &amp; Sensitivity Analysis'!$G$10</f>
        <v>0</v>
      </c>
      <c r="I95" s="487">
        <f>I93*'ERR &amp; Sensitivity Analysis'!$G$10</f>
        <v>0</v>
      </c>
      <c r="J95" s="487">
        <f>J93*'ERR &amp; Sensitivity Analysis'!$G$10</f>
        <v>0</v>
      </c>
      <c r="K95" s="487">
        <f>K93*'ERR &amp; Sensitivity Analysis'!$G$10</f>
        <v>0</v>
      </c>
      <c r="L95" s="487">
        <f>L93*'ERR &amp; Sensitivity Analysis'!$G$10</f>
        <v>23.330169114</v>
      </c>
      <c r="M95" s="487">
        <f>M93*'ERR &amp; Sensitivity Analysis'!$G$10</f>
        <v>24.461170307946066</v>
      </c>
      <c r="N95" s="487">
        <f>N93*'ERR &amp; Sensitivity Analysis'!$G$10</f>
        <v>25.647000238643113</v>
      </c>
      <c r="O95" s="487">
        <f>O93*'ERR &amp; Sensitivity Analysis'!$G$10</f>
        <v>26.890316896542256</v>
      </c>
      <c r="P95" s="487">
        <f>P93*'ERR &amp; Sensitivity Analysis'!$G$10</f>
        <v>28.193907126298758</v>
      </c>
      <c r="Q95" s="487">
        <f>Q93*'ERR &amp; Sensitivity Analysis'!$G$10</f>
        <v>29.560692873373064</v>
      </c>
      <c r="R95" s="487">
        <f>R93*'ERR &amp; Sensitivity Analysis'!$G$10</f>
        <v>30.993737733454903</v>
      </c>
      <c r="S95" s="487">
        <f>S93*'ERR &amp; Sensitivity Analysis'!$G$10</f>
        <v>32.496253819390752</v>
      </c>
      <c r="T95" s="487">
        <f>T93*'ERR &amp; Sensitivity Analysis'!$G$10</f>
        <v>34.071608961006518</v>
      </c>
      <c r="U95" s="487">
        <f>U93*'ERR &amp; Sensitivity Analysis'!$G$10</f>
        <v>35.723334253963678</v>
      </c>
      <c r="V95" s="487">
        <f>V93*'ERR &amp; Sensitivity Analysis'!$G$10</f>
        <v>37.455131974569227</v>
      </c>
      <c r="W95" s="487">
        <f>W93*'ERR &amp; Sensitivity Analysis'!$G$10</f>
        <v>39.27088387828023</v>
      </c>
      <c r="X95" s="487">
        <f>X93*'ERR &amp; Sensitivity Analysis'!$G$10</f>
        <v>41.174659900503713</v>
      </c>
      <c r="Y95" s="487">
        <f>Y93*'ERR &amp; Sensitivity Analysis'!$G$10</f>
        <v>43.170727279194423</v>
      </c>
      <c r="Z95" s="487">
        <f>Z93*'ERR &amp; Sensitivity Analysis'!$G$10</f>
        <v>45.263560119698312</v>
      </c>
      <c r="AA95" s="487">
        <f>AA93*'ERR &amp; Sensitivity Analysis'!$G$10</f>
        <v>47.457849423281118</v>
      </c>
      <c r="AB95" s="527"/>
    </row>
    <row r="96" spans="3:28" x14ac:dyDescent="0.2">
      <c r="C96" s="474"/>
      <c r="D96" s="475"/>
      <c r="E96" s="475" t="s">
        <v>30</v>
      </c>
      <c r="F96" s="546"/>
      <c r="G96" s="486">
        <f t="shared" ref="G96:AA96" si="42">G95-G74</f>
        <v>0</v>
      </c>
      <c r="H96" s="486">
        <f t="shared" si="42"/>
        <v>-5.0818533091038178</v>
      </c>
      <c r="I96" s="486">
        <f t="shared" si="42"/>
        <v>-12.948283773880961</v>
      </c>
      <c r="J96" s="486">
        <f t="shared" si="42"/>
        <v>-23.808134681006926</v>
      </c>
      <c r="K96" s="486">
        <f t="shared" si="42"/>
        <v>-27.149627267814918</v>
      </c>
      <c r="L96" s="486">
        <f>L95-L74</f>
        <v>18.754202027716818</v>
      </c>
      <c r="M96" s="486">
        <f t="shared" si="42"/>
        <v>20.320272051274866</v>
      </c>
      <c r="N96" s="486">
        <f t="shared" si="42"/>
        <v>21.305359293420466</v>
      </c>
      <c r="O96" s="486">
        <f t="shared" si="42"/>
        <v>22.338201647908527</v>
      </c>
      <c r="P96" s="486">
        <f t="shared" si="42"/>
        <v>23.421114189645383</v>
      </c>
      <c r="Q96" s="486">
        <f t="shared" si="42"/>
        <v>24.556524223863281</v>
      </c>
      <c r="R96" s="486">
        <f t="shared" si="42"/>
        <v>25.746976726828137</v>
      </c>
      <c r="S96" s="486">
        <f t="shared" si="42"/>
        <v>26.99514005030229</v>
      </c>
      <c r="T96" s="486">
        <f t="shared" si="42"/>
        <v>28.303811902548386</v>
      </c>
      <c r="U96" s="486">
        <f t="shared" si="42"/>
        <v>29.675925619280829</v>
      </c>
      <c r="V96" s="486">
        <f t="shared" si="42"/>
        <v>31.114556738620649</v>
      </c>
      <c r="W96" s="486">
        <f t="shared" si="42"/>
        <v>32.62292989479144</v>
      </c>
      <c r="X96" s="486">
        <f t="shared" si="42"/>
        <v>34.20442604600823</v>
      </c>
      <c r="Y96" s="486">
        <f t="shared" si="42"/>
        <v>35.862590052760368</v>
      </c>
      <c r="Z96" s="486">
        <f t="shared" si="42"/>
        <v>37.601138623474775</v>
      </c>
      <c r="AA96" s="486">
        <f t="shared" si="42"/>
        <v>39.423968645369548</v>
      </c>
      <c r="AB96" s="587"/>
    </row>
    <row r="97" spans="3:28" ht="13.5" thickBot="1" x14ac:dyDescent="0.25">
      <c r="C97" s="588"/>
      <c r="D97" s="589"/>
      <c r="E97" s="589"/>
      <c r="F97" s="589"/>
      <c r="G97" s="589"/>
      <c r="H97" s="589"/>
      <c r="I97" s="589"/>
      <c r="J97" s="589"/>
      <c r="K97" s="589"/>
      <c r="L97" s="589"/>
      <c r="M97" s="589"/>
      <c r="N97" s="589"/>
      <c r="O97" s="589"/>
      <c r="P97" s="589"/>
      <c r="Q97" s="589"/>
      <c r="R97" s="589"/>
      <c r="S97" s="589"/>
      <c r="T97" s="589"/>
      <c r="U97" s="589"/>
      <c r="V97" s="589"/>
      <c r="W97" s="589"/>
      <c r="X97" s="589"/>
      <c r="Y97" s="589"/>
      <c r="Z97" s="589"/>
      <c r="AA97" s="589"/>
      <c r="AB97" s="531"/>
    </row>
    <row r="101" spans="3:28" x14ac:dyDescent="0.2">
      <c r="Q101" s="547"/>
    </row>
    <row r="102" spans="3:28" x14ac:dyDescent="0.2">
      <c r="Q102" s="547"/>
    </row>
    <row r="103" spans="3:28" x14ac:dyDescent="0.2">
      <c r="Q103" s="547"/>
    </row>
    <row r="104" spans="3:28" x14ac:dyDescent="0.2">
      <c r="Q104" s="547"/>
    </row>
    <row r="105" spans="3:28" x14ac:dyDescent="0.2">
      <c r="Q105" s="547"/>
    </row>
    <row r="106" spans="3:28" x14ac:dyDescent="0.2">
      <c r="Q106" s="547"/>
    </row>
    <row r="107" spans="3:28" x14ac:dyDescent="0.2">
      <c r="Q107" s="547"/>
    </row>
    <row r="108" spans="3:28" x14ac:dyDescent="0.2">
      <c r="Q108" s="547"/>
    </row>
  </sheetData>
  <mergeCells count="4">
    <mergeCell ref="C35:D35"/>
    <mergeCell ref="C28:D29"/>
    <mergeCell ref="H6:K6"/>
    <mergeCell ref="D32:E32"/>
  </mergeCells>
  <phoneticPr fontId="2" type="noConversion"/>
  <pageMargins left="0.75" right="0.75" top="1" bottom="1" header="0.5" footer="0.5"/>
  <pageSetup paperSize="8" scale="36"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34"/>
  <sheetViews>
    <sheetView showGridLines="0" zoomScale="80" zoomScaleNormal="80" workbookViewId="0"/>
  </sheetViews>
  <sheetFormatPr defaultColWidth="9.33203125" defaultRowHeight="12.75" x14ac:dyDescent="0.2"/>
  <cols>
    <col min="1" max="1" width="3.1640625" style="603" customWidth="1"/>
    <col min="2" max="2" width="16" style="2" customWidth="1"/>
    <col min="3" max="4" width="13.6640625" style="2" customWidth="1"/>
    <col min="5" max="5" width="16.6640625" style="2" bestFit="1" customWidth="1"/>
    <col min="6" max="6" width="14.33203125" style="2" bestFit="1" customWidth="1"/>
    <col min="7" max="7" width="16.1640625" style="2" customWidth="1"/>
    <col min="8" max="8" width="13.6640625" style="2" customWidth="1"/>
    <col min="9" max="9" width="22.1640625" style="2" customWidth="1"/>
    <col min="10" max="10" width="13.6640625" style="2" customWidth="1"/>
    <col min="11" max="11" width="14.33203125" style="2" customWidth="1"/>
    <col min="12" max="15" width="13.6640625" style="2" customWidth="1"/>
    <col min="16" max="16384" width="9.33203125" style="2"/>
  </cols>
  <sheetData>
    <row r="1" spans="1:16" ht="20.25" x14ac:dyDescent="0.3">
      <c r="B1" s="63" t="s">
        <v>140</v>
      </c>
      <c r="C1" s="254"/>
      <c r="D1" s="621"/>
      <c r="E1" s="621"/>
      <c r="F1" s="621"/>
      <c r="G1" s="621"/>
      <c r="H1" s="621"/>
      <c r="L1" s="622" t="s">
        <v>450</v>
      </c>
    </row>
    <row r="2" spans="1:16" ht="18" x14ac:dyDescent="0.25">
      <c r="A2" s="603">
        <f>A29</f>
        <v>1</v>
      </c>
      <c r="B2" s="252" t="s">
        <v>235</v>
      </c>
      <c r="C2" s="255"/>
      <c r="D2" s="254"/>
      <c r="E2" s="254"/>
      <c r="F2" s="254"/>
      <c r="G2" s="623"/>
      <c r="H2" s="255"/>
      <c r="I2" s="255"/>
    </row>
    <row r="3" spans="1:16" x14ac:dyDescent="0.2">
      <c r="B3" s="254"/>
      <c r="C3" s="255"/>
      <c r="D3" s="254"/>
      <c r="E3" s="254"/>
      <c r="F3" s="254"/>
      <c r="G3" s="624"/>
      <c r="H3" s="255"/>
      <c r="I3" s="255"/>
    </row>
    <row r="4" spans="1:16" x14ac:dyDescent="0.2">
      <c r="A4" s="603">
        <f>A30</f>
        <v>2</v>
      </c>
      <c r="B4" s="1" t="s">
        <v>290</v>
      </c>
    </row>
    <row r="5" spans="1:16" x14ac:dyDescent="0.2">
      <c r="B5" s="1"/>
    </row>
    <row r="6" spans="1:16" ht="38.25" x14ac:dyDescent="0.2">
      <c r="B6" s="631"/>
      <c r="C6" s="614" t="s">
        <v>2</v>
      </c>
      <c r="D6" s="614" t="s">
        <v>3</v>
      </c>
      <c r="E6" s="614" t="s">
        <v>4</v>
      </c>
      <c r="F6" s="614" t="s">
        <v>46</v>
      </c>
      <c r="G6" s="614" t="s">
        <v>5</v>
      </c>
      <c r="H6" s="614" t="s">
        <v>6</v>
      </c>
      <c r="I6" s="614" t="s">
        <v>7</v>
      </c>
      <c r="J6" s="614" t="s">
        <v>8</v>
      </c>
      <c r="K6" s="614" t="s">
        <v>291</v>
      </c>
      <c r="L6" s="614" t="s">
        <v>292</v>
      </c>
      <c r="M6" s="614" t="s">
        <v>19</v>
      </c>
      <c r="N6" s="614" t="s">
        <v>9</v>
      </c>
      <c r="O6" s="614" t="s">
        <v>10</v>
      </c>
      <c r="P6" s="615" t="s">
        <v>11</v>
      </c>
    </row>
    <row r="7" spans="1:16" x14ac:dyDescent="0.2">
      <c r="B7" s="616" t="s">
        <v>12</v>
      </c>
      <c r="C7" s="625">
        <v>0.35</v>
      </c>
      <c r="D7" s="626">
        <v>2500</v>
      </c>
      <c r="E7" s="617">
        <v>0.1</v>
      </c>
      <c r="F7" s="618">
        <v>1.4</v>
      </c>
      <c r="G7" s="3">
        <v>30</v>
      </c>
      <c r="H7" s="632">
        <f t="shared" ref="H7:H12" si="0">PMT(E7,G7,D7)*-1*F7</f>
        <v>371.27736888421867</v>
      </c>
      <c r="I7" s="617">
        <v>0.55000000000000004</v>
      </c>
      <c r="J7" s="3">
        <f>0.02*D7</f>
        <v>50</v>
      </c>
      <c r="K7" s="547" t="s">
        <v>13</v>
      </c>
      <c r="L7" s="627">
        <v>0</v>
      </c>
      <c r="M7" s="628">
        <v>0</v>
      </c>
      <c r="N7" s="628">
        <v>5.0000000000000001E-3</v>
      </c>
      <c r="O7" s="628">
        <f t="shared" ref="O7:O12" si="1">(J7+H7)/(8760*I7)</f>
        <v>8.7438225173146256E-2</v>
      </c>
      <c r="P7" s="633">
        <f t="shared" ref="P7:P12" si="2">O7+M7+N7</f>
        <v>9.243822517314626E-2</v>
      </c>
    </row>
    <row r="8" spans="1:16" x14ac:dyDescent="0.2">
      <c r="A8" s="603">
        <f>A31</f>
        <v>3</v>
      </c>
      <c r="B8" s="616" t="s">
        <v>14</v>
      </c>
      <c r="C8" s="625">
        <v>0.25</v>
      </c>
      <c r="D8" s="626">
        <v>1100</v>
      </c>
      <c r="E8" s="617">
        <v>0.1</v>
      </c>
      <c r="F8" s="618">
        <v>1.2</v>
      </c>
      <c r="G8" s="3">
        <v>20</v>
      </c>
      <c r="H8" s="632">
        <f t="shared" si="0"/>
        <v>155.04670469976045</v>
      </c>
      <c r="I8" s="617">
        <v>0.6</v>
      </c>
      <c r="J8" s="3">
        <f>0.035*D8</f>
        <v>38.500000000000007</v>
      </c>
      <c r="K8" s="629">
        <v>0.47</v>
      </c>
      <c r="L8" s="627">
        <f>9.5/1.05</f>
        <v>9.0476190476190474</v>
      </c>
      <c r="M8" s="628">
        <f>(0.36/K8)*L8*0.01</f>
        <v>6.930091185410335E-2</v>
      </c>
      <c r="N8" s="628">
        <v>1.4999999999999999E-2</v>
      </c>
      <c r="O8" s="628">
        <f t="shared" si="1"/>
        <v>3.6823954471035092E-2</v>
      </c>
      <c r="P8" s="633">
        <f t="shared" si="2"/>
        <v>0.12112486632513844</v>
      </c>
    </row>
    <row r="9" spans="1:16" x14ac:dyDescent="0.2">
      <c r="A9" s="603">
        <f>A32</f>
        <v>4</v>
      </c>
      <c r="B9" s="616" t="s">
        <v>15</v>
      </c>
      <c r="C9" s="625">
        <v>0.1</v>
      </c>
      <c r="D9" s="626">
        <v>600</v>
      </c>
      <c r="E9" s="617">
        <v>0.1</v>
      </c>
      <c r="F9" s="618">
        <v>1.1499999999999999</v>
      </c>
      <c r="G9" s="3">
        <v>15</v>
      </c>
      <c r="H9" s="632">
        <f t="shared" si="0"/>
        <v>90.716906052286831</v>
      </c>
      <c r="I9" s="617">
        <v>0.15</v>
      </c>
      <c r="J9" s="3">
        <f>0.03*D9</f>
        <v>18</v>
      </c>
      <c r="K9" s="629">
        <v>0.32</v>
      </c>
      <c r="L9" s="627">
        <v>10</v>
      </c>
      <c r="M9" s="628">
        <f>(0.36/K9)*L9*0.01</f>
        <v>0.1125</v>
      </c>
      <c r="N9" s="628">
        <v>0.01</v>
      </c>
      <c r="O9" s="628">
        <f t="shared" si="1"/>
        <v>8.2737371424875819E-2</v>
      </c>
      <c r="P9" s="633">
        <f t="shared" si="2"/>
        <v>0.20523737142487583</v>
      </c>
    </row>
    <row r="10" spans="1:16" x14ac:dyDescent="0.2">
      <c r="B10" s="616" t="s">
        <v>16</v>
      </c>
      <c r="C10" s="625">
        <v>0.2</v>
      </c>
      <c r="D10" s="626">
        <v>2500</v>
      </c>
      <c r="E10" s="617">
        <v>0.1</v>
      </c>
      <c r="F10" s="618">
        <v>1.3</v>
      </c>
      <c r="G10" s="3">
        <v>20</v>
      </c>
      <c r="H10" s="632">
        <f t="shared" si="0"/>
        <v>381.74378051077383</v>
      </c>
      <c r="I10" s="617">
        <v>0.75</v>
      </c>
      <c r="J10" s="3">
        <f>0.04*D10</f>
        <v>100</v>
      </c>
      <c r="K10" s="629">
        <v>0.36</v>
      </c>
      <c r="L10" s="627">
        <v>5</v>
      </c>
      <c r="M10" s="628">
        <f>(0.36/K10)*L10*0.01</f>
        <v>0.05</v>
      </c>
      <c r="N10" s="628">
        <v>0.02</v>
      </c>
      <c r="O10" s="628">
        <f t="shared" si="1"/>
        <v>7.3324776333451122E-2</v>
      </c>
      <c r="P10" s="633">
        <f t="shared" si="2"/>
        <v>0.14332477633345111</v>
      </c>
    </row>
    <row r="11" spans="1:16" x14ac:dyDescent="0.2">
      <c r="A11" s="603">
        <f>A33</f>
        <v>5</v>
      </c>
      <c r="B11" s="616" t="s">
        <v>17</v>
      </c>
      <c r="C11" s="625">
        <v>0.08</v>
      </c>
      <c r="D11" s="626">
        <v>1800</v>
      </c>
      <c r="E11" s="617">
        <v>0.1</v>
      </c>
      <c r="F11" s="618">
        <v>1.05</v>
      </c>
      <c r="G11" s="3">
        <v>20</v>
      </c>
      <c r="H11" s="632">
        <f t="shared" si="0"/>
        <v>221.99869082011156</v>
      </c>
      <c r="I11" s="617">
        <v>0.1</v>
      </c>
      <c r="J11" s="3">
        <f>0.02*D11</f>
        <v>36</v>
      </c>
      <c r="K11" s="629">
        <v>0.36</v>
      </c>
      <c r="L11" s="627">
        <v>13</v>
      </c>
      <c r="M11" s="628">
        <f>(0.36/K11)*L11*0.01</f>
        <v>0.13</v>
      </c>
      <c r="N11" s="628">
        <v>0.01</v>
      </c>
      <c r="O11" s="628">
        <f t="shared" si="1"/>
        <v>0.29451905344761592</v>
      </c>
      <c r="P11" s="633">
        <f t="shared" si="2"/>
        <v>0.43451905344761593</v>
      </c>
    </row>
    <row r="12" spans="1:16" x14ac:dyDescent="0.2">
      <c r="A12" s="603">
        <f>A34</f>
        <v>6</v>
      </c>
      <c r="B12" s="616" t="s">
        <v>18</v>
      </c>
      <c r="C12" s="625">
        <v>0.02</v>
      </c>
      <c r="D12" s="626">
        <v>1200</v>
      </c>
      <c r="E12" s="617">
        <v>0.1</v>
      </c>
      <c r="F12" s="618">
        <v>1.05</v>
      </c>
      <c r="G12" s="3">
        <v>20</v>
      </c>
      <c r="H12" s="632">
        <f t="shared" si="0"/>
        <v>147.99912721340772</v>
      </c>
      <c r="I12" s="617">
        <v>0.05</v>
      </c>
      <c r="J12" s="3">
        <f>0.04*D12</f>
        <v>48</v>
      </c>
      <c r="K12" s="629">
        <v>0.38</v>
      </c>
      <c r="L12" s="627">
        <v>25</v>
      </c>
      <c r="M12" s="628">
        <f>(0.36/K12)*L12*0.01</f>
        <v>0.23684210526315788</v>
      </c>
      <c r="N12" s="628">
        <v>5.0000000000000001E-3</v>
      </c>
      <c r="O12" s="628">
        <f t="shared" si="1"/>
        <v>0.44748659181143313</v>
      </c>
      <c r="P12" s="633">
        <f t="shared" si="2"/>
        <v>0.68932869707459099</v>
      </c>
    </row>
    <row r="13" spans="1:16" x14ac:dyDescent="0.2">
      <c r="B13" s="634"/>
      <c r="C13" s="635">
        <f>SUM(C7:C12)</f>
        <v>0.99999999999999989</v>
      </c>
      <c r="D13" s="529"/>
      <c r="E13" s="630"/>
      <c r="F13" s="630"/>
      <c r="G13" s="529"/>
      <c r="H13" s="529"/>
      <c r="I13" s="529"/>
      <c r="J13" s="529"/>
      <c r="K13" s="529"/>
      <c r="L13" s="529"/>
      <c r="M13" s="529"/>
      <c r="N13" s="529"/>
      <c r="O13" s="529"/>
      <c r="P13" s="619">
        <f>SUMPRODUCT(C7:C12,P7:P12)</f>
        <v>0.1603713860183647</v>
      </c>
    </row>
    <row r="14" spans="1:16" x14ac:dyDescent="0.2">
      <c r="E14" s="636"/>
      <c r="O14" s="637"/>
    </row>
    <row r="15" spans="1:16" ht="13.5" thickBot="1" x14ac:dyDescent="0.25">
      <c r="O15" s="637"/>
    </row>
    <row r="17" spans="1:15" ht="13.5" thickBot="1" x14ac:dyDescent="0.25">
      <c r="B17" s="1" t="s">
        <v>434</v>
      </c>
      <c r="D17" s="3"/>
    </row>
    <row r="18" spans="1:15" ht="13.5" customHeight="1" thickBot="1" x14ac:dyDescent="0.25">
      <c r="B18" s="421"/>
      <c r="C18" s="421"/>
      <c r="D18" s="813" t="s">
        <v>67</v>
      </c>
      <c r="E18" s="423" t="s">
        <v>51</v>
      </c>
      <c r="F18" s="423"/>
      <c r="G18" s="817" t="s">
        <v>52</v>
      </c>
      <c r="I18" s="1" t="s">
        <v>423</v>
      </c>
      <c r="J18" s="1"/>
      <c r="K18" s="1"/>
      <c r="L18" s="1"/>
      <c r="M18" s="1"/>
    </row>
    <row r="19" spans="1:15" ht="23.25" thickBot="1" x14ac:dyDescent="0.25">
      <c r="B19" s="422"/>
      <c r="C19" s="422"/>
      <c r="D19" s="814"/>
      <c r="E19" s="422" t="s">
        <v>53</v>
      </c>
      <c r="F19" s="422" t="s">
        <v>54</v>
      </c>
      <c r="G19" s="818"/>
      <c r="I19" s="607"/>
      <c r="J19" s="607"/>
      <c r="K19" s="608" t="s">
        <v>34</v>
      </c>
      <c r="L19" s="608" t="s">
        <v>424</v>
      </c>
      <c r="M19" s="608" t="s">
        <v>425</v>
      </c>
    </row>
    <row r="20" spans="1:15" ht="45.75" thickBot="1" x14ac:dyDescent="0.25">
      <c r="B20" s="7" t="s">
        <v>64</v>
      </c>
      <c r="C20" s="7"/>
      <c r="D20" s="420">
        <f>P13</f>
        <v>0.1603713860183647</v>
      </c>
      <c r="E20" s="8">
        <v>5.5E-2</v>
      </c>
      <c r="F20" s="11">
        <v>0.15</v>
      </c>
      <c r="G20" s="420">
        <f>D20*(1+E20)*(1+F20)</f>
        <v>0.19457058408678093</v>
      </c>
      <c r="I20" s="7" t="s">
        <v>426</v>
      </c>
      <c r="J20" s="10" t="s">
        <v>427</v>
      </c>
      <c r="K20" s="816" t="s">
        <v>428</v>
      </c>
      <c r="L20" s="816"/>
      <c r="M20" s="816"/>
    </row>
    <row r="21" spans="1:15" ht="13.5" thickBot="1" x14ac:dyDescent="0.25">
      <c r="B21" s="7" t="s">
        <v>65</v>
      </c>
      <c r="C21" s="7"/>
      <c r="D21" s="420">
        <v>1.8</v>
      </c>
      <c r="E21" s="8"/>
      <c r="F21" s="11">
        <v>0.15</v>
      </c>
      <c r="G21" s="420">
        <f>D21*(1+E21)*(1+F21)</f>
        <v>2.0699999999999998</v>
      </c>
      <c r="I21" s="7" t="s">
        <v>429</v>
      </c>
      <c r="J21" s="7">
        <v>267</v>
      </c>
      <c r="K21" s="9">
        <v>0.75</v>
      </c>
      <c r="L21" s="9">
        <v>0.95</v>
      </c>
      <c r="M21" s="9">
        <v>0.8</v>
      </c>
    </row>
    <row r="22" spans="1:15" ht="13.5" thickBot="1" x14ac:dyDescent="0.25">
      <c r="B22" s="7" t="s">
        <v>68</v>
      </c>
      <c r="C22" s="7"/>
      <c r="D22" s="420">
        <v>21.85</v>
      </c>
      <c r="E22" s="7"/>
      <c r="F22" s="9"/>
      <c r="G22" s="420">
        <v>21.85</v>
      </c>
      <c r="I22" s="7" t="s">
        <v>430</v>
      </c>
      <c r="J22" s="7">
        <v>861</v>
      </c>
      <c r="K22" s="9">
        <v>0.2</v>
      </c>
      <c r="L22" s="9">
        <v>0.05</v>
      </c>
      <c r="M22" s="9">
        <v>0.15</v>
      </c>
    </row>
    <row r="23" spans="1:15" ht="13.5" thickBot="1" x14ac:dyDescent="0.25">
      <c r="B23" s="7" t="s">
        <v>66</v>
      </c>
      <c r="C23" s="7"/>
      <c r="D23" s="420">
        <v>2.8</v>
      </c>
      <c r="E23" s="319"/>
      <c r="F23" s="9"/>
      <c r="G23" s="420">
        <f>D23*(1+E23)*(1+F23)</f>
        <v>2.8</v>
      </c>
      <c r="I23" s="7" t="s">
        <v>431</v>
      </c>
      <c r="J23" s="609">
        <v>1290</v>
      </c>
      <c r="K23" s="9">
        <v>0.05</v>
      </c>
      <c r="L23" s="9">
        <v>0</v>
      </c>
      <c r="M23" s="9">
        <v>0.05</v>
      </c>
    </row>
    <row r="24" spans="1:15" ht="13.5" thickBot="1" x14ac:dyDescent="0.25">
      <c r="B24" s="10" t="s">
        <v>55</v>
      </c>
      <c r="C24" s="10"/>
      <c r="D24" s="420">
        <f>D22+D23</f>
        <v>24.650000000000002</v>
      </c>
      <c r="E24" s="7"/>
      <c r="F24" s="7"/>
      <c r="G24" s="420">
        <f>G20+G21+G23</f>
        <v>5.0645705840867805</v>
      </c>
      <c r="I24" s="610"/>
      <c r="J24" s="7"/>
      <c r="K24" s="816" t="s">
        <v>432</v>
      </c>
      <c r="L24" s="816"/>
      <c r="M24" s="816"/>
    </row>
    <row r="25" spans="1:15" ht="15.75" thickBot="1" x14ac:dyDescent="0.25">
      <c r="B25" s="3"/>
      <c r="C25" s="620"/>
      <c r="I25" s="611"/>
      <c r="J25" s="7"/>
      <c r="K25" s="9">
        <v>1.5</v>
      </c>
      <c r="L25" s="9">
        <v>1</v>
      </c>
      <c r="M25" s="9">
        <v>1</v>
      </c>
    </row>
    <row r="26" spans="1:15" ht="23.25" thickBot="1" x14ac:dyDescent="0.25">
      <c r="B26" s="3"/>
      <c r="C26" s="620"/>
      <c r="I26" s="613" t="s">
        <v>433</v>
      </c>
      <c r="J26" s="613"/>
      <c r="K26" s="612">
        <f>SUMPRODUCT($J21:$J23,K21:K23)*K25</f>
        <v>655.42500000000007</v>
      </c>
      <c r="L26" s="612">
        <f t="shared" ref="L26:M26" si="3">SUMPRODUCT($J21:$J23,L21:L23)*L25</f>
        <v>296.7</v>
      </c>
      <c r="M26" s="612">
        <f t="shared" si="3"/>
        <v>407.25</v>
      </c>
    </row>
    <row r="28" spans="1:15" ht="15" x14ac:dyDescent="0.2">
      <c r="B28" s="604" t="s">
        <v>416</v>
      </c>
      <c r="C28" s="605"/>
    </row>
    <row r="29" spans="1:15" ht="15" x14ac:dyDescent="0.2">
      <c r="A29" s="606">
        <v>1</v>
      </c>
      <c r="B29" s="256" t="s">
        <v>417</v>
      </c>
      <c r="C29" s="605"/>
    </row>
    <row r="30" spans="1:15" x14ac:dyDescent="0.2">
      <c r="A30" s="603">
        <v>2</v>
      </c>
      <c r="B30" s="815" t="s">
        <v>418</v>
      </c>
      <c r="C30" s="815"/>
      <c r="D30" s="815"/>
      <c r="E30" s="815"/>
      <c r="F30" s="815"/>
      <c r="G30" s="815"/>
      <c r="H30" s="815"/>
      <c r="I30" s="815"/>
      <c r="J30" s="815"/>
      <c r="K30" s="815"/>
      <c r="L30" s="815"/>
      <c r="M30" s="815"/>
      <c r="N30" s="815"/>
      <c r="O30" s="815"/>
    </row>
    <row r="31" spans="1:15" x14ac:dyDescent="0.2">
      <c r="A31" s="603">
        <v>3</v>
      </c>
      <c r="B31" s="256" t="s">
        <v>419</v>
      </c>
      <c r="C31" s="256"/>
    </row>
    <row r="32" spans="1:15" x14ac:dyDescent="0.2">
      <c r="A32" s="606">
        <v>4</v>
      </c>
      <c r="B32" s="256" t="s">
        <v>420</v>
      </c>
      <c r="C32" s="256"/>
    </row>
    <row r="33" spans="1:3" x14ac:dyDescent="0.2">
      <c r="A33" s="603">
        <v>5</v>
      </c>
      <c r="B33" s="256" t="s">
        <v>421</v>
      </c>
      <c r="C33" s="256"/>
    </row>
    <row r="34" spans="1:3" x14ac:dyDescent="0.2">
      <c r="A34" s="606">
        <v>6</v>
      </c>
      <c r="B34" s="2" t="s">
        <v>422</v>
      </c>
    </row>
  </sheetData>
  <mergeCells count="5">
    <mergeCell ref="D18:D19"/>
    <mergeCell ref="B30:O30"/>
    <mergeCell ref="K20:M20"/>
    <mergeCell ref="K24:M24"/>
    <mergeCell ref="G18:G19"/>
  </mergeCells>
  <phoneticPr fontId="2" type="noConversion"/>
  <conditionalFormatting sqref="C13">
    <cfRule type="expression" dxfId="2" priority="1" stopIfTrue="1">
      <formula>"OR(sum($C$5:$C$10)&gt;$C$11&lt;sum($C$5:$C$10)&lt;$C$11)"</formula>
    </cfRule>
  </conditionalFormatting>
  <pageMargins left="0.75" right="0.75" top="1" bottom="1" header="0.5" footer="0.5"/>
  <pageSetup paperSize="9" orientation="portrait" horizontalDpi="300" verticalDpi="300" r:id="rId1"/>
  <headerFooter alignWithMargins="0">
    <oddFooter>&amp;LIPF
&amp;D|&amp;T&amp;C&amp;P of &amp;N&amp;R&amp;F/&amp;A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K15"/>
  <sheetViews>
    <sheetView showGridLines="0" zoomScale="80" zoomScaleNormal="80" workbookViewId="0"/>
  </sheetViews>
  <sheetFormatPr defaultColWidth="9.33203125" defaultRowHeight="12.75" x14ac:dyDescent="0.2"/>
  <cols>
    <col min="1" max="1" width="4.83203125" style="643" customWidth="1"/>
    <col min="2" max="2" width="4.6640625" style="643" customWidth="1"/>
    <col min="3" max="3" width="44" style="643" customWidth="1"/>
    <col min="4" max="4" width="20.1640625" style="643" customWidth="1"/>
    <col min="5" max="12" width="17.1640625" style="643" customWidth="1"/>
    <col min="13" max="16384" width="9.33203125" style="643"/>
  </cols>
  <sheetData>
    <row r="1" spans="2:11" ht="20.25" x14ac:dyDescent="0.3">
      <c r="B1" s="436" t="s">
        <v>140</v>
      </c>
      <c r="C1" s="640"/>
      <c r="D1" s="641"/>
      <c r="E1" s="641"/>
      <c r="F1" s="641"/>
      <c r="G1" s="641"/>
      <c r="H1" s="641"/>
      <c r="I1" s="642" t="s">
        <v>450</v>
      </c>
    </row>
    <row r="2" spans="2:11" ht="18" x14ac:dyDescent="0.25">
      <c r="B2" s="644" t="s">
        <v>234</v>
      </c>
      <c r="C2" s="82"/>
      <c r="D2" s="640"/>
      <c r="E2" s="640"/>
      <c r="F2" s="640"/>
      <c r="G2" s="645"/>
      <c r="H2" s="82"/>
      <c r="I2" s="82"/>
    </row>
    <row r="3" spans="2:11" x14ac:dyDescent="0.2">
      <c r="C3" s="646"/>
    </row>
    <row r="4" spans="2:11" x14ac:dyDescent="0.2">
      <c r="C4" s="647"/>
      <c r="D4" s="648"/>
      <c r="E4" s="649"/>
      <c r="F4" s="648"/>
      <c r="G4" s="648"/>
      <c r="H4" s="650"/>
      <c r="I4" s="651"/>
      <c r="J4" s="648"/>
      <c r="K4" s="648"/>
    </row>
    <row r="5" spans="2:11" ht="13.5" thickBot="1" x14ac:dyDescent="0.25">
      <c r="C5" s="491"/>
      <c r="D5" s="648"/>
      <c r="E5" s="649"/>
      <c r="F5" s="648"/>
      <c r="G5" s="648"/>
      <c r="H5" s="650"/>
      <c r="I5" s="651"/>
      <c r="J5" s="648"/>
      <c r="K5" s="648"/>
    </row>
    <row r="6" spans="2:11" ht="12.75" customHeight="1" x14ac:dyDescent="0.2">
      <c r="C6" s="652"/>
      <c r="D6" s="653" t="s">
        <v>70</v>
      </c>
      <c r="E6" s="653" t="s">
        <v>71</v>
      </c>
      <c r="F6" s="819" t="s">
        <v>72</v>
      </c>
      <c r="G6" s="822" t="s">
        <v>412</v>
      </c>
      <c r="H6" s="650"/>
      <c r="I6" s="651"/>
      <c r="J6" s="648"/>
      <c r="K6" s="648"/>
    </row>
    <row r="7" spans="2:11" ht="25.5" customHeight="1" thickBot="1" x14ac:dyDescent="0.25">
      <c r="C7" s="601" t="s">
        <v>73</v>
      </c>
      <c r="D7" s="660">
        <f>75*'ERR &amp; Sensitivity Analysis'!G12</f>
        <v>75</v>
      </c>
      <c r="E7" s="660">
        <f>57*'ERR &amp; Sensitivity Analysis'!G12</f>
        <v>57</v>
      </c>
      <c r="F7" s="820"/>
      <c r="G7" s="823"/>
    </row>
    <row r="8" spans="2:11" x14ac:dyDescent="0.2">
      <c r="C8" s="661"/>
      <c r="D8" s="821" t="s">
        <v>74</v>
      </c>
      <c r="E8" s="821"/>
      <c r="F8" s="659"/>
      <c r="G8" s="662"/>
    </row>
    <row r="9" spans="2:11" x14ac:dyDescent="0.2">
      <c r="C9" s="663" t="s">
        <v>75</v>
      </c>
      <c r="D9" s="655">
        <f>1-E9</f>
        <v>0</v>
      </c>
      <c r="E9" s="655">
        <v>1</v>
      </c>
      <c r="F9" s="656">
        <f>SUMPRODUCT(D$7:E$7,D9:E9)</f>
        <v>57</v>
      </c>
      <c r="G9" s="664">
        <f>SUMPRODUCT(D$13:E$13,D9:E9)</f>
        <v>2000</v>
      </c>
      <c r="J9" s="651"/>
      <c r="K9" s="651"/>
    </row>
    <row r="10" spans="2:11" x14ac:dyDescent="0.2">
      <c r="C10" s="663" t="s">
        <v>76</v>
      </c>
      <c r="D10" s="655">
        <f>1-E10</f>
        <v>0.15000000000000002</v>
      </c>
      <c r="E10" s="655">
        <v>0.85</v>
      </c>
      <c r="F10" s="656">
        <f>SUMPRODUCT(D$7:E$7,D10:E10)</f>
        <v>59.699999999999996</v>
      </c>
      <c r="G10" s="664">
        <f t="shared" ref="G10:G11" si="0">SUMPRODUCT(D$13:E$13,D10:E10)</f>
        <v>1730</v>
      </c>
      <c r="J10" s="651"/>
      <c r="K10" s="651"/>
    </row>
    <row r="11" spans="2:11" x14ac:dyDescent="0.2">
      <c r="C11" s="663" t="s">
        <v>77</v>
      </c>
      <c r="D11" s="655">
        <f>1-E11</f>
        <v>0.7</v>
      </c>
      <c r="E11" s="655">
        <v>0.3</v>
      </c>
      <c r="F11" s="656">
        <f>SUMPRODUCT(D$7:E$7,D11:E11)</f>
        <v>69.599999999999994</v>
      </c>
      <c r="G11" s="664">
        <f t="shared" si="0"/>
        <v>740</v>
      </c>
      <c r="J11" s="651"/>
      <c r="K11" s="651"/>
    </row>
    <row r="12" spans="2:11" x14ac:dyDescent="0.2">
      <c r="C12" s="824"/>
      <c r="D12" s="825"/>
      <c r="E12" s="825"/>
      <c r="F12" s="825"/>
      <c r="G12" s="826"/>
    </row>
    <row r="13" spans="2:11" x14ac:dyDescent="0.2">
      <c r="C13" s="665" t="s">
        <v>413</v>
      </c>
      <c r="D13" s="654">
        <v>200</v>
      </c>
      <c r="E13" s="654">
        <v>2000</v>
      </c>
      <c r="F13" s="654"/>
      <c r="G13" s="666">
        <f>SUM(D13:E13)</f>
        <v>2200</v>
      </c>
    </row>
    <row r="14" spans="2:11" x14ac:dyDescent="0.2">
      <c r="C14" s="665" t="s">
        <v>414</v>
      </c>
      <c r="D14" s="657">
        <f>D13/SUM(D13:E13)</f>
        <v>9.0909090909090912E-2</v>
      </c>
      <c r="E14" s="657">
        <f>E13/SUM(D13:E13)</f>
        <v>0.90909090909090906</v>
      </c>
      <c r="F14" s="658">
        <f>SUMPRODUCT(D7:E7,D14:E14)</f>
        <v>58.636363636363633</v>
      </c>
      <c r="G14" s="666"/>
    </row>
    <row r="15" spans="2:11" ht="13.5" thickBot="1" x14ac:dyDescent="0.25">
      <c r="C15" s="601" t="s">
        <v>415</v>
      </c>
      <c r="D15" s="667"/>
      <c r="E15" s="668"/>
      <c r="F15" s="669">
        <f>F14*0.5</f>
        <v>29.318181818181817</v>
      </c>
      <c r="G15" s="670"/>
    </row>
  </sheetData>
  <mergeCells count="4">
    <mergeCell ref="F6:F7"/>
    <mergeCell ref="D8:E8"/>
    <mergeCell ref="G6:G7"/>
    <mergeCell ref="C12:G12"/>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4"/>
  <sheetViews>
    <sheetView showGridLines="0" zoomScale="80" zoomScaleNormal="80" workbookViewId="0"/>
  </sheetViews>
  <sheetFormatPr defaultRowHeight="12.75" x14ac:dyDescent="0.2"/>
  <cols>
    <col min="1" max="1" width="2.33203125" style="388" customWidth="1"/>
    <col min="2" max="2" width="2.1640625" style="388" customWidth="1"/>
    <col min="3" max="3" width="14.1640625" style="388" customWidth="1"/>
    <col min="4" max="4" width="14.33203125" style="388" customWidth="1"/>
    <col min="5" max="5" width="21.33203125" style="388" customWidth="1"/>
    <col min="6" max="6" width="2" style="391" customWidth="1"/>
    <col min="7" max="7" width="6.1640625" style="388" customWidth="1"/>
    <col min="8" max="8" width="18.33203125" style="388" customWidth="1"/>
    <col min="9" max="9" width="23" style="388" customWidth="1"/>
    <col min="10" max="10" width="3.1640625" style="390" customWidth="1"/>
    <col min="11" max="11" width="4.1640625" style="388" customWidth="1"/>
    <col min="12" max="16384" width="9.33203125" style="388"/>
  </cols>
  <sheetData>
    <row r="1" spans="1:16" s="621" customFormat="1" ht="20.25" x14ac:dyDescent="0.3">
      <c r="B1" s="63" t="s">
        <v>140</v>
      </c>
      <c r="C1" s="254"/>
      <c r="P1" s="251" t="s">
        <v>450</v>
      </c>
    </row>
    <row r="2" spans="1:16" s="255" customFormat="1" ht="18" x14ac:dyDescent="0.25">
      <c r="A2" s="254"/>
      <c r="B2" s="252" t="s">
        <v>401</v>
      </c>
      <c r="D2" s="254"/>
      <c r="E2" s="254"/>
      <c r="F2" s="254"/>
      <c r="G2" s="253"/>
    </row>
    <row r="3" spans="1:16" s="410" customFormat="1" ht="12" x14ac:dyDescent="0.2">
      <c r="A3" s="409"/>
      <c r="B3" s="409"/>
      <c r="D3" s="409"/>
      <c r="E3" s="409"/>
      <c r="F3" s="409"/>
      <c r="G3" s="411"/>
    </row>
    <row r="4" spans="1:16" s="410" customFormat="1" ht="12" x14ac:dyDescent="0.2">
      <c r="A4" s="409"/>
      <c r="B4" s="409"/>
      <c r="D4" s="409"/>
      <c r="E4" s="409"/>
      <c r="F4" s="409"/>
      <c r="G4" s="411"/>
    </row>
    <row r="5" spans="1:16" x14ac:dyDescent="0.2">
      <c r="E5" s="389"/>
      <c r="F5" s="250" t="s">
        <v>340</v>
      </c>
    </row>
    <row r="6" spans="1:16" x14ac:dyDescent="0.2">
      <c r="F6" s="391" t="s">
        <v>458</v>
      </c>
    </row>
    <row r="7" spans="1:16" x14ac:dyDescent="0.2">
      <c r="F7" s="391" t="s">
        <v>459</v>
      </c>
    </row>
    <row r="9" spans="1:16" x14ac:dyDescent="0.2">
      <c r="A9" s="767"/>
      <c r="B9" s="400"/>
      <c r="C9" s="400"/>
      <c r="D9" s="400"/>
      <c r="E9" s="400"/>
      <c r="F9" s="401"/>
      <c r="G9" s="400"/>
      <c r="H9" s="400"/>
      <c r="I9" s="400"/>
      <c r="J9" s="402"/>
      <c r="K9" s="400"/>
      <c r="L9" s="768"/>
    </row>
    <row r="10" spans="1:16" x14ac:dyDescent="0.2">
      <c r="A10" s="393"/>
      <c r="B10" s="394" t="s">
        <v>341</v>
      </c>
      <c r="C10" s="394"/>
      <c r="D10" s="394"/>
      <c r="E10" s="394"/>
      <c r="F10" s="395"/>
      <c r="G10" s="394"/>
      <c r="H10" s="394" t="s">
        <v>351</v>
      </c>
      <c r="I10" s="394"/>
      <c r="J10" s="394"/>
      <c r="K10" s="394"/>
      <c r="L10" s="404"/>
    </row>
    <row r="11" spans="1:16" x14ac:dyDescent="0.2">
      <c r="A11" s="393"/>
      <c r="B11" s="394"/>
      <c r="C11" s="394" t="s">
        <v>342</v>
      </c>
      <c r="D11" s="394"/>
      <c r="E11" s="396">
        <v>10000</v>
      </c>
      <c r="F11" s="395"/>
      <c r="G11" s="394"/>
      <c r="H11" s="394"/>
      <c r="I11" s="394" t="s">
        <v>237</v>
      </c>
      <c r="J11" s="394"/>
      <c r="K11" s="394">
        <v>3</v>
      </c>
      <c r="L11" s="404"/>
    </row>
    <row r="12" spans="1:16" x14ac:dyDescent="0.2">
      <c r="A12" s="393"/>
      <c r="B12" s="394"/>
      <c r="C12" s="394" t="s">
        <v>343</v>
      </c>
      <c r="D12" s="394"/>
      <c r="E12" s="394"/>
      <c r="F12" s="395"/>
      <c r="G12" s="394"/>
      <c r="H12" s="394"/>
      <c r="I12" s="394" t="s">
        <v>352</v>
      </c>
      <c r="J12" s="394"/>
      <c r="K12" s="394">
        <v>2</v>
      </c>
      <c r="L12" s="404"/>
    </row>
    <row r="13" spans="1:16" x14ac:dyDescent="0.2">
      <c r="A13" s="393"/>
      <c r="B13" s="394"/>
      <c r="C13" s="394" t="s">
        <v>344</v>
      </c>
      <c r="D13" s="394"/>
      <c r="E13" s="394"/>
      <c r="F13" s="395"/>
      <c r="G13" s="394"/>
      <c r="H13" s="394"/>
      <c r="I13" s="394" t="s">
        <v>353</v>
      </c>
      <c r="J13" s="394"/>
      <c r="K13" s="394">
        <v>1</v>
      </c>
      <c r="L13" s="404"/>
    </row>
    <row r="14" spans="1:16" x14ac:dyDescent="0.2">
      <c r="A14" s="393"/>
      <c r="B14" s="394"/>
      <c r="C14" s="394" t="s">
        <v>345</v>
      </c>
      <c r="D14" s="394"/>
      <c r="E14" s="394"/>
      <c r="F14" s="395"/>
      <c r="G14" s="394"/>
      <c r="H14" s="394"/>
      <c r="I14" s="394" t="s">
        <v>354</v>
      </c>
      <c r="J14" s="394"/>
      <c r="K14" s="394">
        <v>0</v>
      </c>
      <c r="L14" s="404"/>
    </row>
    <row r="15" spans="1:16" x14ac:dyDescent="0.2">
      <c r="A15" s="393"/>
      <c r="B15" s="394"/>
      <c r="C15" s="394" t="s">
        <v>346</v>
      </c>
      <c r="D15" s="394"/>
      <c r="E15" s="405">
        <v>0.95</v>
      </c>
      <c r="F15" s="395"/>
      <c r="G15" s="394"/>
      <c r="H15" s="394"/>
      <c r="I15" s="394" t="s">
        <v>355</v>
      </c>
      <c r="J15" s="394"/>
      <c r="K15" s="394">
        <v>1</v>
      </c>
      <c r="L15" s="404"/>
    </row>
    <row r="16" spans="1:16" x14ac:dyDescent="0.2">
      <c r="A16" s="393"/>
      <c r="B16" s="394"/>
      <c r="C16" s="394"/>
      <c r="D16" s="394"/>
      <c r="E16" s="394"/>
      <c r="F16" s="395"/>
      <c r="G16" s="394"/>
      <c r="H16" s="394"/>
      <c r="I16" s="394"/>
      <c r="J16" s="403"/>
      <c r="K16" s="394"/>
      <c r="L16" s="404"/>
    </row>
    <row r="17" spans="1:20" x14ac:dyDescent="0.2">
      <c r="A17" s="393"/>
      <c r="B17" s="394" t="s">
        <v>347</v>
      </c>
      <c r="C17" s="394"/>
      <c r="D17" s="394"/>
      <c r="E17" s="394"/>
      <c r="F17" s="395"/>
      <c r="G17" s="394"/>
      <c r="H17" s="394"/>
      <c r="I17" s="394"/>
      <c r="J17" s="403"/>
      <c r="K17" s="394"/>
      <c r="L17" s="404"/>
    </row>
    <row r="18" spans="1:20" x14ac:dyDescent="0.2">
      <c r="A18" s="393"/>
      <c r="B18" s="394"/>
      <c r="C18" s="394" t="s">
        <v>348</v>
      </c>
      <c r="D18" s="394"/>
      <c r="E18" s="406">
        <v>18.59321803403898</v>
      </c>
      <c r="F18" s="395"/>
      <c r="G18" s="394"/>
      <c r="H18" s="394"/>
      <c r="I18" s="394"/>
      <c r="J18" s="403"/>
      <c r="K18" s="394"/>
      <c r="L18" s="404"/>
    </row>
    <row r="19" spans="1:20" x14ac:dyDescent="0.2">
      <c r="A19" s="393"/>
      <c r="B19" s="394"/>
      <c r="C19" s="394" t="s">
        <v>349</v>
      </c>
      <c r="D19" s="394"/>
      <c r="E19" s="396">
        <v>537.83051334593063</v>
      </c>
      <c r="F19" s="395"/>
      <c r="G19" s="394"/>
      <c r="H19" s="394"/>
      <c r="I19" s="394"/>
      <c r="J19" s="403"/>
      <c r="K19" s="394"/>
      <c r="L19" s="404"/>
    </row>
    <row r="20" spans="1:20" x14ac:dyDescent="0.2">
      <c r="A20" s="393"/>
      <c r="B20" s="394"/>
      <c r="C20" s="394" t="s">
        <v>350</v>
      </c>
      <c r="D20" s="394"/>
      <c r="E20" s="396">
        <v>1613.491540037792</v>
      </c>
      <c r="F20" s="395"/>
      <c r="G20" s="394"/>
      <c r="H20" s="394"/>
      <c r="I20" s="394"/>
      <c r="J20" s="403"/>
      <c r="K20" s="394"/>
      <c r="L20" s="404"/>
    </row>
    <row r="21" spans="1:20" x14ac:dyDescent="0.2">
      <c r="A21" s="397"/>
      <c r="B21" s="398"/>
      <c r="C21" s="398"/>
      <c r="D21" s="398"/>
      <c r="E21" s="398"/>
      <c r="F21" s="399"/>
      <c r="G21" s="398"/>
      <c r="H21" s="398"/>
      <c r="I21" s="398"/>
      <c r="J21" s="407"/>
      <c r="K21" s="398"/>
      <c r="L21" s="408"/>
    </row>
    <row r="23" spans="1:20" s="769" customFormat="1" x14ac:dyDescent="0.2">
      <c r="F23" s="392" t="s">
        <v>355</v>
      </c>
      <c r="J23" s="770"/>
      <c r="P23" s="392" t="s">
        <v>237</v>
      </c>
      <c r="T23" s="770"/>
    </row>
    <row r="24" spans="1:20" x14ac:dyDescent="0.2">
      <c r="P24" s="391"/>
      <c r="T24" s="390"/>
    </row>
    <row r="25" spans="1:20" x14ac:dyDescent="0.2">
      <c r="P25" s="391"/>
      <c r="T25" s="390"/>
    </row>
    <row r="26" spans="1:20" x14ac:dyDescent="0.2">
      <c r="A26" s="249" t="s">
        <v>460</v>
      </c>
      <c r="K26" s="249" t="s">
        <v>467</v>
      </c>
      <c r="P26" s="391"/>
      <c r="T26" s="390"/>
    </row>
    <row r="27" spans="1:20" x14ac:dyDescent="0.2">
      <c r="P27" s="391"/>
      <c r="T27" s="390"/>
    </row>
    <row r="28" spans="1:20" x14ac:dyDescent="0.2">
      <c r="A28" s="249" t="s">
        <v>461</v>
      </c>
      <c r="B28" s="249"/>
      <c r="C28" s="249"/>
      <c r="D28" s="249"/>
      <c r="E28" s="249"/>
      <c r="F28" s="250"/>
      <c r="G28" s="249"/>
      <c r="H28" s="249"/>
      <c r="I28" s="249"/>
      <c r="J28" s="771" t="s">
        <v>462</v>
      </c>
      <c r="K28" s="249" t="s">
        <v>386</v>
      </c>
      <c r="L28" s="249"/>
      <c r="M28" s="249"/>
      <c r="N28" s="249"/>
      <c r="O28" s="249"/>
      <c r="P28" s="250"/>
      <c r="Q28" s="249"/>
      <c r="R28" s="249"/>
      <c r="S28" s="249"/>
      <c r="T28" s="771" t="s">
        <v>387</v>
      </c>
    </row>
    <row r="29" spans="1:20" x14ac:dyDescent="0.2">
      <c r="P29" s="391"/>
      <c r="T29" s="390"/>
    </row>
    <row r="30" spans="1:20" x14ac:dyDescent="0.2">
      <c r="B30" s="388" t="s">
        <v>356</v>
      </c>
      <c r="L30" s="388" t="s">
        <v>388</v>
      </c>
      <c r="P30" s="391"/>
      <c r="T30" s="390"/>
    </row>
    <row r="31" spans="1:20" x14ac:dyDescent="0.2">
      <c r="C31" s="388" t="s">
        <v>463</v>
      </c>
      <c r="M31" s="388" t="s">
        <v>369</v>
      </c>
      <c r="O31" s="772">
        <v>0.01</v>
      </c>
      <c r="P31" s="391"/>
      <c r="T31" s="390"/>
    </row>
    <row r="32" spans="1:20" x14ac:dyDescent="0.2">
      <c r="C32" s="388" t="s">
        <v>464</v>
      </c>
      <c r="M32" s="388" t="s">
        <v>389</v>
      </c>
      <c r="O32" s="772">
        <v>4.8000000000000001E-2</v>
      </c>
      <c r="P32" s="391"/>
      <c r="T32" s="390"/>
    </row>
    <row r="33" spans="3:20" x14ac:dyDescent="0.2">
      <c r="C33" s="388" t="s">
        <v>465</v>
      </c>
      <c r="M33" s="388" t="s">
        <v>370</v>
      </c>
      <c r="O33" s="772">
        <v>7.0000000000000007E-2</v>
      </c>
      <c r="P33" s="391"/>
      <c r="T33" s="390"/>
    </row>
    <row r="34" spans="3:20" x14ac:dyDescent="0.2">
      <c r="O34" s="773"/>
      <c r="P34" s="391"/>
      <c r="T34" s="390"/>
    </row>
    <row r="35" spans="3:20" x14ac:dyDescent="0.2">
      <c r="O35" s="773"/>
      <c r="P35" s="391"/>
      <c r="T35" s="390"/>
    </row>
    <row r="36" spans="3:20" x14ac:dyDescent="0.2">
      <c r="P36" s="391"/>
      <c r="T36" s="390"/>
    </row>
    <row r="37" spans="3:20" x14ac:dyDescent="0.2">
      <c r="P37" s="391"/>
      <c r="T37" s="390"/>
    </row>
    <row r="38" spans="3:20" x14ac:dyDescent="0.2">
      <c r="P38" s="391"/>
      <c r="T38" s="390"/>
    </row>
    <row r="39" spans="3:20" x14ac:dyDescent="0.2">
      <c r="L39" s="388" t="s">
        <v>394</v>
      </c>
      <c r="P39" s="391"/>
      <c r="R39" s="773" t="s">
        <v>395</v>
      </c>
      <c r="T39" s="390"/>
    </row>
    <row r="40" spans="3:20" x14ac:dyDescent="0.2">
      <c r="M40" s="388" t="s">
        <v>399</v>
      </c>
      <c r="P40" s="391"/>
      <c r="Q40" s="774"/>
      <c r="R40" s="774">
        <v>-0.5</v>
      </c>
      <c r="T40" s="390"/>
    </row>
    <row r="41" spans="3:20" x14ac:dyDescent="0.2">
      <c r="P41" s="391"/>
      <c r="T41" s="390"/>
    </row>
    <row r="42" spans="3:20" x14ac:dyDescent="0.2">
      <c r="K42" s="249" t="s">
        <v>390</v>
      </c>
      <c r="L42" s="249"/>
      <c r="M42" s="249"/>
      <c r="N42" s="249"/>
      <c r="O42" s="249"/>
      <c r="P42" s="250"/>
      <c r="Q42" s="249"/>
      <c r="R42" s="249"/>
      <c r="S42" s="249"/>
      <c r="T42" s="771" t="s">
        <v>391</v>
      </c>
    </row>
    <row r="43" spans="3:20" x14ac:dyDescent="0.2">
      <c r="P43" s="391"/>
      <c r="T43" s="390"/>
    </row>
    <row r="44" spans="3:20" x14ac:dyDescent="0.2">
      <c r="L44" s="388" t="s">
        <v>392</v>
      </c>
      <c r="P44" s="391"/>
      <c r="T44" s="390"/>
    </row>
    <row r="45" spans="3:20" x14ac:dyDescent="0.2">
      <c r="M45" s="388" t="s">
        <v>360</v>
      </c>
      <c r="O45" s="775">
        <v>0.16</v>
      </c>
      <c r="P45" s="391"/>
      <c r="T45" s="390"/>
    </row>
    <row r="46" spans="3:20" x14ac:dyDescent="0.2">
      <c r="M46" s="388" t="s">
        <v>393</v>
      </c>
      <c r="O46" s="775">
        <v>1.6E-2</v>
      </c>
      <c r="P46" s="391"/>
      <c r="T46" s="390"/>
    </row>
    <row r="47" spans="3:20" x14ac:dyDescent="0.2">
      <c r="O47" s="773"/>
      <c r="P47" s="391"/>
      <c r="T47" s="390"/>
    </row>
    <row r="48" spans="3:20" x14ac:dyDescent="0.2">
      <c r="O48" s="773"/>
      <c r="P48" s="391"/>
      <c r="T48" s="390"/>
    </row>
    <row r="49" spans="2:20" x14ac:dyDescent="0.2">
      <c r="P49" s="391"/>
      <c r="T49" s="390"/>
    </row>
    <row r="50" spans="2:20" x14ac:dyDescent="0.2">
      <c r="P50" s="391"/>
      <c r="T50" s="390"/>
    </row>
    <row r="51" spans="2:20" x14ac:dyDescent="0.2">
      <c r="P51" s="391"/>
      <c r="T51" s="390"/>
    </row>
    <row r="52" spans="2:20" x14ac:dyDescent="0.2">
      <c r="P52" s="391"/>
      <c r="T52" s="390"/>
    </row>
    <row r="53" spans="2:20" x14ac:dyDescent="0.2">
      <c r="B53" s="388" t="s">
        <v>357</v>
      </c>
      <c r="E53" s="773" t="s">
        <v>358</v>
      </c>
      <c r="L53" s="388" t="s">
        <v>394</v>
      </c>
      <c r="P53" s="391"/>
      <c r="R53" s="773" t="s">
        <v>395</v>
      </c>
      <c r="T53" s="390"/>
    </row>
    <row r="54" spans="2:20" x14ac:dyDescent="0.2">
      <c r="C54" s="388" t="s">
        <v>359</v>
      </c>
      <c r="E54" s="776">
        <v>10000</v>
      </c>
      <c r="M54" s="388" t="s">
        <v>468</v>
      </c>
      <c r="P54" s="391"/>
      <c r="Q54" s="774"/>
      <c r="R54" s="774">
        <v>-0.5</v>
      </c>
      <c r="T54" s="390"/>
    </row>
    <row r="55" spans="2:20" x14ac:dyDescent="0.2">
      <c r="C55" s="388" t="s">
        <v>289</v>
      </c>
      <c r="E55" s="777">
        <v>0.2563449649750793</v>
      </c>
      <c r="M55" s="388" t="s">
        <v>396</v>
      </c>
      <c r="P55" s="391"/>
      <c r="Q55" s="774"/>
      <c r="R55" s="774">
        <v>0.5</v>
      </c>
      <c r="T55" s="390"/>
    </row>
    <row r="56" spans="2:20" x14ac:dyDescent="0.2">
      <c r="C56" s="388" t="s">
        <v>360</v>
      </c>
      <c r="E56" s="777">
        <v>0.23653027702205096</v>
      </c>
      <c r="P56" s="391"/>
      <c r="T56" s="390"/>
    </row>
    <row r="57" spans="2:20" x14ac:dyDescent="0.2">
      <c r="C57" s="388" t="s">
        <v>361</v>
      </c>
      <c r="E57" s="777">
        <v>0.24238082174022513</v>
      </c>
      <c r="K57" s="249" t="s">
        <v>397</v>
      </c>
      <c r="L57" s="249"/>
      <c r="M57" s="249"/>
      <c r="N57" s="249"/>
      <c r="O57" s="249"/>
      <c r="P57" s="250"/>
      <c r="Q57" s="249"/>
      <c r="R57" s="249"/>
      <c r="S57" s="249"/>
      <c r="T57" s="771" t="s">
        <v>398</v>
      </c>
    </row>
    <row r="58" spans="2:20" x14ac:dyDescent="0.2">
      <c r="C58" s="388" t="s">
        <v>362</v>
      </c>
      <c r="E58" s="772" t="s">
        <v>363</v>
      </c>
      <c r="P58" s="391"/>
      <c r="T58" s="390"/>
    </row>
    <row r="59" spans="2:20" x14ac:dyDescent="0.2">
      <c r="C59" s="388" t="s">
        <v>364</v>
      </c>
      <c r="E59" s="777">
        <v>4.3259642735339478E-2</v>
      </c>
      <c r="L59" s="388" t="s">
        <v>388</v>
      </c>
      <c r="P59" s="391"/>
      <c r="T59" s="390"/>
    </row>
    <row r="60" spans="2:20" x14ac:dyDescent="0.2">
      <c r="C60" s="388" t="s">
        <v>365</v>
      </c>
      <c r="E60" s="777">
        <v>1.8713966895892097E-3</v>
      </c>
      <c r="M60" s="388" t="s">
        <v>369</v>
      </c>
      <c r="O60" s="778">
        <v>0.5</v>
      </c>
      <c r="P60" s="391"/>
      <c r="T60" s="390"/>
    </row>
    <row r="61" spans="2:20" x14ac:dyDescent="0.2">
      <c r="C61" s="388" t="s">
        <v>366</v>
      </c>
      <c r="E61" s="779">
        <v>-0.49605588887219992</v>
      </c>
      <c r="M61" s="388" t="s">
        <v>389</v>
      </c>
      <c r="O61" s="778">
        <v>1</v>
      </c>
      <c r="P61" s="391"/>
      <c r="T61" s="390"/>
    </row>
    <row r="62" spans="2:20" x14ac:dyDescent="0.2">
      <c r="C62" s="388" t="s">
        <v>367</v>
      </c>
      <c r="E62" s="774">
        <v>2.6588259496370292</v>
      </c>
      <c r="M62" s="388" t="s">
        <v>370</v>
      </c>
      <c r="O62" s="778">
        <v>1.3</v>
      </c>
      <c r="P62" s="391"/>
      <c r="T62" s="390"/>
    </row>
    <row r="63" spans="2:20" x14ac:dyDescent="0.2">
      <c r="C63" s="388" t="s">
        <v>368</v>
      </c>
      <c r="E63" s="779">
        <v>0.18289262279647406</v>
      </c>
      <c r="O63" s="773"/>
      <c r="P63" s="391"/>
      <c r="T63" s="390"/>
    </row>
    <row r="64" spans="2:20" x14ac:dyDescent="0.2">
      <c r="C64" s="388" t="s">
        <v>369</v>
      </c>
      <c r="E64" s="777">
        <v>0.10819372612037848</v>
      </c>
      <c r="O64" s="773"/>
      <c r="P64" s="391"/>
      <c r="T64" s="390"/>
    </row>
    <row r="65" spans="1:20" x14ac:dyDescent="0.2">
      <c r="C65" s="388" t="s">
        <v>370</v>
      </c>
      <c r="E65" s="777">
        <v>0.32313931200903556</v>
      </c>
      <c r="P65" s="391"/>
      <c r="T65" s="390"/>
    </row>
    <row r="66" spans="1:20" x14ac:dyDescent="0.2">
      <c r="C66" s="388" t="s">
        <v>371</v>
      </c>
      <c r="E66" s="777">
        <v>0.21494558588865709</v>
      </c>
      <c r="P66" s="391"/>
      <c r="T66" s="390"/>
    </row>
    <row r="67" spans="1:20" x14ac:dyDescent="0.2">
      <c r="C67" s="388" t="s">
        <v>372</v>
      </c>
      <c r="E67" s="777">
        <v>4.3259642735339479E-4</v>
      </c>
      <c r="P67" s="391"/>
      <c r="T67" s="390"/>
    </row>
    <row r="68" spans="1:20" x14ac:dyDescent="0.2">
      <c r="L68" s="388" t="s">
        <v>394</v>
      </c>
      <c r="P68" s="391"/>
      <c r="R68" s="773" t="s">
        <v>395</v>
      </c>
      <c r="T68" s="390"/>
    </row>
    <row r="69" spans="1:20" x14ac:dyDescent="0.2">
      <c r="A69" s="249" t="s">
        <v>466</v>
      </c>
      <c r="B69" s="249"/>
      <c r="C69" s="249"/>
      <c r="D69" s="249"/>
      <c r="E69" s="249"/>
      <c r="F69" s="250"/>
      <c r="G69" s="249"/>
      <c r="H69" s="249"/>
      <c r="I69" s="249"/>
      <c r="J69" s="771" t="s">
        <v>462</v>
      </c>
      <c r="M69" s="388" t="s">
        <v>399</v>
      </c>
      <c r="P69" s="391"/>
      <c r="Q69" s="774"/>
      <c r="R69" s="774">
        <v>0.5</v>
      </c>
      <c r="T69" s="390"/>
    </row>
    <row r="70" spans="1:20" x14ac:dyDescent="0.2">
      <c r="P70" s="391"/>
      <c r="T70" s="390"/>
    </row>
    <row r="71" spans="1:20" x14ac:dyDescent="0.2">
      <c r="B71" s="388" t="s">
        <v>373</v>
      </c>
      <c r="E71" s="773" t="s">
        <v>358</v>
      </c>
      <c r="K71" s="388" t="s">
        <v>400</v>
      </c>
      <c r="P71" s="391"/>
      <c r="T71" s="390"/>
    </row>
    <row r="72" spans="1:20" x14ac:dyDescent="0.2">
      <c r="C72" s="388" t="s">
        <v>374</v>
      </c>
      <c r="E72" s="777">
        <v>0.108193726120378</v>
      </c>
    </row>
    <row r="73" spans="1:20" x14ac:dyDescent="0.2">
      <c r="C73" s="388" t="s">
        <v>375</v>
      </c>
      <c r="E73" s="777">
        <v>0.17380337451330499</v>
      </c>
    </row>
    <row r="74" spans="1:20" x14ac:dyDescent="0.2">
      <c r="C74" s="388" t="s">
        <v>376</v>
      </c>
      <c r="E74" s="777">
        <v>0.198385334099311</v>
      </c>
    </row>
    <row r="75" spans="1:20" x14ac:dyDescent="0.2">
      <c r="C75" s="388" t="s">
        <v>377</v>
      </c>
      <c r="E75" s="777">
        <v>0.21701294150689601</v>
      </c>
    </row>
    <row r="76" spans="1:20" x14ac:dyDescent="0.2">
      <c r="C76" s="388" t="s">
        <v>378</v>
      </c>
      <c r="E76" s="777">
        <v>0.23050683170141201</v>
      </c>
    </row>
    <row r="77" spans="1:20" x14ac:dyDescent="0.2">
      <c r="C77" s="388" t="s">
        <v>379</v>
      </c>
      <c r="E77" s="777">
        <v>0.24236732887104701</v>
      </c>
    </row>
    <row r="78" spans="1:20" x14ac:dyDescent="0.2">
      <c r="C78" s="388" t="s">
        <v>380</v>
      </c>
      <c r="E78" s="777">
        <v>0.25307360207135698</v>
      </c>
    </row>
    <row r="79" spans="1:20" x14ac:dyDescent="0.2">
      <c r="C79" s="388" t="s">
        <v>381</v>
      </c>
      <c r="E79" s="777">
        <v>0.26327104360908199</v>
      </c>
    </row>
    <row r="80" spans="1:20" x14ac:dyDescent="0.2">
      <c r="C80" s="388" t="s">
        <v>382</v>
      </c>
      <c r="E80" s="777">
        <v>0.27496362914097799</v>
      </c>
    </row>
    <row r="81" spans="1:5" x14ac:dyDescent="0.2">
      <c r="C81" s="388" t="s">
        <v>383</v>
      </c>
      <c r="E81" s="777">
        <v>0.28925779254078299</v>
      </c>
    </row>
    <row r="82" spans="1:5" x14ac:dyDescent="0.2">
      <c r="C82" s="388" t="s">
        <v>384</v>
      </c>
      <c r="E82" s="777">
        <v>0.32313931200903601</v>
      </c>
    </row>
    <row r="84" spans="1:5" x14ac:dyDescent="0.2">
      <c r="A84" s="388" t="s">
        <v>385</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Cover Page</vt:lpstr>
      <vt:lpstr>Activity Description</vt:lpstr>
      <vt:lpstr>ERR &amp; Sensitivity Analysis</vt:lpstr>
      <vt:lpstr>Assumptions</vt:lpstr>
      <vt:lpstr>ERR Calculations</vt:lpstr>
      <vt:lpstr>LRMC</vt:lpstr>
      <vt:lpstr>WTP</vt:lpstr>
      <vt:lpstr>Sensitivity</vt:lpstr>
      <vt:lpstr>Poverty Scorecard</vt:lpstr>
      <vt:lpstr>Beneficiaries</vt:lpstr>
      <vt:lpstr>cable_loss</vt:lpstr>
      <vt:lpstr>Costs2</vt:lpstr>
      <vt:lpstr>Demand_scalar</vt:lpstr>
      <vt:lpstr>energy_growth</vt:lpstr>
      <vt:lpstr>ppatable</vt:lpstr>
      <vt:lpstr>selected_cap</vt:lpstr>
      <vt:lpstr>zanz_loss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2017-10-09T15:33:18Z</dcterms:created>
  <dcterms:modified xsi:type="dcterms:W3CDTF">2019-12-17T16:40:05Z</dcterms:modified>
</cp:coreProperties>
</file>