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8205" yWindow="855" windowWidth="8460" windowHeight="6195" tabRatio="898" firstSheet="3" activeTab="3"/>
  </bookViews>
  <sheets>
    <sheet name="Cover Page" sheetId="34" r:id="rId1"/>
    <sheet name="Activity Description" sheetId="35" r:id="rId2"/>
    <sheet name="CB_DATA_" sheetId="39" state="veryHidden" r:id="rId3"/>
    <sheet name="ERR &amp; Sensitivity Analysis" sheetId="36" r:id="rId4"/>
    <sheet name="Assumptions" sheetId="8" r:id="rId5"/>
    <sheet name="Summary" sheetId="11" r:id="rId6"/>
    <sheet name="Tanga" sheetId="21" r:id="rId7"/>
    <sheet name="Dodoma" sheetId="22" r:id="rId8"/>
    <sheet name="Morogoro" sheetId="23" r:id="rId9"/>
    <sheet name="Iringa" sheetId="24" r:id="rId10"/>
    <sheet name="Mwanza" sheetId="25" r:id="rId11"/>
    <sheet name="Mbeya" sheetId="26" r:id="rId12"/>
    <sheet name="Kigoma" sheetId="30" r:id="rId13"/>
    <sheet name="WTP" sheetId="16" r:id="rId14"/>
    <sheet name="LRMC" sheetId="17" r:id="rId15"/>
    <sheet name="Sensitivity" sheetId="41" r:id="rId16"/>
    <sheet name="Beneficiaries" sheetId="37" r:id="rId17"/>
    <sheet name="PovertyScorecard" sheetId="38" r:id="rId18"/>
  </sheets>
  <externalReferences>
    <externalReference r:id="rId19"/>
  </externalReferences>
  <definedNames>
    <definedName name="asset_life">Summary!$L$49</definedName>
    <definedName name="CB_13481536124a4afb9ebd4aef16bfcc3b" localSheetId="5" hidden="1">Summary!$H$5</definedName>
    <definedName name="CB_13c5f0a4aa8d40538d385bc7d9171e3a" localSheetId="5" hidden="1">Summary!$K$5</definedName>
    <definedName name="CB_418a1a0749bc404e95a209211ea654ba" localSheetId="5" hidden="1">Summary!$J$5</definedName>
    <definedName name="CB_46ecbcdf45af455bbf29b04d3cd65040" localSheetId="5" hidden="1">Summary!$I$5</definedName>
    <definedName name="CB_58da68dd7397411d8a80025c67d6c22d" localSheetId="5" hidden="1">Summary!$E$5</definedName>
    <definedName name="CB_6afd0e902cfc4e85bebd44815463e7d0" localSheetId="5" hidden="1">Summary!$D$5</definedName>
    <definedName name="CB_7ade5f95b9804aee964200245d3b91b4" localSheetId="3" hidden="1">'ERR &amp; Sensitivity Analysis'!$D$13</definedName>
    <definedName name="CB_89e2e4685e064edf9b3b9cff6ef02ac6" localSheetId="5" hidden="1">Summary!$G$5</definedName>
    <definedName name="CB_b74b3b938036432cb46c43d9119fcc7d" localSheetId="3" hidden="1">'ERR &amp; Sensitivity Analysis'!$D$12</definedName>
    <definedName name="CB_Block_00000000000000000000000000000000" localSheetId="3" hidden="1">"'7.0.0.0"</definedName>
    <definedName name="CB_Block_00000000000000000000000000000000" localSheetId="5" hidden="1">"'7.0.0.0"</definedName>
    <definedName name="CB_Block_00000000000000000000000000000001" localSheetId="2" hidden="1">"'636431449730489614"</definedName>
    <definedName name="CB_Block_00000000000000000000000000000001" localSheetId="3" hidden="1">"'636431449730645614"</definedName>
    <definedName name="CB_Block_00000000000000000000000000000001" localSheetId="5" hidden="1">"'636431449730489614"</definedName>
    <definedName name="CB_Block_00000000000000000000000000000003" localSheetId="3" hidden="1">"'11.1.1448.0"</definedName>
    <definedName name="CB_Block_00000000000000000000000000000003" localSheetId="5" hidden="1">"'11.1.1448.0"</definedName>
    <definedName name="CB_BlockExt_00000000000000000000000000000003" localSheetId="3" hidden="1">"'11.1.2.0.00"</definedName>
    <definedName name="CB_BlockExt_00000000000000000000000000000003" localSheetId="5" hidden="1">"'11.1.2.0.00"</definedName>
    <definedName name="CB_c71231de48714a9c9c746a9d45ac9710" localSheetId="5" hidden="1">Summary!$F$5</definedName>
    <definedName name="CB_eb15948ed97e40fc8b1f4bfc4735045d" localSheetId="3" hidden="1">'ERR &amp; Sensitivity Analysis'!$D$14</definedName>
    <definedName name="CBWorkbookPriority" localSheetId="2" hidden="1">-1412251262</definedName>
    <definedName name="CBx_1721e91323d242c4a184235e5aaec7f7" localSheetId="2" hidden="1">"'CB_DATA_'!$A$1"</definedName>
    <definedName name="CBx_30069687eae940568b259d466f907915" localSheetId="2" hidden="1">"'Summary'!$A$1"</definedName>
    <definedName name="CBx_98078ce4abb24f839c91dbc421d41893" localSheetId="2" hidden="1">"'ERR &amp; Sensitivity Analysis'!$A$1"</definedName>
    <definedName name="CBx_Sheet_Guid" localSheetId="2" hidden="1">"'1721e913-23d2-42c4-a184-235e5aaec7f7"</definedName>
    <definedName name="CBx_Sheet_Guid" localSheetId="3" hidden="1">"'98078ce4-abb2-4f83-9c91-dbc421d41893"</definedName>
    <definedName name="CBx_Sheet_Guid" localSheetId="5" hidden="1">"'30069687-eae9-4056-8b25-9d466f907915"</definedName>
    <definedName name="CBx_SheetRef" localSheetId="2" hidden="1">CB_DATA_!$A$14</definedName>
    <definedName name="CBx_SheetRef" localSheetId="3" hidden="1">CB_DATA_!$B$14</definedName>
    <definedName name="CBx_SheetRef" localSheetId="5" hidden="1">CB_DATA_!$C$14</definedName>
    <definedName name="CBx_StorageType" localSheetId="2" hidden="1">2</definedName>
    <definedName name="CBx_StorageType" localSheetId="3" hidden="1">2</definedName>
    <definedName name="CBx_StorageType" localSheetId="5" hidden="1">2</definedName>
    <definedName name="custnopa">Assumptions!$C$62</definedName>
    <definedName name="debt">Assumptions!$C$8</definedName>
    <definedName name="Demand_scalar">Assumptions!$C$13</definedName>
    <definedName name="diesel_price">Assumptions!$C$68</definedName>
    <definedName name="discount">Assumptions!$C$8</definedName>
    <definedName name="exch2">[1]Basics!$G$8</definedName>
    <definedName name="grow">Assumptions!$C$10</definedName>
    <definedName name="hydro_cap">Assumptions!$D$58</definedName>
    <definedName name="hydro_opex">Assumptions!#REF!</definedName>
    <definedName name="inflation">Assumptions!$C$9</definedName>
    <definedName name="LRMC_energy">Assumptions!$C$68</definedName>
    <definedName name="ops_end">Summary!$L$48</definedName>
    <definedName name="ops_start">Summary!$L$47</definedName>
    <definedName name="project_switch">Assumptions!$A$41</definedName>
    <definedName name="selected_cap">Summary!$D$54</definedName>
    <definedName name="ss_growth">Assumptions!$C$55</definedName>
    <definedName name="tariff_case">Summary!$A$46</definedName>
    <definedName name="td_opex">Assumptions!$C$42</definedName>
    <definedName name="unitconspa">Assumptions!$C$61</definedName>
  </definedNames>
  <calcPr calcId="152511"/>
</workbook>
</file>

<file path=xl/calcChain.xml><?xml version="1.0" encoding="utf-8"?>
<calcChain xmlns="http://schemas.openxmlformats.org/spreadsheetml/2006/main">
  <c r="G9" i="16" l="1"/>
  <c r="D46" i="8"/>
  <c r="C11" i="39" l="1"/>
  <c r="C12" i="38" l="1"/>
  <c r="E12" i="38" s="1"/>
  <c r="P9" i="37" l="1"/>
  <c r="A12" i="17"/>
  <c r="A11" i="17"/>
  <c r="A9" i="17"/>
  <c r="A8" i="17"/>
  <c r="A4" i="17"/>
  <c r="E7" i="17"/>
  <c r="E8" i="17" s="1"/>
  <c r="E9" i="17" s="1"/>
  <c r="E10" i="17" s="1"/>
  <c r="E11" i="17" s="1"/>
  <c r="E12" i="17" s="1"/>
  <c r="H104" i="30" l="1"/>
  <c r="X104" i="30"/>
  <c r="W104" i="30"/>
  <c r="V104" i="30"/>
  <c r="U104" i="30"/>
  <c r="T104" i="30"/>
  <c r="S104" i="30"/>
  <c r="R104" i="30"/>
  <c r="Q104" i="30"/>
  <c r="P104" i="30"/>
  <c r="O104" i="30"/>
  <c r="N104" i="30"/>
  <c r="M104" i="30"/>
  <c r="L104" i="30"/>
  <c r="K104" i="30"/>
  <c r="J104" i="30"/>
  <c r="I104" i="30"/>
  <c r="F104" i="30"/>
  <c r="E104" i="30"/>
  <c r="D104" i="30"/>
  <c r="X106" i="30"/>
  <c r="W106" i="30"/>
  <c r="V106" i="30"/>
  <c r="U106" i="30"/>
  <c r="T106" i="30"/>
  <c r="S106" i="30"/>
  <c r="R106" i="30"/>
  <c r="Q106" i="30"/>
  <c r="P106" i="30"/>
  <c r="O106" i="30"/>
  <c r="N106" i="30"/>
  <c r="M106" i="30"/>
  <c r="L106" i="30"/>
  <c r="K106" i="30"/>
  <c r="J106" i="30"/>
  <c r="I106" i="30"/>
  <c r="H106" i="30"/>
  <c r="G106" i="30"/>
  <c r="F106" i="30"/>
  <c r="E106" i="30"/>
  <c r="D106" i="30"/>
  <c r="B115" i="26"/>
  <c r="B113" i="26"/>
  <c r="B111" i="26"/>
  <c r="B110" i="26"/>
  <c r="B109" i="26"/>
  <c r="E106" i="26"/>
  <c r="F106" i="26"/>
  <c r="G106" i="26"/>
  <c r="H106" i="26"/>
  <c r="I106" i="26"/>
  <c r="J106" i="26"/>
  <c r="K106" i="26"/>
  <c r="L106" i="26"/>
  <c r="M106" i="26"/>
  <c r="N106" i="26"/>
  <c r="O106" i="26"/>
  <c r="P106" i="26"/>
  <c r="Q106" i="26"/>
  <c r="R106" i="26"/>
  <c r="S106" i="26"/>
  <c r="T106" i="26"/>
  <c r="U106" i="26"/>
  <c r="V106" i="26"/>
  <c r="W106" i="26"/>
  <c r="X106" i="26"/>
  <c r="D106" i="26"/>
  <c r="B115" i="25"/>
  <c r="B113" i="25"/>
  <c r="B111" i="25"/>
  <c r="B110" i="25"/>
  <c r="B109" i="25"/>
  <c r="X106" i="25"/>
  <c r="W106" i="25"/>
  <c r="V106" i="25"/>
  <c r="U106" i="25"/>
  <c r="T106" i="25"/>
  <c r="S106" i="25"/>
  <c r="R106" i="25"/>
  <c r="Q106" i="25"/>
  <c r="P106" i="25"/>
  <c r="O106" i="25"/>
  <c r="N106" i="25"/>
  <c r="M106" i="25"/>
  <c r="L106" i="25"/>
  <c r="K106" i="25"/>
  <c r="J106" i="25"/>
  <c r="I106" i="25"/>
  <c r="H106" i="25"/>
  <c r="G106" i="25"/>
  <c r="F106" i="25"/>
  <c r="E106" i="25"/>
  <c r="D106" i="25"/>
  <c r="D74" i="25"/>
  <c r="F106" i="24"/>
  <c r="G106" i="24" s="1"/>
  <c r="H106" i="24" s="1"/>
  <c r="I106" i="24" s="1"/>
  <c r="J106" i="24" s="1"/>
  <c r="K106" i="24" s="1"/>
  <c r="L106" i="24" s="1"/>
  <c r="M106" i="24" s="1"/>
  <c r="N106" i="24" s="1"/>
  <c r="O106" i="24" s="1"/>
  <c r="P106" i="24" s="1"/>
  <c r="Q106" i="24" s="1"/>
  <c r="R106" i="24" s="1"/>
  <c r="S106" i="24" s="1"/>
  <c r="T106" i="24" s="1"/>
  <c r="U106" i="24" s="1"/>
  <c r="V106" i="24" s="1"/>
  <c r="W106" i="24" s="1"/>
  <c r="X106" i="24" s="1"/>
  <c r="F106" i="23"/>
  <c r="G106" i="23" s="1"/>
  <c r="H106" i="23" s="1"/>
  <c r="I106" i="23" s="1"/>
  <c r="J106" i="23" s="1"/>
  <c r="K106" i="23" s="1"/>
  <c r="L106" i="23" s="1"/>
  <c r="M106" i="23" s="1"/>
  <c r="N106" i="23" s="1"/>
  <c r="O106" i="23" s="1"/>
  <c r="P106" i="23" s="1"/>
  <c r="Q106" i="23" s="1"/>
  <c r="R106" i="23" s="1"/>
  <c r="S106" i="23" s="1"/>
  <c r="T106" i="23" s="1"/>
  <c r="U106" i="23" s="1"/>
  <c r="V106" i="23" s="1"/>
  <c r="W106" i="23" s="1"/>
  <c r="X106" i="23" s="1"/>
  <c r="B115" i="24"/>
  <c r="B113" i="24"/>
  <c r="B111" i="24"/>
  <c r="B110" i="24"/>
  <c r="B109" i="24"/>
  <c r="U74" i="24"/>
  <c r="V74" i="24" s="1"/>
  <c r="W74" i="24" s="1"/>
  <c r="P74" i="24"/>
  <c r="Q74" i="24" s="1"/>
  <c r="R74" i="24" s="1"/>
  <c r="L74" i="24"/>
  <c r="M74" i="24" s="1"/>
  <c r="K74" i="24"/>
  <c r="F74" i="24"/>
  <c r="G74" i="24" s="1"/>
  <c r="H74" i="24" s="1"/>
  <c r="B115" i="23"/>
  <c r="B113" i="23"/>
  <c r="B111" i="23"/>
  <c r="B110" i="23"/>
  <c r="B109" i="23"/>
  <c r="K74" i="23"/>
  <c r="L74" i="23"/>
  <c r="M74" i="23" s="1"/>
  <c r="P74" i="23"/>
  <c r="Q74" i="23" s="1"/>
  <c r="R74" i="23" s="1"/>
  <c r="U74" i="23"/>
  <c r="V74" i="23"/>
  <c r="W74" i="23" s="1"/>
  <c r="B114" i="22"/>
  <c r="B112" i="22"/>
  <c r="B110" i="22"/>
  <c r="B109" i="22"/>
  <c r="B108" i="22"/>
  <c r="F124" i="22"/>
  <c r="G124" i="22" s="1"/>
  <c r="H124" i="22" s="1"/>
  <c r="I124" i="22" s="1"/>
  <c r="J124" i="22" s="1"/>
  <c r="K124" i="22" s="1"/>
  <c r="L124" i="22" s="1"/>
  <c r="M124" i="22" s="1"/>
  <c r="N124" i="22" s="1"/>
  <c r="O124" i="22" s="1"/>
  <c r="P124" i="22" s="1"/>
  <c r="Q124" i="22" s="1"/>
  <c r="R124" i="22" s="1"/>
  <c r="S124" i="22" s="1"/>
  <c r="T124" i="22" s="1"/>
  <c r="U124" i="22" s="1"/>
  <c r="V124" i="22" s="1"/>
  <c r="W124" i="22" s="1"/>
  <c r="X124" i="22" s="1"/>
  <c r="F105" i="22"/>
  <c r="G105" i="22" s="1"/>
  <c r="H105" i="22" s="1"/>
  <c r="I105" i="22" s="1"/>
  <c r="J105" i="22" s="1"/>
  <c r="K105" i="22" s="1"/>
  <c r="L105" i="22" s="1"/>
  <c r="M105" i="22" s="1"/>
  <c r="N105" i="22" s="1"/>
  <c r="O105" i="22" s="1"/>
  <c r="P105" i="22" s="1"/>
  <c r="Q105" i="22" s="1"/>
  <c r="R105" i="22" s="1"/>
  <c r="S105" i="22" s="1"/>
  <c r="T105" i="22" s="1"/>
  <c r="U105" i="22" s="1"/>
  <c r="V105" i="22" s="1"/>
  <c r="W105" i="22" s="1"/>
  <c r="X105" i="22" s="1"/>
  <c r="B113" i="21"/>
  <c r="B111" i="21"/>
  <c r="B110" i="21"/>
  <c r="B109" i="21"/>
  <c r="B115" i="21"/>
  <c r="A13" i="8"/>
  <c r="G13" i="16" l="1"/>
  <c r="E14" i="16"/>
  <c r="D14" i="16"/>
  <c r="F14" i="16" s="1"/>
  <c r="F15" i="16" s="1"/>
  <c r="B47" i="11" l="1"/>
  <c r="J24" i="30" l="1"/>
  <c r="H24" i="30"/>
  <c r="J24" i="26"/>
  <c r="H24" i="26"/>
  <c r="J24" i="25"/>
  <c r="H24" i="25"/>
  <c r="J24" i="24"/>
  <c r="H24" i="24"/>
  <c r="G24" i="24" s="1"/>
  <c r="F24" i="24" s="1"/>
  <c r="E24" i="24" s="1"/>
  <c r="J24" i="23"/>
  <c r="H24" i="23"/>
  <c r="G24" i="23" s="1"/>
  <c r="F24" i="23" s="1"/>
  <c r="E24" i="23" s="1"/>
  <c r="J24" i="22"/>
  <c r="H24" i="22"/>
  <c r="H24" i="21"/>
  <c r="J24" i="21"/>
  <c r="J27" i="30"/>
  <c r="J27" i="26"/>
  <c r="J27" i="25"/>
  <c r="J27" i="24"/>
  <c r="J27" i="23"/>
  <c r="J27" i="22"/>
  <c r="J27" i="21"/>
  <c r="I27" i="21"/>
  <c r="I32" i="21" s="1"/>
  <c r="O18" i="8"/>
  <c r="A56" i="8"/>
  <c r="A57" i="8"/>
  <c r="A61" i="8"/>
  <c r="A55" i="8"/>
  <c r="I60" i="21" l="1"/>
  <c r="I59" i="21"/>
  <c r="I56" i="21"/>
  <c r="G24" i="21"/>
  <c r="G24" i="22"/>
  <c r="G24" i="25"/>
  <c r="G24" i="26"/>
  <c r="G24" i="30"/>
  <c r="K24" i="17"/>
  <c r="F49" i="8" s="1"/>
  <c r="L24" i="17"/>
  <c r="F50" i="8" s="1"/>
  <c r="J24" i="17"/>
  <c r="F48" i="8" s="1"/>
  <c r="A62" i="8"/>
  <c r="F24" i="30" l="1"/>
  <c r="F24" i="26"/>
  <c r="F24" i="22"/>
  <c r="F24" i="21"/>
  <c r="F24" i="25"/>
  <c r="A75" i="8"/>
  <c r="E24" i="21" l="1"/>
  <c r="E24" i="22"/>
  <c r="E24" i="30"/>
  <c r="E24" i="26"/>
  <c r="E24" i="25"/>
  <c r="A71" i="8"/>
  <c r="A65" i="8"/>
  <c r="D54" i="8"/>
  <c r="A46" i="8"/>
  <c r="A42" i="8"/>
  <c r="A41" i="8"/>
  <c r="D32" i="8"/>
  <c r="H5" i="8"/>
  <c r="A12" i="8"/>
  <c r="A9" i="8"/>
  <c r="A8" i="8"/>
  <c r="E33" i="21" l="1"/>
  <c r="E55" i="21"/>
  <c r="C74" i="8"/>
  <c r="D23" i="30"/>
  <c r="D52" i="30" s="1"/>
  <c r="D23" i="26"/>
  <c r="D52" i="26" s="1"/>
  <c r="D23" i="25"/>
  <c r="D52" i="25" s="1"/>
  <c r="D23" i="24"/>
  <c r="D52" i="24" s="1"/>
  <c r="D23" i="23"/>
  <c r="D52" i="23" s="1"/>
  <c r="D23" i="22"/>
  <c r="D52" i="22" s="1"/>
  <c r="D23" i="21"/>
  <c r="D52" i="21" s="1"/>
  <c r="K48" i="11" l="1"/>
  <c r="L48" i="11"/>
  <c r="K49" i="11"/>
  <c r="L49" i="11"/>
  <c r="K50" i="11"/>
  <c r="L50" i="11"/>
  <c r="K51" i="11"/>
  <c r="L51" i="11"/>
  <c r="K52" i="11"/>
  <c r="L52" i="11"/>
  <c r="K53" i="11"/>
  <c r="L53" i="11"/>
  <c r="D57" i="30"/>
  <c r="D57" i="26"/>
  <c r="D57" i="25"/>
  <c r="D57" i="21"/>
  <c r="D57" i="22"/>
  <c r="D57" i="23"/>
  <c r="D57" i="24"/>
  <c r="C23" i="17"/>
  <c r="F20" i="17"/>
  <c r="K54" i="11" l="1"/>
  <c r="L54" i="11"/>
  <c r="AC69" i="26" l="1"/>
  <c r="B11" i="39" l="1"/>
  <c r="A11" i="39"/>
  <c r="K63" i="37" l="1"/>
  <c r="L63" i="37"/>
  <c r="M63" i="37"/>
  <c r="N63" i="37"/>
  <c r="O63" i="37"/>
  <c r="K54" i="37"/>
  <c r="L54" i="37"/>
  <c r="M54" i="37"/>
  <c r="N54" i="37"/>
  <c r="K45" i="37"/>
  <c r="L45" i="37"/>
  <c r="M45" i="37"/>
  <c r="N45" i="37"/>
  <c r="K36" i="37"/>
  <c r="L36" i="37"/>
  <c r="M36" i="37"/>
  <c r="N36" i="37"/>
  <c r="K31" i="37"/>
  <c r="L31" i="37"/>
  <c r="M31" i="37"/>
  <c r="N31" i="37"/>
  <c r="L27" i="37"/>
  <c r="M27" i="37"/>
  <c r="N27" i="37"/>
  <c r="K27" i="37"/>
  <c r="K9" i="37"/>
  <c r="K14" i="37"/>
  <c r="L18" i="37"/>
  <c r="M18" i="37"/>
  <c r="N18" i="37"/>
  <c r="K18" i="37"/>
  <c r="L9" i="37"/>
  <c r="M9" i="37"/>
  <c r="N9" i="37"/>
  <c r="K22" i="37" l="1"/>
  <c r="I13" i="36"/>
  <c r="C39" i="38"/>
  <c r="S29" i="38"/>
  <c r="S28" i="38"/>
  <c r="S27" i="38"/>
  <c r="S26" i="38"/>
  <c r="L39" i="38"/>
  <c r="L30" i="38"/>
  <c r="S38" i="38"/>
  <c r="S37" i="38"/>
  <c r="S36" i="38"/>
  <c r="S35" i="38"/>
  <c r="S39" i="38" l="1"/>
  <c r="D10" i="16"/>
  <c r="F10" i="16" s="1"/>
  <c r="D9" i="16"/>
  <c r="G9" i="36" l="1"/>
  <c r="T35" i="38" l="1"/>
  <c r="S30" i="38"/>
  <c r="T30" i="38" s="1"/>
  <c r="L189" i="37"/>
  <c r="M189" i="37"/>
  <c r="N189" i="37"/>
  <c r="L190" i="37"/>
  <c r="M190" i="37"/>
  <c r="N190" i="37"/>
  <c r="L191" i="37"/>
  <c r="M191" i="37"/>
  <c r="N191" i="37"/>
  <c r="K189" i="37"/>
  <c r="K191" i="37"/>
  <c r="K190" i="37"/>
  <c r="N36" i="38"/>
  <c r="N37" i="38"/>
  <c r="N38" i="38"/>
  <c r="N35" i="38"/>
  <c r="N27" i="38"/>
  <c r="N28" i="38"/>
  <c r="N29" i="38"/>
  <c r="N26" i="38"/>
  <c r="N18" i="38"/>
  <c r="N39" i="38" l="1"/>
  <c r="T36" i="38"/>
  <c r="T27" i="38"/>
  <c r="T29" i="38"/>
  <c r="T28" i="38"/>
  <c r="T26" i="38"/>
  <c r="T39" i="38"/>
  <c r="T38" i="38"/>
  <c r="T37" i="38"/>
  <c r="N30" i="38"/>
  <c r="N33" i="38" s="1"/>
  <c r="E28" i="8" l="1"/>
  <c r="E55" i="30"/>
  <c r="E33" i="30"/>
  <c r="D63" i="30"/>
  <c r="D63" i="26"/>
  <c r="D63" i="25"/>
  <c r="D63" i="24"/>
  <c r="D63" i="23"/>
  <c r="D63" i="22"/>
  <c r="K15" i="8"/>
  <c r="M15" i="8"/>
  <c r="N15" i="8"/>
  <c r="J15" i="8"/>
  <c r="O8" i="8"/>
  <c r="O9" i="8"/>
  <c r="O10" i="8"/>
  <c r="O11" i="8"/>
  <c r="O12" i="8"/>
  <c r="O13" i="8"/>
  <c r="O14" i="8"/>
  <c r="O7" i="8"/>
  <c r="L8" i="8"/>
  <c r="L9" i="8"/>
  <c r="L10" i="8"/>
  <c r="L11" i="8"/>
  <c r="L12" i="8"/>
  <c r="L13" i="8"/>
  <c r="L14" i="8"/>
  <c r="L7" i="8"/>
  <c r="K19" i="8" l="1"/>
  <c r="G20" i="8"/>
  <c r="F21" i="8"/>
  <c r="C10" i="38"/>
  <c r="E10" i="38" s="1"/>
  <c r="I20" i="8"/>
  <c r="E55" i="22" s="1"/>
  <c r="H22" i="8"/>
  <c r="E33" i="24" s="1"/>
  <c r="H19" i="8"/>
  <c r="H21" i="8"/>
  <c r="E33" i="23" s="1"/>
  <c r="H24" i="8"/>
  <c r="E33" i="26" s="1"/>
  <c r="H20" i="8"/>
  <c r="E33" i="22" s="1"/>
  <c r="O15" i="8"/>
  <c r="J19" i="8"/>
  <c r="I19" i="8"/>
  <c r="H23" i="8"/>
  <c r="E33" i="25" s="1"/>
  <c r="F24" i="8"/>
  <c r="F20" i="8"/>
  <c r="F23" i="8"/>
  <c r="J24" i="8"/>
  <c r="J23" i="8"/>
  <c r="J22" i="8"/>
  <c r="J21" i="8"/>
  <c r="J20" i="8"/>
  <c r="L15" i="8"/>
  <c r="F22" i="8"/>
  <c r="F19" i="8"/>
  <c r="G19" i="8"/>
  <c r="I24" i="8"/>
  <c r="E55" i="26" s="1"/>
  <c r="I23" i="8"/>
  <c r="E55" i="25" s="1"/>
  <c r="I22" i="8"/>
  <c r="E55" i="24" s="1"/>
  <c r="I21" i="8"/>
  <c r="E55" i="23" s="1"/>
  <c r="G24" i="8"/>
  <c r="G23" i="8"/>
  <c r="G22" i="8"/>
  <c r="G21" i="8"/>
  <c r="D28" i="8" l="1"/>
  <c r="C28" i="8"/>
  <c r="K22" i="8" l="1"/>
  <c r="K25" i="8"/>
  <c r="L23" i="8"/>
  <c r="L25" i="8"/>
  <c r="K21" i="8"/>
  <c r="L20" i="8"/>
  <c r="L19" i="8"/>
  <c r="L21" i="8"/>
  <c r="K24" i="8"/>
  <c r="K20" i="8"/>
  <c r="L22" i="8"/>
  <c r="K23" i="8"/>
  <c r="L24" i="8"/>
  <c r="D188" i="37"/>
  <c r="D179" i="37"/>
  <c r="D170" i="37"/>
  <c r="D161" i="37"/>
  <c r="D152" i="37"/>
  <c r="D143" i="37"/>
  <c r="D189" i="37"/>
  <c r="M122" i="37"/>
  <c r="L122" i="37"/>
  <c r="K122" i="37"/>
  <c r="M121" i="37"/>
  <c r="L121" i="37"/>
  <c r="K121" i="37"/>
  <c r="M120" i="37"/>
  <c r="L120" i="37"/>
  <c r="K120" i="37"/>
  <c r="M119" i="37"/>
  <c r="L119" i="37"/>
  <c r="K119" i="37"/>
  <c r="M118" i="37"/>
  <c r="L118" i="37"/>
  <c r="K118" i="37"/>
  <c r="K117" i="37"/>
  <c r="M117" i="37"/>
  <c r="L117" i="37"/>
  <c r="M116" i="37"/>
  <c r="L116" i="37"/>
  <c r="K116" i="37"/>
  <c r="M19" i="8" l="1"/>
  <c r="P121" i="37"/>
  <c r="D174" i="37" s="1"/>
  <c r="K28" i="8"/>
  <c r="P122" i="37"/>
  <c r="D183" i="37" s="1"/>
  <c r="O119" i="37"/>
  <c r="D155" i="37" s="1"/>
  <c r="N116" i="37"/>
  <c r="D127" i="37" s="1"/>
  <c r="P116" i="37"/>
  <c r="D129" i="37" s="1"/>
  <c r="N117" i="37"/>
  <c r="D136" i="37" s="1"/>
  <c r="N122" i="37"/>
  <c r="D181" i="37" s="1"/>
  <c r="O122" i="37"/>
  <c r="D182" i="37" s="1"/>
  <c r="N121" i="37"/>
  <c r="D172" i="37" s="1"/>
  <c r="O121" i="37"/>
  <c r="D173" i="37" s="1"/>
  <c r="N119" i="37"/>
  <c r="D154" i="37" s="1"/>
  <c r="O120" i="37"/>
  <c r="D164" i="37" s="1"/>
  <c r="P119" i="37"/>
  <c r="D156" i="37" s="1"/>
  <c r="N120" i="37"/>
  <c r="D163" i="37" s="1"/>
  <c r="P120" i="37"/>
  <c r="D165" i="37" s="1"/>
  <c r="L123" i="37"/>
  <c r="N118" i="37"/>
  <c r="D145" i="37" s="1"/>
  <c r="P118" i="37"/>
  <c r="D147" i="37" s="1"/>
  <c r="O118" i="37"/>
  <c r="D146" i="37" s="1"/>
  <c r="P117" i="37"/>
  <c r="D138" i="37" s="1"/>
  <c r="O117" i="37"/>
  <c r="D137" i="37" s="1"/>
  <c r="K123" i="37"/>
  <c r="M123" i="37"/>
  <c r="O116" i="37"/>
  <c r="D128" i="37" s="1"/>
  <c r="L88" i="37"/>
  <c r="M88" i="37"/>
  <c r="N88" i="37"/>
  <c r="O88" i="37"/>
  <c r="P88" i="37"/>
  <c r="Q88" i="37"/>
  <c r="R88" i="37"/>
  <c r="S88" i="37"/>
  <c r="T88" i="37"/>
  <c r="U88" i="37"/>
  <c r="V88" i="37"/>
  <c r="W88" i="37"/>
  <c r="X88" i="37"/>
  <c r="Y88" i="37"/>
  <c r="Z88" i="37"/>
  <c r="AA88" i="37"/>
  <c r="AB88" i="37"/>
  <c r="AC88" i="37"/>
  <c r="AD88" i="37"/>
  <c r="AE88" i="37"/>
  <c r="K88" i="37"/>
  <c r="L22" i="38"/>
  <c r="F105" i="37"/>
  <c r="G105" i="37" s="1"/>
  <c r="H105" i="37" s="1"/>
  <c r="I105" i="37" s="1"/>
  <c r="J105" i="37" s="1"/>
  <c r="K105" i="37" s="1"/>
  <c r="L105" i="37" s="1"/>
  <c r="M105" i="37" s="1"/>
  <c r="N105" i="37" s="1"/>
  <c r="F106" i="37"/>
  <c r="G106" i="37" s="1"/>
  <c r="H106" i="37" s="1"/>
  <c r="I106" i="37" s="1"/>
  <c r="J106" i="37" s="1"/>
  <c r="K106" i="37" s="1"/>
  <c r="L106" i="37" s="1"/>
  <c r="M106" i="37" s="1"/>
  <c r="N106" i="37" s="1"/>
  <c r="F107" i="37"/>
  <c r="G107" i="37" s="1"/>
  <c r="H107" i="37" s="1"/>
  <c r="I107" i="37" s="1"/>
  <c r="J107" i="37" s="1"/>
  <c r="K107" i="37" s="1"/>
  <c r="L107" i="37" s="1"/>
  <c r="M107" i="37" s="1"/>
  <c r="N107" i="37" s="1"/>
  <c r="F108" i="37"/>
  <c r="G108" i="37" s="1"/>
  <c r="H108" i="37" s="1"/>
  <c r="I108" i="37" s="1"/>
  <c r="J108" i="37" s="1"/>
  <c r="K108" i="37" s="1"/>
  <c r="L108" i="37" s="1"/>
  <c r="M108" i="37" s="1"/>
  <c r="N108" i="37" s="1"/>
  <c r="F109" i="37"/>
  <c r="G109" i="37" s="1"/>
  <c r="H109" i="37" s="1"/>
  <c r="I109" i="37" s="1"/>
  <c r="J109" i="37" s="1"/>
  <c r="K109" i="37" s="1"/>
  <c r="F110" i="37"/>
  <c r="F111" i="37"/>
  <c r="G111" i="37" s="1"/>
  <c r="H111" i="37" s="1"/>
  <c r="I111" i="37" s="1"/>
  <c r="J111" i="37" s="1"/>
  <c r="K111" i="37" s="1"/>
  <c r="L111" i="37" s="1"/>
  <c r="M111" i="37" s="1"/>
  <c r="N111" i="37" s="1"/>
  <c r="F112" i="37"/>
  <c r="G112" i="37" s="1"/>
  <c r="H112" i="37" s="1"/>
  <c r="I112" i="37" s="1"/>
  <c r="J112" i="37" s="1"/>
  <c r="K112" i="37" s="1"/>
  <c r="L112" i="37" s="1"/>
  <c r="M112" i="37" s="1"/>
  <c r="N112" i="37" s="1"/>
  <c r="F103" i="37"/>
  <c r="G103" i="37" s="1"/>
  <c r="H103" i="37" s="1"/>
  <c r="I103" i="37" s="1"/>
  <c r="J103" i="37" s="1"/>
  <c r="K103" i="37" s="1"/>
  <c r="L103" i="37" s="1"/>
  <c r="M103" i="37" s="1"/>
  <c r="N103" i="37" s="1"/>
  <c r="P105" i="37"/>
  <c r="Q105" i="37" s="1"/>
  <c r="R105" i="37" s="1"/>
  <c r="S105" i="37" s="1"/>
  <c r="T105" i="37" s="1"/>
  <c r="U105" i="37" s="1"/>
  <c r="V105" i="37" s="1"/>
  <c r="W105" i="37" s="1"/>
  <c r="X105" i="37" s="1"/>
  <c r="Y105" i="37" s="1"/>
  <c r="Z105" i="37" s="1"/>
  <c r="AA105" i="37" s="1"/>
  <c r="AB105" i="37" s="1"/>
  <c r="AC105" i="37" s="1"/>
  <c r="AD105" i="37" s="1"/>
  <c r="AE105" i="37" s="1"/>
  <c r="P106" i="37"/>
  <c r="Q106" i="37" s="1"/>
  <c r="R106" i="37" s="1"/>
  <c r="S106" i="37" s="1"/>
  <c r="T106" i="37" s="1"/>
  <c r="U106" i="37" s="1"/>
  <c r="V106" i="37" s="1"/>
  <c r="W106" i="37" s="1"/>
  <c r="X106" i="37" s="1"/>
  <c r="Y106" i="37" s="1"/>
  <c r="Z106" i="37" s="1"/>
  <c r="AA106" i="37" s="1"/>
  <c r="AB106" i="37" s="1"/>
  <c r="AC106" i="37" s="1"/>
  <c r="AD106" i="37" s="1"/>
  <c r="AE106" i="37" s="1"/>
  <c r="P107" i="37"/>
  <c r="Q107" i="37" s="1"/>
  <c r="R107" i="37" s="1"/>
  <c r="S107" i="37" s="1"/>
  <c r="T107" i="37" s="1"/>
  <c r="U107" i="37" s="1"/>
  <c r="V107" i="37" s="1"/>
  <c r="W107" i="37" s="1"/>
  <c r="X107" i="37" s="1"/>
  <c r="Y107" i="37" s="1"/>
  <c r="Z107" i="37" s="1"/>
  <c r="AA107" i="37" s="1"/>
  <c r="AB107" i="37" s="1"/>
  <c r="AC107" i="37" s="1"/>
  <c r="AD107" i="37" s="1"/>
  <c r="AE107" i="37" s="1"/>
  <c r="P108" i="37"/>
  <c r="P109" i="37"/>
  <c r="Q109" i="37" s="1"/>
  <c r="R109" i="37" s="1"/>
  <c r="S109" i="37" s="1"/>
  <c r="T109" i="37" s="1"/>
  <c r="U109" i="37" s="1"/>
  <c r="V109" i="37" s="1"/>
  <c r="W109" i="37" s="1"/>
  <c r="X109" i="37" s="1"/>
  <c r="Y109" i="37" s="1"/>
  <c r="Z109" i="37" s="1"/>
  <c r="AA109" i="37" s="1"/>
  <c r="AB109" i="37" s="1"/>
  <c r="AC109" i="37" s="1"/>
  <c r="AD109" i="37" s="1"/>
  <c r="AE109" i="37" s="1"/>
  <c r="P110" i="37"/>
  <c r="Q110" i="37" s="1"/>
  <c r="R110" i="37" s="1"/>
  <c r="S110" i="37" s="1"/>
  <c r="T110" i="37" s="1"/>
  <c r="U110" i="37" s="1"/>
  <c r="V110" i="37" s="1"/>
  <c r="W110" i="37" s="1"/>
  <c r="X110" i="37" s="1"/>
  <c r="Y110" i="37" s="1"/>
  <c r="Z110" i="37" s="1"/>
  <c r="AA110" i="37" s="1"/>
  <c r="AB110" i="37" s="1"/>
  <c r="AC110" i="37" s="1"/>
  <c r="AD110" i="37" s="1"/>
  <c r="AE110" i="37" s="1"/>
  <c r="P111" i="37"/>
  <c r="Q111" i="37" s="1"/>
  <c r="R111" i="37" s="1"/>
  <c r="S111" i="37" s="1"/>
  <c r="T111" i="37" s="1"/>
  <c r="U111" i="37" s="1"/>
  <c r="V111" i="37" s="1"/>
  <c r="W111" i="37" s="1"/>
  <c r="X111" i="37" s="1"/>
  <c r="Y111" i="37" s="1"/>
  <c r="Z111" i="37" s="1"/>
  <c r="AA111" i="37" s="1"/>
  <c r="AB111" i="37" s="1"/>
  <c r="AC111" i="37" s="1"/>
  <c r="AD111" i="37" s="1"/>
  <c r="AE111" i="37" s="1"/>
  <c r="P112" i="37"/>
  <c r="Q112" i="37" s="1"/>
  <c r="R112" i="37" s="1"/>
  <c r="S112" i="37" s="1"/>
  <c r="T112" i="37" s="1"/>
  <c r="U112" i="37" s="1"/>
  <c r="V112" i="37" s="1"/>
  <c r="W112" i="37" s="1"/>
  <c r="X112" i="37" s="1"/>
  <c r="Y112" i="37" s="1"/>
  <c r="Z112" i="37" s="1"/>
  <c r="AA112" i="37" s="1"/>
  <c r="AB112" i="37" s="1"/>
  <c r="AC112" i="37" s="1"/>
  <c r="AD112" i="37" s="1"/>
  <c r="AE112" i="37" s="1"/>
  <c r="P103" i="37"/>
  <c r="E104" i="37"/>
  <c r="O104" i="37"/>
  <c r="Q108" i="37"/>
  <c r="R108" i="37" s="1"/>
  <c r="S108" i="37" s="1"/>
  <c r="T108" i="37" s="1"/>
  <c r="U108" i="37" s="1"/>
  <c r="V108" i="37" s="1"/>
  <c r="W108" i="37" s="1"/>
  <c r="X108" i="37" s="1"/>
  <c r="Y108" i="37" s="1"/>
  <c r="Z108" i="37" s="1"/>
  <c r="AA108" i="37" s="1"/>
  <c r="AB108" i="37" s="1"/>
  <c r="AC108" i="37" s="1"/>
  <c r="AD108" i="37" s="1"/>
  <c r="AE108" i="37" s="1"/>
  <c r="G110" i="37"/>
  <c r="H110" i="37" s="1"/>
  <c r="I110" i="37" s="1"/>
  <c r="J110" i="37" s="1"/>
  <c r="K110" i="37" s="1"/>
  <c r="L110" i="37" s="1"/>
  <c r="M110" i="37" s="1"/>
  <c r="N110" i="37" s="1"/>
  <c r="N19" i="38"/>
  <c r="N20" i="38"/>
  <c r="N21" i="38"/>
  <c r="D186" i="37" l="1"/>
  <c r="D178" i="37"/>
  <c r="D158" i="37"/>
  <c r="D159" i="37"/>
  <c r="D141" i="37"/>
  <c r="D160" i="37"/>
  <c r="D176" i="37"/>
  <c r="D133" i="37"/>
  <c r="D132" i="37"/>
  <c r="D142" i="37"/>
  <c r="D168" i="37"/>
  <c r="D131" i="37"/>
  <c r="D169" i="37"/>
  <c r="D185" i="37"/>
  <c r="D167" i="37"/>
  <c r="D177" i="37"/>
  <c r="D140" i="37"/>
  <c r="D187" i="37"/>
  <c r="D151" i="37"/>
  <c r="D149" i="37"/>
  <c r="D150" i="37"/>
  <c r="L109" i="37"/>
  <c r="M109" i="37" s="1"/>
  <c r="N109" i="37" s="1"/>
  <c r="Q103" i="37"/>
  <c r="R103" i="37" s="1"/>
  <c r="S103" i="37" s="1"/>
  <c r="T103" i="37" s="1"/>
  <c r="U103" i="37" s="1"/>
  <c r="V103" i="37" s="1"/>
  <c r="W103" i="37" s="1"/>
  <c r="X103" i="37" s="1"/>
  <c r="Y103" i="37" s="1"/>
  <c r="Z103" i="37" s="1"/>
  <c r="AA103" i="37" s="1"/>
  <c r="AB103" i="37" s="1"/>
  <c r="AC103" i="37" s="1"/>
  <c r="AD103" i="37" s="1"/>
  <c r="AE103" i="37" s="1"/>
  <c r="C41" i="38"/>
  <c r="O123" i="37"/>
  <c r="P123" i="37"/>
  <c r="N123" i="37"/>
  <c r="N22" i="38"/>
  <c r="F104" i="37"/>
  <c r="G104" i="37" s="1"/>
  <c r="H104" i="37" s="1"/>
  <c r="I104" i="37" s="1"/>
  <c r="J104" i="37" s="1"/>
  <c r="K104" i="37" s="1"/>
  <c r="L104" i="37" s="1"/>
  <c r="M104" i="37" s="1"/>
  <c r="N104" i="37" s="1"/>
  <c r="P104" i="37"/>
  <c r="Q104" i="37" s="1"/>
  <c r="R104" i="37" s="1"/>
  <c r="S104" i="37" s="1"/>
  <c r="T104" i="37" s="1"/>
  <c r="U104" i="37" s="1"/>
  <c r="V104" i="37" s="1"/>
  <c r="W104" i="37" s="1"/>
  <c r="X104" i="37" s="1"/>
  <c r="Y104" i="37" s="1"/>
  <c r="Z104" i="37" s="1"/>
  <c r="AA104" i="37" s="1"/>
  <c r="AB104" i="37" s="1"/>
  <c r="AC104" i="37" s="1"/>
  <c r="AD104" i="37" s="1"/>
  <c r="AE104" i="37" s="1"/>
  <c r="C19" i="38" l="1"/>
  <c r="O20" i="38"/>
  <c r="Q20" i="38" s="1"/>
  <c r="O18" i="38"/>
  <c r="Q18" i="38" s="1"/>
  <c r="O21" i="38"/>
  <c r="Q21" i="38" s="1"/>
  <c r="O19" i="38"/>
  <c r="Q19" i="38" s="1"/>
  <c r="R18" i="38" l="1"/>
  <c r="M10" i="38" s="1"/>
  <c r="E22" i="38" s="1"/>
  <c r="R19" i="38"/>
  <c r="M11" i="38" s="1"/>
  <c r="R21" i="38"/>
  <c r="M13" i="38" s="1"/>
  <c r="H22" i="38" s="1"/>
  <c r="O22" i="38"/>
  <c r="Q22" i="38" s="1"/>
  <c r="R20" i="38"/>
  <c r="M12" i="38" s="1"/>
  <c r="R22" i="38"/>
  <c r="G22" i="38" l="1"/>
  <c r="F22" i="38"/>
  <c r="L59" i="37"/>
  <c r="L67" i="37" s="1"/>
  <c r="M59" i="37"/>
  <c r="M67" i="37" s="1"/>
  <c r="N59" i="37"/>
  <c r="N67" i="37" s="1"/>
  <c r="O59" i="37"/>
  <c r="O67" i="37" s="1"/>
  <c r="K59" i="37"/>
  <c r="K67" i="37" s="1"/>
  <c r="L50" i="37"/>
  <c r="L58" i="37" s="1"/>
  <c r="M50" i="37"/>
  <c r="M58" i="37" s="1"/>
  <c r="N50" i="37"/>
  <c r="N58" i="37" s="1"/>
  <c r="O50" i="37"/>
  <c r="K50" i="37"/>
  <c r="K58" i="37" s="1"/>
  <c r="L41" i="37"/>
  <c r="M41" i="37"/>
  <c r="N41" i="37"/>
  <c r="O41" i="37"/>
  <c r="K41" i="37"/>
  <c r="L32" i="37"/>
  <c r="L40" i="37" s="1"/>
  <c r="M32" i="37"/>
  <c r="M40" i="37" s="1"/>
  <c r="N32" i="37"/>
  <c r="N40" i="37" s="1"/>
  <c r="O32" i="37"/>
  <c r="K32" i="37"/>
  <c r="K40" i="37" s="1"/>
  <c r="L23" i="37"/>
  <c r="M23" i="37"/>
  <c r="N23" i="37"/>
  <c r="O23" i="37"/>
  <c r="K23" i="37"/>
  <c r="K5" i="37"/>
  <c r="K13" i="37" s="1"/>
  <c r="L14" i="37"/>
  <c r="L22" i="37" s="1"/>
  <c r="M14" i="37"/>
  <c r="M22" i="37" s="1"/>
  <c r="N14" i="37"/>
  <c r="N22" i="37" s="1"/>
  <c r="O14" i="37"/>
  <c r="L5" i="37"/>
  <c r="L13" i="37" s="1"/>
  <c r="M5" i="37"/>
  <c r="M13" i="37" s="1"/>
  <c r="N5" i="37"/>
  <c r="N13" i="37" s="1"/>
  <c r="O5" i="37"/>
  <c r="L49" i="37" l="1"/>
  <c r="M49" i="37"/>
  <c r="N49" i="37"/>
  <c r="K49" i="37"/>
  <c r="AC69" i="21" l="1"/>
  <c r="H112" i="21" s="1"/>
  <c r="O9" i="37" l="1"/>
  <c r="O13" i="37" s="1"/>
  <c r="N68" i="37"/>
  <c r="M68" i="37"/>
  <c r="K68" i="37"/>
  <c r="L68" i="37"/>
  <c r="G10" i="36"/>
  <c r="I9" i="36"/>
  <c r="G12" i="36" l="1"/>
  <c r="C51" i="8" s="1"/>
  <c r="G14" i="36"/>
  <c r="D55" i="11" s="1"/>
  <c r="G13" i="36"/>
  <c r="B16" i="36"/>
  <c r="H7" i="17"/>
  <c r="J7" i="17"/>
  <c r="H8" i="17"/>
  <c r="J8" i="17"/>
  <c r="O8" i="17" s="1"/>
  <c r="L8" i="17"/>
  <c r="M8" i="17"/>
  <c r="H9" i="17"/>
  <c r="J9" i="17"/>
  <c r="M9" i="17"/>
  <c r="H10" i="17"/>
  <c r="J10" i="17"/>
  <c r="M10" i="17"/>
  <c r="H11" i="17"/>
  <c r="J11" i="17"/>
  <c r="M11" i="17"/>
  <c r="H12" i="17"/>
  <c r="J12" i="17"/>
  <c r="M12" i="17"/>
  <c r="C13" i="17"/>
  <c r="F21" i="17"/>
  <c r="F22" i="17"/>
  <c r="F29" i="17"/>
  <c r="F30" i="17"/>
  <c r="F36" i="17"/>
  <c r="F37" i="17"/>
  <c r="F38" i="17"/>
  <c r="C39" i="17"/>
  <c r="F9" i="16"/>
  <c r="G10" i="16"/>
  <c r="D11" i="16"/>
  <c r="F21" i="30"/>
  <c r="J21" i="30"/>
  <c r="K21" i="30" s="1"/>
  <c r="L21" i="30" s="1"/>
  <c r="E22" i="30"/>
  <c r="E23" i="30" s="1"/>
  <c r="E52" i="30" s="1"/>
  <c r="E27" i="30"/>
  <c r="F27" i="30"/>
  <c r="G27" i="30"/>
  <c r="H27" i="30"/>
  <c r="I27" i="30"/>
  <c r="D36" i="30"/>
  <c r="E36" i="30" s="1"/>
  <c r="F36" i="30" s="1"/>
  <c r="G36" i="30" s="1"/>
  <c r="H36" i="30" s="1"/>
  <c r="I36" i="30" s="1"/>
  <c r="J36" i="30" s="1"/>
  <c r="K36" i="30" s="1"/>
  <c r="L36" i="30" s="1"/>
  <c r="M36" i="30" s="1"/>
  <c r="N36" i="30" s="1"/>
  <c r="O36" i="30" s="1"/>
  <c r="P36" i="30" s="1"/>
  <c r="Q36" i="30" s="1"/>
  <c r="R36" i="30" s="1"/>
  <c r="S36" i="30" s="1"/>
  <c r="T36" i="30" s="1"/>
  <c r="U36" i="30" s="1"/>
  <c r="V36" i="30" s="1"/>
  <c r="W36" i="30" s="1"/>
  <c r="X36" i="30" s="1"/>
  <c r="D37" i="30"/>
  <c r="E37" i="30" s="1"/>
  <c r="F37" i="30" s="1"/>
  <c r="G37" i="30" s="1"/>
  <c r="H37" i="30" s="1"/>
  <c r="I37" i="30" s="1"/>
  <c r="J37" i="30" s="1"/>
  <c r="K37" i="30" s="1"/>
  <c r="L37" i="30" s="1"/>
  <c r="M37" i="30" s="1"/>
  <c r="N37" i="30" s="1"/>
  <c r="O37" i="30" s="1"/>
  <c r="P37" i="30" s="1"/>
  <c r="Q37" i="30" s="1"/>
  <c r="R37" i="30" s="1"/>
  <c r="S37" i="30" s="1"/>
  <c r="T37" i="30" s="1"/>
  <c r="U37" i="30" s="1"/>
  <c r="V37" i="30" s="1"/>
  <c r="W37" i="30" s="1"/>
  <c r="X37" i="30" s="1"/>
  <c r="D38" i="30"/>
  <c r="E38" i="30" s="1"/>
  <c r="F38" i="30" s="1"/>
  <c r="G38" i="30" s="1"/>
  <c r="H38" i="30" s="1"/>
  <c r="I38" i="30" s="1"/>
  <c r="J38" i="30" s="1"/>
  <c r="K38" i="30" s="1"/>
  <c r="L38" i="30" s="1"/>
  <c r="M38" i="30" s="1"/>
  <c r="N38" i="30" s="1"/>
  <c r="O38" i="30" s="1"/>
  <c r="P38" i="30" s="1"/>
  <c r="Q38" i="30" s="1"/>
  <c r="R38" i="30" s="1"/>
  <c r="S38" i="30" s="1"/>
  <c r="T38" i="30" s="1"/>
  <c r="U38" i="30" s="1"/>
  <c r="V38" i="30" s="1"/>
  <c r="W38" i="30" s="1"/>
  <c r="X38" i="30" s="1"/>
  <c r="D39" i="30"/>
  <c r="E39" i="30" s="1"/>
  <c r="J69" i="30"/>
  <c r="K69" i="30"/>
  <c r="L69" i="30"/>
  <c r="M69" i="30"/>
  <c r="N69" i="30"/>
  <c r="O69" i="30"/>
  <c r="P69" i="30"/>
  <c r="Q69" i="30"/>
  <c r="X69" i="30"/>
  <c r="F55" i="11" s="1"/>
  <c r="AB69" i="30"/>
  <c r="F101" i="30" s="1"/>
  <c r="F117" i="30" s="1"/>
  <c r="AC69" i="30"/>
  <c r="D109" i="30" s="1"/>
  <c r="P70" i="30"/>
  <c r="Q70" i="30"/>
  <c r="R70" i="30"/>
  <c r="D74" i="30"/>
  <c r="I112" i="30"/>
  <c r="J112" i="30" s="1"/>
  <c r="K112" i="30" s="1"/>
  <c r="L112" i="30" s="1"/>
  <c r="M112" i="30" s="1"/>
  <c r="N112" i="30" s="1"/>
  <c r="O112" i="30" s="1"/>
  <c r="P112" i="30" s="1"/>
  <c r="Q112" i="30" s="1"/>
  <c r="R112" i="30" s="1"/>
  <c r="S112" i="30" s="1"/>
  <c r="T112" i="30" s="1"/>
  <c r="U112" i="30" s="1"/>
  <c r="V112" i="30" s="1"/>
  <c r="W112" i="30" s="1"/>
  <c r="X112" i="30" s="1"/>
  <c r="D113" i="30"/>
  <c r="D115" i="30"/>
  <c r="D116" i="30" s="1"/>
  <c r="F21" i="26"/>
  <c r="G21" i="26" s="1"/>
  <c r="H21" i="26" s="1"/>
  <c r="J21" i="26"/>
  <c r="K21" i="26" s="1"/>
  <c r="E22" i="26"/>
  <c r="E27" i="26"/>
  <c r="F27" i="26"/>
  <c r="G27" i="26"/>
  <c r="H27" i="26"/>
  <c r="I27" i="26"/>
  <c r="D36" i="26"/>
  <c r="E36" i="26" s="1"/>
  <c r="F36" i="26" s="1"/>
  <c r="G36" i="26" s="1"/>
  <c r="H36" i="26" s="1"/>
  <c r="I36" i="26" s="1"/>
  <c r="J36" i="26" s="1"/>
  <c r="K36" i="26" s="1"/>
  <c r="L36" i="26" s="1"/>
  <c r="M36" i="26" s="1"/>
  <c r="N36" i="26" s="1"/>
  <c r="O36" i="26" s="1"/>
  <c r="P36" i="26" s="1"/>
  <c r="Q36" i="26" s="1"/>
  <c r="R36" i="26" s="1"/>
  <c r="S36" i="26" s="1"/>
  <c r="T36" i="26" s="1"/>
  <c r="U36" i="26" s="1"/>
  <c r="V36" i="26" s="1"/>
  <c r="W36" i="26" s="1"/>
  <c r="X36" i="26" s="1"/>
  <c r="D37" i="26"/>
  <c r="E37" i="26" s="1"/>
  <c r="F37" i="26" s="1"/>
  <c r="G37" i="26" s="1"/>
  <c r="H37" i="26" s="1"/>
  <c r="I37" i="26" s="1"/>
  <c r="J37" i="26" s="1"/>
  <c r="K37" i="26" s="1"/>
  <c r="L37" i="26" s="1"/>
  <c r="M37" i="26" s="1"/>
  <c r="N37" i="26" s="1"/>
  <c r="O37" i="26" s="1"/>
  <c r="P37" i="26" s="1"/>
  <c r="Q37" i="26" s="1"/>
  <c r="R37" i="26" s="1"/>
  <c r="S37" i="26" s="1"/>
  <c r="T37" i="26" s="1"/>
  <c r="U37" i="26" s="1"/>
  <c r="V37" i="26" s="1"/>
  <c r="W37" i="26" s="1"/>
  <c r="X37" i="26" s="1"/>
  <c r="D38" i="26"/>
  <c r="E38" i="26" s="1"/>
  <c r="F38" i="26" s="1"/>
  <c r="G38" i="26" s="1"/>
  <c r="H38" i="26" s="1"/>
  <c r="I38" i="26" s="1"/>
  <c r="J38" i="26" s="1"/>
  <c r="K38" i="26" s="1"/>
  <c r="L38" i="26" s="1"/>
  <c r="M38" i="26" s="1"/>
  <c r="N38" i="26" s="1"/>
  <c r="O38" i="26" s="1"/>
  <c r="P38" i="26" s="1"/>
  <c r="Q38" i="26" s="1"/>
  <c r="R38" i="26" s="1"/>
  <c r="S38" i="26" s="1"/>
  <c r="T38" i="26" s="1"/>
  <c r="U38" i="26" s="1"/>
  <c r="V38" i="26" s="1"/>
  <c r="W38" i="26" s="1"/>
  <c r="X38" i="26" s="1"/>
  <c r="D39" i="26"/>
  <c r="E39" i="26" s="1"/>
  <c r="J69" i="26"/>
  <c r="K69" i="26"/>
  <c r="L69" i="26"/>
  <c r="M69" i="26"/>
  <c r="N69" i="26"/>
  <c r="O69" i="26"/>
  <c r="P69" i="26"/>
  <c r="Q69" i="26"/>
  <c r="X69" i="26"/>
  <c r="F53" i="11" s="1"/>
  <c r="Y69" i="26"/>
  <c r="Z69" i="26"/>
  <c r="AB69" i="26"/>
  <c r="F101" i="26" s="1"/>
  <c r="F117" i="26" s="1"/>
  <c r="D109" i="26"/>
  <c r="N53" i="11" s="1"/>
  <c r="P70" i="26"/>
  <c r="Q70" i="26"/>
  <c r="R70" i="26"/>
  <c r="D113" i="26"/>
  <c r="D115" i="26"/>
  <c r="D116" i="26" s="1"/>
  <c r="F21" i="25"/>
  <c r="G21" i="25" s="1"/>
  <c r="J21" i="25"/>
  <c r="K21" i="25" s="1"/>
  <c r="L21" i="25" s="1"/>
  <c r="M21" i="25" s="1"/>
  <c r="E22" i="25"/>
  <c r="E74" i="25" s="1"/>
  <c r="E27" i="25"/>
  <c r="F27" i="25"/>
  <c r="G27" i="25"/>
  <c r="H27" i="25"/>
  <c r="I27" i="25"/>
  <c r="D36" i="25"/>
  <c r="E36" i="25" s="1"/>
  <c r="F36" i="25" s="1"/>
  <c r="G36" i="25" s="1"/>
  <c r="H36" i="25" s="1"/>
  <c r="I36" i="25" s="1"/>
  <c r="J36" i="25" s="1"/>
  <c r="K36" i="25" s="1"/>
  <c r="L36" i="25" s="1"/>
  <c r="M36" i="25" s="1"/>
  <c r="N36" i="25" s="1"/>
  <c r="O36" i="25" s="1"/>
  <c r="P36" i="25" s="1"/>
  <c r="Q36" i="25" s="1"/>
  <c r="R36" i="25" s="1"/>
  <c r="S36" i="25" s="1"/>
  <c r="T36" i="25" s="1"/>
  <c r="U36" i="25" s="1"/>
  <c r="V36" i="25" s="1"/>
  <c r="W36" i="25" s="1"/>
  <c r="X36" i="25" s="1"/>
  <c r="D37" i="25"/>
  <c r="E37" i="25" s="1"/>
  <c r="F37" i="25" s="1"/>
  <c r="G37" i="25" s="1"/>
  <c r="H37" i="25" s="1"/>
  <c r="I37" i="25" s="1"/>
  <c r="J37" i="25" s="1"/>
  <c r="K37" i="25" s="1"/>
  <c r="L37" i="25" s="1"/>
  <c r="M37" i="25" s="1"/>
  <c r="N37" i="25" s="1"/>
  <c r="O37" i="25" s="1"/>
  <c r="P37" i="25" s="1"/>
  <c r="Q37" i="25" s="1"/>
  <c r="R37" i="25" s="1"/>
  <c r="S37" i="25" s="1"/>
  <c r="T37" i="25" s="1"/>
  <c r="U37" i="25" s="1"/>
  <c r="V37" i="25" s="1"/>
  <c r="W37" i="25" s="1"/>
  <c r="X37" i="25" s="1"/>
  <c r="D38" i="25"/>
  <c r="E38" i="25" s="1"/>
  <c r="F38" i="25" s="1"/>
  <c r="G38" i="25" s="1"/>
  <c r="H38" i="25" s="1"/>
  <c r="I38" i="25" s="1"/>
  <c r="J38" i="25" s="1"/>
  <c r="K38" i="25" s="1"/>
  <c r="L38" i="25" s="1"/>
  <c r="M38" i="25" s="1"/>
  <c r="N38" i="25" s="1"/>
  <c r="O38" i="25" s="1"/>
  <c r="P38" i="25" s="1"/>
  <c r="Q38" i="25" s="1"/>
  <c r="R38" i="25" s="1"/>
  <c r="S38" i="25" s="1"/>
  <c r="T38" i="25" s="1"/>
  <c r="U38" i="25" s="1"/>
  <c r="V38" i="25" s="1"/>
  <c r="W38" i="25" s="1"/>
  <c r="X38" i="25" s="1"/>
  <c r="D39" i="25"/>
  <c r="E39" i="25" s="1"/>
  <c r="J69" i="25"/>
  <c r="K69" i="25"/>
  <c r="L69" i="25"/>
  <c r="M69" i="25"/>
  <c r="N69" i="25"/>
  <c r="O69" i="25"/>
  <c r="P69" i="25"/>
  <c r="Q69" i="25"/>
  <c r="X69" i="25"/>
  <c r="F52" i="11" s="1"/>
  <c r="Y69" i="25"/>
  <c r="Z69" i="25"/>
  <c r="AB69" i="25"/>
  <c r="D101" i="25" s="1"/>
  <c r="D117" i="25" s="1"/>
  <c r="AC69" i="25"/>
  <c r="P70" i="25"/>
  <c r="Q70" i="25"/>
  <c r="R70" i="25"/>
  <c r="D113" i="25"/>
  <c r="D115" i="25"/>
  <c r="D116" i="25" s="1"/>
  <c r="F21" i="24"/>
  <c r="J21" i="24"/>
  <c r="E22" i="24"/>
  <c r="E27" i="24"/>
  <c r="F27" i="24"/>
  <c r="G27" i="24"/>
  <c r="H27" i="24"/>
  <c r="I27" i="24"/>
  <c r="D36" i="24"/>
  <c r="E36" i="24" s="1"/>
  <c r="F36" i="24" s="1"/>
  <c r="G36" i="24" s="1"/>
  <c r="H36" i="24" s="1"/>
  <c r="I36" i="24" s="1"/>
  <c r="J36" i="24" s="1"/>
  <c r="K36" i="24" s="1"/>
  <c r="L36" i="24" s="1"/>
  <c r="M36" i="24" s="1"/>
  <c r="N36" i="24" s="1"/>
  <c r="O36" i="24" s="1"/>
  <c r="P36" i="24" s="1"/>
  <c r="Q36" i="24" s="1"/>
  <c r="R36" i="24" s="1"/>
  <c r="S36" i="24" s="1"/>
  <c r="T36" i="24" s="1"/>
  <c r="U36" i="24" s="1"/>
  <c r="V36" i="24" s="1"/>
  <c r="W36" i="24" s="1"/>
  <c r="X36" i="24" s="1"/>
  <c r="D37" i="24"/>
  <c r="E37" i="24" s="1"/>
  <c r="F37" i="24" s="1"/>
  <c r="G37" i="24" s="1"/>
  <c r="H37" i="24" s="1"/>
  <c r="I37" i="24" s="1"/>
  <c r="J37" i="24" s="1"/>
  <c r="K37" i="24" s="1"/>
  <c r="L37" i="24" s="1"/>
  <c r="M37" i="24" s="1"/>
  <c r="N37" i="24" s="1"/>
  <c r="O37" i="24" s="1"/>
  <c r="P37" i="24" s="1"/>
  <c r="Q37" i="24" s="1"/>
  <c r="R37" i="24" s="1"/>
  <c r="S37" i="24" s="1"/>
  <c r="T37" i="24" s="1"/>
  <c r="U37" i="24" s="1"/>
  <c r="V37" i="24" s="1"/>
  <c r="W37" i="24" s="1"/>
  <c r="X37" i="24" s="1"/>
  <c r="D38" i="24"/>
  <c r="E38" i="24" s="1"/>
  <c r="F38" i="24" s="1"/>
  <c r="G38" i="24" s="1"/>
  <c r="H38" i="24" s="1"/>
  <c r="I38" i="24" s="1"/>
  <c r="J38" i="24" s="1"/>
  <c r="K38" i="24" s="1"/>
  <c r="L38" i="24" s="1"/>
  <c r="M38" i="24" s="1"/>
  <c r="N38" i="24" s="1"/>
  <c r="O38" i="24" s="1"/>
  <c r="P38" i="24" s="1"/>
  <c r="Q38" i="24" s="1"/>
  <c r="R38" i="24" s="1"/>
  <c r="S38" i="24" s="1"/>
  <c r="T38" i="24" s="1"/>
  <c r="U38" i="24" s="1"/>
  <c r="V38" i="24" s="1"/>
  <c r="W38" i="24" s="1"/>
  <c r="X38" i="24" s="1"/>
  <c r="D39" i="24"/>
  <c r="E39" i="24" s="1"/>
  <c r="J69" i="24"/>
  <c r="K69" i="24"/>
  <c r="L69" i="24"/>
  <c r="M69" i="24"/>
  <c r="N69" i="24"/>
  <c r="O69" i="24"/>
  <c r="P69" i="24"/>
  <c r="Q69" i="24"/>
  <c r="X69" i="24"/>
  <c r="F51" i="11" s="1"/>
  <c r="Y69" i="24"/>
  <c r="Z69" i="24"/>
  <c r="AB69" i="24"/>
  <c r="AC69" i="24"/>
  <c r="D109" i="24" s="1"/>
  <c r="P70" i="24"/>
  <c r="Q70" i="24"/>
  <c r="R70" i="24"/>
  <c r="D113" i="24"/>
  <c r="D115" i="24"/>
  <c r="F21" i="23"/>
  <c r="J21" i="23"/>
  <c r="K21" i="23" s="1"/>
  <c r="E22" i="23"/>
  <c r="E23" i="23" s="1"/>
  <c r="E52" i="23" s="1"/>
  <c r="E27" i="23"/>
  <c r="F27" i="23"/>
  <c r="G27" i="23"/>
  <c r="H27" i="23"/>
  <c r="I27" i="23"/>
  <c r="D36" i="23"/>
  <c r="E36" i="23" s="1"/>
  <c r="F36" i="23" s="1"/>
  <c r="G36" i="23" s="1"/>
  <c r="H36" i="23" s="1"/>
  <c r="I36" i="23" s="1"/>
  <c r="J36" i="23" s="1"/>
  <c r="K36" i="23" s="1"/>
  <c r="L36" i="23" s="1"/>
  <c r="M36" i="23" s="1"/>
  <c r="N36" i="23" s="1"/>
  <c r="O36" i="23" s="1"/>
  <c r="P36" i="23" s="1"/>
  <c r="Q36" i="23" s="1"/>
  <c r="R36" i="23" s="1"/>
  <c r="S36" i="23" s="1"/>
  <c r="T36" i="23" s="1"/>
  <c r="U36" i="23" s="1"/>
  <c r="V36" i="23" s="1"/>
  <c r="W36" i="23" s="1"/>
  <c r="X36" i="23" s="1"/>
  <c r="D37" i="23"/>
  <c r="E37" i="23" s="1"/>
  <c r="F37" i="23" s="1"/>
  <c r="G37" i="23" s="1"/>
  <c r="H37" i="23" s="1"/>
  <c r="I37" i="23" s="1"/>
  <c r="J37" i="23" s="1"/>
  <c r="K37" i="23" s="1"/>
  <c r="L37" i="23" s="1"/>
  <c r="M37" i="23" s="1"/>
  <c r="N37" i="23" s="1"/>
  <c r="O37" i="23" s="1"/>
  <c r="P37" i="23" s="1"/>
  <c r="Q37" i="23" s="1"/>
  <c r="R37" i="23" s="1"/>
  <c r="S37" i="23" s="1"/>
  <c r="T37" i="23" s="1"/>
  <c r="U37" i="23" s="1"/>
  <c r="V37" i="23" s="1"/>
  <c r="W37" i="23" s="1"/>
  <c r="X37" i="23" s="1"/>
  <c r="D38" i="23"/>
  <c r="E38" i="23" s="1"/>
  <c r="F38" i="23" s="1"/>
  <c r="G38" i="23" s="1"/>
  <c r="H38" i="23" s="1"/>
  <c r="I38" i="23" s="1"/>
  <c r="J38" i="23" s="1"/>
  <c r="K38" i="23" s="1"/>
  <c r="L38" i="23" s="1"/>
  <c r="M38" i="23" s="1"/>
  <c r="N38" i="23" s="1"/>
  <c r="O38" i="23" s="1"/>
  <c r="P38" i="23" s="1"/>
  <c r="Q38" i="23" s="1"/>
  <c r="R38" i="23" s="1"/>
  <c r="S38" i="23" s="1"/>
  <c r="T38" i="23" s="1"/>
  <c r="U38" i="23" s="1"/>
  <c r="V38" i="23" s="1"/>
  <c r="W38" i="23" s="1"/>
  <c r="X38" i="23" s="1"/>
  <c r="D39" i="23"/>
  <c r="E39" i="23" s="1"/>
  <c r="J69" i="23"/>
  <c r="K69" i="23"/>
  <c r="L69" i="23"/>
  <c r="M69" i="23"/>
  <c r="N69" i="23"/>
  <c r="O69" i="23"/>
  <c r="P69" i="23"/>
  <c r="Q69" i="23"/>
  <c r="X69" i="23"/>
  <c r="F50" i="11" s="1"/>
  <c r="Y69" i="23"/>
  <c r="Z69" i="23"/>
  <c r="AB69" i="23"/>
  <c r="AC69" i="23"/>
  <c r="D109" i="23" s="1"/>
  <c r="N50" i="11" s="1"/>
  <c r="P70" i="23"/>
  <c r="Q70" i="23"/>
  <c r="R70" i="23"/>
  <c r="F74" i="23"/>
  <c r="G74" i="23" s="1"/>
  <c r="H74" i="23" s="1"/>
  <c r="D113" i="23"/>
  <c r="D115" i="23"/>
  <c r="D116" i="23" s="1"/>
  <c r="F21" i="22"/>
  <c r="G21" i="22" s="1"/>
  <c r="J21" i="22"/>
  <c r="K21" i="22" s="1"/>
  <c r="L21" i="22" s="1"/>
  <c r="E22" i="22"/>
  <c r="E27" i="22"/>
  <c r="F27" i="22"/>
  <c r="G27" i="22"/>
  <c r="H27" i="22"/>
  <c r="I27" i="22"/>
  <c r="D36" i="22"/>
  <c r="E36" i="22" s="1"/>
  <c r="F36" i="22" s="1"/>
  <c r="G36" i="22" s="1"/>
  <c r="H36" i="22" s="1"/>
  <c r="I36" i="22" s="1"/>
  <c r="J36" i="22" s="1"/>
  <c r="K36" i="22" s="1"/>
  <c r="L36" i="22" s="1"/>
  <c r="M36" i="22" s="1"/>
  <c r="N36" i="22" s="1"/>
  <c r="O36" i="22" s="1"/>
  <c r="P36" i="22" s="1"/>
  <c r="Q36" i="22" s="1"/>
  <c r="R36" i="22" s="1"/>
  <c r="S36" i="22" s="1"/>
  <c r="T36" i="22" s="1"/>
  <c r="U36" i="22" s="1"/>
  <c r="V36" i="22" s="1"/>
  <c r="W36" i="22" s="1"/>
  <c r="X36" i="22" s="1"/>
  <c r="D37" i="22"/>
  <c r="E37" i="22" s="1"/>
  <c r="F37" i="22" s="1"/>
  <c r="G37" i="22" s="1"/>
  <c r="H37" i="22" s="1"/>
  <c r="I37" i="22" s="1"/>
  <c r="J37" i="22" s="1"/>
  <c r="K37" i="22" s="1"/>
  <c r="L37" i="22" s="1"/>
  <c r="M37" i="22" s="1"/>
  <c r="N37" i="22" s="1"/>
  <c r="O37" i="22" s="1"/>
  <c r="P37" i="22" s="1"/>
  <c r="Q37" i="22" s="1"/>
  <c r="R37" i="22" s="1"/>
  <c r="S37" i="22" s="1"/>
  <c r="T37" i="22" s="1"/>
  <c r="U37" i="22" s="1"/>
  <c r="V37" i="22" s="1"/>
  <c r="W37" i="22" s="1"/>
  <c r="X37" i="22" s="1"/>
  <c r="D38" i="22"/>
  <c r="E38" i="22" s="1"/>
  <c r="F38" i="22" s="1"/>
  <c r="G38" i="22" s="1"/>
  <c r="H38" i="22" s="1"/>
  <c r="I38" i="22" s="1"/>
  <c r="J38" i="22" s="1"/>
  <c r="K38" i="22" s="1"/>
  <c r="L38" i="22" s="1"/>
  <c r="M38" i="22" s="1"/>
  <c r="N38" i="22" s="1"/>
  <c r="O38" i="22" s="1"/>
  <c r="P38" i="22" s="1"/>
  <c r="Q38" i="22" s="1"/>
  <c r="R38" i="22" s="1"/>
  <c r="S38" i="22" s="1"/>
  <c r="T38" i="22" s="1"/>
  <c r="U38" i="22" s="1"/>
  <c r="V38" i="22" s="1"/>
  <c r="W38" i="22" s="1"/>
  <c r="X38" i="22" s="1"/>
  <c r="D39" i="22"/>
  <c r="E39" i="22" s="1"/>
  <c r="J68" i="22"/>
  <c r="K68" i="22"/>
  <c r="L68" i="22"/>
  <c r="M68" i="22"/>
  <c r="N68" i="22"/>
  <c r="O68" i="22"/>
  <c r="P68" i="22"/>
  <c r="Q68" i="22"/>
  <c r="X68" i="22"/>
  <c r="F49" i="11" s="1"/>
  <c r="Y68" i="22"/>
  <c r="Z68" i="22"/>
  <c r="AB68" i="22"/>
  <c r="F100" i="22" s="1"/>
  <c r="F116" i="22" s="1"/>
  <c r="AC68" i="22"/>
  <c r="D108" i="22" s="1"/>
  <c r="P69" i="22"/>
  <c r="Q69" i="22"/>
  <c r="R69" i="22"/>
  <c r="F74" i="22"/>
  <c r="G74" i="22" s="1"/>
  <c r="H74" i="22" s="1"/>
  <c r="I74" i="22" s="1"/>
  <c r="J74" i="22" s="1"/>
  <c r="K74" i="22" s="1"/>
  <c r="L74" i="22" s="1"/>
  <c r="M74" i="22" s="1"/>
  <c r="N74" i="22" s="1"/>
  <c r="O74" i="22" s="1"/>
  <c r="P74" i="22" s="1"/>
  <c r="Q74" i="22" s="1"/>
  <c r="R74" i="22" s="1"/>
  <c r="S74" i="22" s="1"/>
  <c r="T74" i="22" s="1"/>
  <c r="U74" i="22" s="1"/>
  <c r="V74" i="22" s="1"/>
  <c r="W74" i="22" s="1"/>
  <c r="X74" i="22" s="1"/>
  <c r="D112" i="22"/>
  <c r="D114" i="22"/>
  <c r="D115" i="22" s="1"/>
  <c r="E22" i="21"/>
  <c r="E27" i="21"/>
  <c r="F27" i="21"/>
  <c r="G27" i="21"/>
  <c r="H27" i="21"/>
  <c r="D36" i="21"/>
  <c r="E36" i="21" s="1"/>
  <c r="F36" i="21" s="1"/>
  <c r="G36" i="21" s="1"/>
  <c r="H36" i="21" s="1"/>
  <c r="I36" i="21" s="1"/>
  <c r="J36" i="21" s="1"/>
  <c r="K36" i="21" s="1"/>
  <c r="L36" i="21" s="1"/>
  <c r="M36" i="21" s="1"/>
  <c r="N36" i="21" s="1"/>
  <c r="O36" i="21" s="1"/>
  <c r="P36" i="21" s="1"/>
  <c r="Q36" i="21" s="1"/>
  <c r="R36" i="21" s="1"/>
  <c r="S36" i="21" s="1"/>
  <c r="T36" i="21" s="1"/>
  <c r="U36" i="21" s="1"/>
  <c r="V36" i="21" s="1"/>
  <c r="W36" i="21" s="1"/>
  <c r="X36" i="21" s="1"/>
  <c r="D37" i="21"/>
  <c r="E37" i="21" s="1"/>
  <c r="F37" i="21" s="1"/>
  <c r="G37" i="21" s="1"/>
  <c r="H37" i="21" s="1"/>
  <c r="I37" i="21" s="1"/>
  <c r="J37" i="21" s="1"/>
  <c r="K37" i="21" s="1"/>
  <c r="L37" i="21" s="1"/>
  <c r="M37" i="21" s="1"/>
  <c r="N37" i="21" s="1"/>
  <c r="O37" i="21" s="1"/>
  <c r="P37" i="21" s="1"/>
  <c r="Q37" i="21" s="1"/>
  <c r="R37" i="21" s="1"/>
  <c r="S37" i="21" s="1"/>
  <c r="T37" i="21" s="1"/>
  <c r="U37" i="21" s="1"/>
  <c r="V37" i="21" s="1"/>
  <c r="W37" i="21" s="1"/>
  <c r="X37" i="21" s="1"/>
  <c r="D38" i="21"/>
  <c r="E38" i="21" s="1"/>
  <c r="F38" i="21" s="1"/>
  <c r="G38" i="21" s="1"/>
  <c r="H38" i="21" s="1"/>
  <c r="I38" i="21" s="1"/>
  <c r="J38" i="21" s="1"/>
  <c r="K38" i="21" s="1"/>
  <c r="L38" i="21" s="1"/>
  <c r="M38" i="21" s="1"/>
  <c r="N38" i="21" s="1"/>
  <c r="O38" i="21" s="1"/>
  <c r="P38" i="21" s="1"/>
  <c r="Q38" i="21" s="1"/>
  <c r="R38" i="21" s="1"/>
  <c r="S38" i="21" s="1"/>
  <c r="T38" i="21" s="1"/>
  <c r="U38" i="21" s="1"/>
  <c r="V38" i="21" s="1"/>
  <c r="W38" i="21" s="1"/>
  <c r="X38" i="21" s="1"/>
  <c r="D39" i="21"/>
  <c r="E39" i="21" s="1"/>
  <c r="D63" i="21"/>
  <c r="J69" i="21"/>
  <c r="K69" i="21"/>
  <c r="L69" i="21"/>
  <c r="M69" i="21"/>
  <c r="N69" i="21"/>
  <c r="O69" i="21"/>
  <c r="P69" i="21"/>
  <c r="Q69" i="21"/>
  <c r="X69" i="21"/>
  <c r="F48" i="11" s="1"/>
  <c r="Y69" i="21"/>
  <c r="Z69" i="21"/>
  <c r="AB69" i="21"/>
  <c r="P70" i="21"/>
  <c r="Q70" i="21"/>
  <c r="R70" i="21"/>
  <c r="D74" i="21"/>
  <c r="D106" i="21" s="1"/>
  <c r="D109" i="21"/>
  <c r="N48" i="11" s="1"/>
  <c r="D113" i="21"/>
  <c r="D115" i="21"/>
  <c r="D116" i="21" s="1"/>
  <c r="C66" i="8" l="1"/>
  <c r="C28" i="17"/>
  <c r="F28" i="17" s="1"/>
  <c r="O10" i="17"/>
  <c r="P10" i="17" s="1"/>
  <c r="O11" i="17"/>
  <c r="P11" i="17" s="1"/>
  <c r="P8" i="17"/>
  <c r="O12" i="17"/>
  <c r="O9" i="17"/>
  <c r="P9" i="17" s="1"/>
  <c r="E23" i="25"/>
  <c r="E115" i="25" s="1"/>
  <c r="D116" i="24"/>
  <c r="D104" i="24"/>
  <c r="F22" i="24"/>
  <c r="E23" i="24"/>
  <c r="E52" i="24" s="1"/>
  <c r="G60" i="21"/>
  <c r="G56" i="21"/>
  <c r="G57" i="21" s="1"/>
  <c r="G32" i="21"/>
  <c r="G59" i="21"/>
  <c r="F59" i="21"/>
  <c r="F60" i="21"/>
  <c r="F32" i="21"/>
  <c r="F56" i="21"/>
  <c r="F57" i="21" s="1"/>
  <c r="H59" i="21"/>
  <c r="H32" i="21"/>
  <c r="H60" i="21"/>
  <c r="H56" i="21"/>
  <c r="H57" i="21" s="1"/>
  <c r="E59" i="21"/>
  <c r="E32" i="21"/>
  <c r="E60" i="21"/>
  <c r="E56" i="21"/>
  <c r="E57" i="21" s="1"/>
  <c r="E23" i="22"/>
  <c r="E84" i="22" s="1"/>
  <c r="E74" i="21"/>
  <c r="E106" i="21" s="1"/>
  <c r="E23" i="21"/>
  <c r="F54" i="11"/>
  <c r="F56" i="11" s="1"/>
  <c r="F39" i="22"/>
  <c r="E45" i="22"/>
  <c r="F39" i="21"/>
  <c r="E45" i="21"/>
  <c r="F39" i="23"/>
  <c r="E45" i="23"/>
  <c r="F39" i="24"/>
  <c r="E45" i="24"/>
  <c r="F39" i="25"/>
  <c r="E45" i="25"/>
  <c r="F39" i="26"/>
  <c r="E45" i="26"/>
  <c r="F39" i="30"/>
  <c r="E45" i="30"/>
  <c r="D109" i="25"/>
  <c r="N52" i="11" s="1"/>
  <c r="H112" i="25"/>
  <c r="O45" i="37" s="1"/>
  <c r="O49" i="37" s="1"/>
  <c r="F22" i="26"/>
  <c r="E23" i="26"/>
  <c r="D48" i="11"/>
  <c r="D50" i="11"/>
  <c r="E70" i="23" s="1"/>
  <c r="F69" i="23" s="1"/>
  <c r="D53" i="11"/>
  <c r="E70" i="26" s="1"/>
  <c r="F69" i="26" s="1"/>
  <c r="D49" i="11"/>
  <c r="D51" i="11"/>
  <c r="E70" i="24" s="1"/>
  <c r="F69" i="24" s="1"/>
  <c r="D52" i="11"/>
  <c r="E70" i="25" s="1"/>
  <c r="F69" i="25" s="1"/>
  <c r="F70" i="25" s="1"/>
  <c r="D44" i="37" s="1"/>
  <c r="E70" i="30"/>
  <c r="F69" i="30" s="1"/>
  <c r="D70" i="30" s="1"/>
  <c r="E29" i="23"/>
  <c r="E140" i="23"/>
  <c r="D110" i="22"/>
  <c r="D103" i="22" s="1"/>
  <c r="N49" i="11"/>
  <c r="E109" i="24"/>
  <c r="F109" i="24" s="1"/>
  <c r="G109" i="24" s="1"/>
  <c r="H109" i="24" s="1"/>
  <c r="I109" i="24" s="1"/>
  <c r="J109" i="24" s="1"/>
  <c r="K109" i="24" s="1"/>
  <c r="L109" i="24" s="1"/>
  <c r="M109" i="24" s="1"/>
  <c r="N109" i="24" s="1"/>
  <c r="O109" i="24" s="1"/>
  <c r="P109" i="24" s="1"/>
  <c r="Q109" i="24" s="1"/>
  <c r="R109" i="24" s="1"/>
  <c r="S109" i="24" s="1"/>
  <c r="T109" i="24" s="1"/>
  <c r="U109" i="24" s="1"/>
  <c r="V109" i="24" s="1"/>
  <c r="W109" i="24" s="1"/>
  <c r="X109" i="24" s="1"/>
  <c r="N51" i="11"/>
  <c r="E108" i="30"/>
  <c r="E140" i="30"/>
  <c r="C48" i="8"/>
  <c r="F23" i="17"/>
  <c r="F39" i="17"/>
  <c r="C69" i="8" s="1"/>
  <c r="D101" i="21"/>
  <c r="D117" i="21" s="1"/>
  <c r="D118" i="21" s="1"/>
  <c r="C50" i="8"/>
  <c r="C49" i="8"/>
  <c r="H56" i="30"/>
  <c r="H57" i="30" s="1"/>
  <c r="H31" i="30"/>
  <c r="H32" i="30"/>
  <c r="H59" i="30"/>
  <c r="H60" i="30"/>
  <c r="G56" i="30"/>
  <c r="G57" i="30" s="1"/>
  <c r="G32" i="30"/>
  <c r="G31" i="30"/>
  <c r="G60" i="30"/>
  <c r="G59" i="30"/>
  <c r="F32" i="30"/>
  <c r="F56" i="30"/>
  <c r="F57" i="30" s="1"/>
  <c r="F31" i="30"/>
  <c r="F59" i="30"/>
  <c r="F60" i="30"/>
  <c r="I56" i="30"/>
  <c r="I57" i="30" s="1"/>
  <c r="I31" i="30"/>
  <c r="I32" i="30"/>
  <c r="I59" i="30"/>
  <c r="I60" i="30"/>
  <c r="E32" i="30"/>
  <c r="E56" i="30"/>
  <c r="E57" i="30" s="1"/>
  <c r="E31" i="30"/>
  <c r="E60" i="30"/>
  <c r="E59" i="30"/>
  <c r="I56" i="26"/>
  <c r="I57" i="26" s="1"/>
  <c r="I31" i="26"/>
  <c r="I32" i="26"/>
  <c r="I59" i="26"/>
  <c r="I60" i="26"/>
  <c r="E32" i="26"/>
  <c r="E56" i="26"/>
  <c r="E57" i="26" s="1"/>
  <c r="E31" i="26"/>
  <c r="E59" i="26"/>
  <c r="E60" i="26"/>
  <c r="G31" i="26"/>
  <c r="G32" i="26"/>
  <c r="G56" i="26"/>
  <c r="G57" i="26" s="1"/>
  <c r="G60" i="26"/>
  <c r="G59" i="26"/>
  <c r="F31" i="26"/>
  <c r="F56" i="26"/>
  <c r="F57" i="26" s="1"/>
  <c r="F32" i="26"/>
  <c r="F60" i="26"/>
  <c r="F59" i="26"/>
  <c r="H31" i="26"/>
  <c r="H32" i="26"/>
  <c r="H56" i="26"/>
  <c r="H57" i="26" s="1"/>
  <c r="H59" i="26"/>
  <c r="H60" i="26"/>
  <c r="H31" i="25"/>
  <c r="H32" i="25"/>
  <c r="H56" i="25"/>
  <c r="H57" i="25" s="1"/>
  <c r="H60" i="25"/>
  <c r="H59" i="25"/>
  <c r="G56" i="25"/>
  <c r="G57" i="25" s="1"/>
  <c r="G32" i="25"/>
  <c r="G31" i="25"/>
  <c r="G59" i="25"/>
  <c r="G60" i="25"/>
  <c r="F32" i="25"/>
  <c r="F56" i="25"/>
  <c r="F57" i="25" s="1"/>
  <c r="F31" i="25"/>
  <c r="F59" i="25"/>
  <c r="F60" i="25"/>
  <c r="I56" i="25"/>
  <c r="I57" i="25" s="1"/>
  <c r="I31" i="25"/>
  <c r="I32" i="25"/>
  <c r="I60" i="25"/>
  <c r="I59" i="25"/>
  <c r="E32" i="25"/>
  <c r="E56" i="25"/>
  <c r="E57" i="25" s="1"/>
  <c r="E31" i="25"/>
  <c r="E59" i="25"/>
  <c r="E60" i="25"/>
  <c r="I56" i="24"/>
  <c r="I57" i="24" s="1"/>
  <c r="I31" i="24"/>
  <c r="I32" i="24"/>
  <c r="I59" i="24"/>
  <c r="I60" i="24"/>
  <c r="E32" i="24"/>
  <c r="E56" i="24"/>
  <c r="E57" i="24" s="1"/>
  <c r="E31" i="24"/>
  <c r="E60" i="24"/>
  <c r="E59" i="24"/>
  <c r="G32" i="24"/>
  <c r="G56" i="24"/>
  <c r="G57" i="24" s="1"/>
  <c r="G31" i="24"/>
  <c r="G60" i="24"/>
  <c r="G59" i="24"/>
  <c r="F32" i="24"/>
  <c r="F56" i="24"/>
  <c r="F57" i="24" s="1"/>
  <c r="F31" i="24"/>
  <c r="F59" i="24"/>
  <c r="F60" i="24"/>
  <c r="H31" i="24"/>
  <c r="H32" i="24"/>
  <c r="H56" i="24"/>
  <c r="H57" i="24" s="1"/>
  <c r="H60" i="24"/>
  <c r="H59" i="24"/>
  <c r="H32" i="23"/>
  <c r="H56" i="23"/>
  <c r="H57" i="23" s="1"/>
  <c r="H31" i="23"/>
  <c r="H60" i="23"/>
  <c r="H59" i="23"/>
  <c r="G32" i="23"/>
  <c r="G31" i="23"/>
  <c r="G56" i="23"/>
  <c r="G57" i="23" s="1"/>
  <c r="G59" i="23"/>
  <c r="G60" i="23"/>
  <c r="F56" i="23"/>
  <c r="F57" i="23" s="1"/>
  <c r="F31" i="23"/>
  <c r="F32" i="23"/>
  <c r="F59" i="23"/>
  <c r="F60" i="23"/>
  <c r="I56" i="23"/>
  <c r="I57" i="23" s="1"/>
  <c r="I31" i="23"/>
  <c r="I32" i="23"/>
  <c r="I60" i="23"/>
  <c r="I59" i="23"/>
  <c r="E56" i="23"/>
  <c r="E57" i="23" s="1"/>
  <c r="E31" i="23"/>
  <c r="E32" i="23"/>
  <c r="E60" i="23"/>
  <c r="E59" i="23"/>
  <c r="H56" i="22"/>
  <c r="H57" i="22" s="1"/>
  <c r="H31" i="22"/>
  <c r="H32" i="22"/>
  <c r="H59" i="22"/>
  <c r="H60" i="22"/>
  <c r="G32" i="22"/>
  <c r="G56" i="22"/>
  <c r="G57" i="22" s="1"/>
  <c r="G31" i="22"/>
  <c r="G60" i="22"/>
  <c r="G59" i="22"/>
  <c r="F32" i="22"/>
  <c r="F56" i="22"/>
  <c r="F57" i="22" s="1"/>
  <c r="F31" i="22"/>
  <c r="F59" i="22"/>
  <c r="F60" i="22"/>
  <c r="I32" i="22"/>
  <c r="I56" i="22"/>
  <c r="I57" i="22" s="1"/>
  <c r="I31" i="22"/>
  <c r="I59" i="22"/>
  <c r="I60" i="22"/>
  <c r="E32" i="22"/>
  <c r="E56" i="22"/>
  <c r="E57" i="22" s="1"/>
  <c r="E31" i="22"/>
  <c r="E59" i="22"/>
  <c r="E60" i="22"/>
  <c r="E31" i="21"/>
  <c r="AA69" i="21"/>
  <c r="F28" i="21" s="1"/>
  <c r="F22" i="22"/>
  <c r="I31" i="21"/>
  <c r="I57" i="21"/>
  <c r="H31" i="21"/>
  <c r="G31" i="21"/>
  <c r="F31" i="21"/>
  <c r="E78" i="23"/>
  <c r="H112" i="24"/>
  <c r="O36" i="37" s="1"/>
  <c r="O40" i="37" s="1"/>
  <c r="F101" i="21"/>
  <c r="F117" i="21" s="1"/>
  <c r="H112" i="23"/>
  <c r="D101" i="30"/>
  <c r="D117" i="30" s="1"/>
  <c r="D118" i="30" s="1"/>
  <c r="E101" i="25"/>
  <c r="E117" i="25" s="1"/>
  <c r="H111" i="22"/>
  <c r="O18" i="37" s="1"/>
  <c r="O22" i="37" s="1"/>
  <c r="F101" i="25"/>
  <c r="F117" i="25" s="1"/>
  <c r="E101" i="21"/>
  <c r="E117" i="21" s="1"/>
  <c r="AA69" i="24"/>
  <c r="J28" i="24" s="1"/>
  <c r="E77" i="23"/>
  <c r="E101" i="30"/>
  <c r="E117" i="30" s="1"/>
  <c r="E74" i="30"/>
  <c r="E86" i="30"/>
  <c r="E78" i="30"/>
  <c r="E115" i="30"/>
  <c r="E116" i="30" s="1"/>
  <c r="D111" i="30"/>
  <c r="E109" i="30"/>
  <c r="F109" i="30" s="1"/>
  <c r="G109" i="30" s="1"/>
  <c r="H109" i="30" s="1"/>
  <c r="I109" i="30" s="1"/>
  <c r="J109" i="30" s="1"/>
  <c r="K109" i="30" s="1"/>
  <c r="L109" i="30" s="1"/>
  <c r="M109" i="30" s="1"/>
  <c r="N109" i="30" s="1"/>
  <c r="O109" i="30" s="1"/>
  <c r="P109" i="30" s="1"/>
  <c r="Q109" i="30" s="1"/>
  <c r="R109" i="30" s="1"/>
  <c r="S109" i="30" s="1"/>
  <c r="T109" i="30" s="1"/>
  <c r="U109" i="30" s="1"/>
  <c r="V109" i="30" s="1"/>
  <c r="W109" i="30" s="1"/>
  <c r="X109" i="30" s="1"/>
  <c r="AA69" i="30"/>
  <c r="J28" i="30" s="1"/>
  <c r="E84" i="30"/>
  <c r="E85" i="30"/>
  <c r="E77" i="30"/>
  <c r="E110" i="30"/>
  <c r="D101" i="26"/>
  <c r="D117" i="26" s="1"/>
  <c r="D118" i="26" s="1"/>
  <c r="D111" i="26"/>
  <c r="D104" i="26" s="1"/>
  <c r="E109" i="26"/>
  <c r="F109" i="26" s="1"/>
  <c r="G109" i="26" s="1"/>
  <c r="H109" i="26" s="1"/>
  <c r="I109" i="26" s="1"/>
  <c r="J109" i="26" s="1"/>
  <c r="K109" i="26" s="1"/>
  <c r="L109" i="26" s="1"/>
  <c r="M109" i="26" s="1"/>
  <c r="N109" i="26" s="1"/>
  <c r="O109" i="26" s="1"/>
  <c r="P109" i="26" s="1"/>
  <c r="Q109" i="26" s="1"/>
  <c r="R109" i="26" s="1"/>
  <c r="S109" i="26" s="1"/>
  <c r="T109" i="26" s="1"/>
  <c r="U109" i="26" s="1"/>
  <c r="V109" i="26" s="1"/>
  <c r="W109" i="26" s="1"/>
  <c r="X109" i="26" s="1"/>
  <c r="H112" i="26"/>
  <c r="O54" i="37" s="1"/>
  <c r="O58" i="37" s="1"/>
  <c r="AA69" i="26"/>
  <c r="J28" i="26" s="1"/>
  <c r="E101" i="26"/>
  <c r="E117" i="26" s="1"/>
  <c r="E77" i="25"/>
  <c r="AA69" i="25"/>
  <c r="J28" i="25" s="1"/>
  <c r="F22" i="25"/>
  <c r="E86" i="25"/>
  <c r="D118" i="25"/>
  <c r="D111" i="24"/>
  <c r="F101" i="24"/>
  <c r="F117" i="24" s="1"/>
  <c r="D101" i="24"/>
  <c r="D117" i="24" s="1"/>
  <c r="D118" i="24" s="1"/>
  <c r="E101" i="24"/>
  <c r="E117" i="24" s="1"/>
  <c r="D101" i="23"/>
  <c r="D117" i="23" s="1"/>
  <c r="D118" i="23" s="1"/>
  <c r="AA69" i="23"/>
  <c r="J28" i="23" s="1"/>
  <c r="F22" i="23"/>
  <c r="E109" i="23"/>
  <c r="F109" i="23" s="1"/>
  <c r="G109" i="23" s="1"/>
  <c r="H109" i="23" s="1"/>
  <c r="I109" i="23" s="1"/>
  <c r="J109" i="23" s="1"/>
  <c r="K109" i="23" s="1"/>
  <c r="L109" i="23" s="1"/>
  <c r="M109" i="23" s="1"/>
  <c r="N109" i="23" s="1"/>
  <c r="O109" i="23" s="1"/>
  <c r="P109" i="23" s="1"/>
  <c r="Q109" i="23" s="1"/>
  <c r="R109" i="23" s="1"/>
  <c r="S109" i="23" s="1"/>
  <c r="T109" i="23" s="1"/>
  <c r="U109" i="23" s="1"/>
  <c r="V109" i="23" s="1"/>
  <c r="W109" i="23" s="1"/>
  <c r="X109" i="23" s="1"/>
  <c r="D111" i="23"/>
  <c r="D104" i="23" s="1"/>
  <c r="E101" i="23"/>
  <c r="E117" i="23" s="1"/>
  <c r="F101" i="23"/>
  <c r="F117" i="23" s="1"/>
  <c r="E86" i="23"/>
  <c r="E100" i="22"/>
  <c r="E116" i="22" s="1"/>
  <c r="D100" i="22"/>
  <c r="D116" i="22" s="1"/>
  <c r="D117" i="22" s="1"/>
  <c r="AA68" i="22"/>
  <c r="J28" i="22" s="1"/>
  <c r="N21" i="25"/>
  <c r="F22" i="21"/>
  <c r="F23" i="21" s="1"/>
  <c r="F52" i="21" s="1"/>
  <c r="L21" i="23"/>
  <c r="E84" i="25"/>
  <c r="G21" i="30"/>
  <c r="E109" i="21"/>
  <c r="F109" i="21" s="1"/>
  <c r="G109" i="21" s="1"/>
  <c r="H109" i="21" s="1"/>
  <c r="I109" i="21" s="1"/>
  <c r="J109" i="21" s="1"/>
  <c r="K109" i="21" s="1"/>
  <c r="L109" i="21" s="1"/>
  <c r="M109" i="21" s="1"/>
  <c r="N109" i="21" s="1"/>
  <c r="O109" i="21" s="1"/>
  <c r="P109" i="21" s="1"/>
  <c r="Q109" i="21" s="1"/>
  <c r="R109" i="21" s="1"/>
  <c r="S109" i="21" s="1"/>
  <c r="T109" i="21" s="1"/>
  <c r="U109" i="21" s="1"/>
  <c r="V109" i="21" s="1"/>
  <c r="W109" i="21" s="1"/>
  <c r="X109" i="21" s="1"/>
  <c r="D111" i="21"/>
  <c r="H21" i="22"/>
  <c r="E108" i="22"/>
  <c r="F108" i="22" s="1"/>
  <c r="G108" i="22" s="1"/>
  <c r="H108" i="22" s="1"/>
  <c r="I108" i="22" s="1"/>
  <c r="J108" i="22" s="1"/>
  <c r="K108" i="22" s="1"/>
  <c r="L108" i="22" s="1"/>
  <c r="M108" i="22" s="1"/>
  <c r="N108" i="22" s="1"/>
  <c r="O108" i="22" s="1"/>
  <c r="P108" i="22" s="1"/>
  <c r="Q108" i="22" s="1"/>
  <c r="R108" i="22" s="1"/>
  <c r="S108" i="22" s="1"/>
  <c r="T108" i="22" s="1"/>
  <c r="U108" i="22" s="1"/>
  <c r="V108" i="22" s="1"/>
  <c r="W108" i="22" s="1"/>
  <c r="X108" i="22" s="1"/>
  <c r="M21" i="30"/>
  <c r="M21" i="22"/>
  <c r="K21" i="24"/>
  <c r="E84" i="23"/>
  <c r="E115" i="23"/>
  <c r="E116" i="23" s="1"/>
  <c r="E113" i="23"/>
  <c r="E108" i="23"/>
  <c r="E110" i="23"/>
  <c r="E85" i="23"/>
  <c r="G21" i="23"/>
  <c r="L21" i="26"/>
  <c r="H21" i="25"/>
  <c r="G21" i="24"/>
  <c r="G22" i="25"/>
  <c r="E85" i="25"/>
  <c r="F22" i="30"/>
  <c r="F23" i="30" s="1"/>
  <c r="F52" i="30" s="1"/>
  <c r="E29" i="30"/>
  <c r="E113" i="30"/>
  <c r="F11" i="16"/>
  <c r="G11" i="16"/>
  <c r="P12" i="17"/>
  <c r="O7" i="17"/>
  <c r="P7" i="17" s="1"/>
  <c r="E69" i="22" l="1"/>
  <c r="F68" i="22" s="1"/>
  <c r="D54" i="11"/>
  <c r="D56" i="11" s="1"/>
  <c r="E70" i="21"/>
  <c r="F69" i="21" s="1"/>
  <c r="F70" i="21" s="1"/>
  <c r="D6" i="37" s="1"/>
  <c r="P13" i="17"/>
  <c r="D128" i="26"/>
  <c r="P128" i="26" s="1"/>
  <c r="D129" i="30"/>
  <c r="U129" i="30" s="1"/>
  <c r="H28" i="26"/>
  <c r="I28" i="26"/>
  <c r="I63" i="26" s="1"/>
  <c r="E52" i="25"/>
  <c r="E108" i="25"/>
  <c r="E116" i="25"/>
  <c r="F23" i="25"/>
  <c r="F108" i="25" s="1"/>
  <c r="F74" i="25"/>
  <c r="G23" i="25"/>
  <c r="G74" i="25"/>
  <c r="E113" i="25"/>
  <c r="E104" i="25" s="1"/>
  <c r="E29" i="25"/>
  <c r="F28" i="25"/>
  <c r="F63" i="25" s="1"/>
  <c r="E110" i="25"/>
  <c r="E78" i="25"/>
  <c r="E90" i="25" s="1"/>
  <c r="G28" i="25"/>
  <c r="G63" i="25" s="1"/>
  <c r="E140" i="25"/>
  <c r="E77" i="24"/>
  <c r="E89" i="24" s="1"/>
  <c r="E84" i="24"/>
  <c r="I28" i="24"/>
  <c r="I63" i="24" s="1"/>
  <c r="E85" i="24"/>
  <c r="G22" i="24"/>
  <c r="F23" i="24"/>
  <c r="F79" i="24" s="1"/>
  <c r="G22" i="23"/>
  <c r="G23" i="23" s="1"/>
  <c r="G52" i="23" s="1"/>
  <c r="F23" i="23"/>
  <c r="F52" i="23" s="1"/>
  <c r="G28" i="22"/>
  <c r="G63" i="22" s="1"/>
  <c r="I28" i="22"/>
  <c r="D104" i="21"/>
  <c r="E28" i="21"/>
  <c r="E63" i="21" s="1"/>
  <c r="E140" i="21"/>
  <c r="E52" i="21"/>
  <c r="E140" i="26"/>
  <c r="E52" i="26"/>
  <c r="E28" i="30"/>
  <c r="E28" i="25"/>
  <c r="E63" i="25" s="1"/>
  <c r="E28" i="23"/>
  <c r="H28" i="30"/>
  <c r="H63" i="30" s="1"/>
  <c r="F28" i="24"/>
  <c r="F63" i="24" s="1"/>
  <c r="H28" i="24"/>
  <c r="H63" i="24" s="1"/>
  <c r="G28" i="24"/>
  <c r="G63" i="24" s="1"/>
  <c r="E139" i="22"/>
  <c r="E52" i="22"/>
  <c r="I28" i="30"/>
  <c r="I63" i="30" s="1"/>
  <c r="I28" i="25"/>
  <c r="I63" i="25" s="1"/>
  <c r="I28" i="23"/>
  <c r="I63" i="23" s="1"/>
  <c r="H28" i="25"/>
  <c r="F28" i="30"/>
  <c r="F63" i="30" s="1"/>
  <c r="F28" i="23"/>
  <c r="G28" i="30"/>
  <c r="G63" i="30" s="1"/>
  <c r="G28" i="23"/>
  <c r="G63" i="23" s="1"/>
  <c r="I28" i="21"/>
  <c r="I63" i="21" s="1"/>
  <c r="J28" i="21"/>
  <c r="E28" i="26"/>
  <c r="E63" i="26" s="1"/>
  <c r="E28" i="24"/>
  <c r="E63" i="24" s="1"/>
  <c r="H28" i="22"/>
  <c r="H63" i="22" s="1"/>
  <c r="H28" i="23"/>
  <c r="H28" i="21"/>
  <c r="H63" i="21" s="1"/>
  <c r="F28" i="26"/>
  <c r="E28" i="22"/>
  <c r="E63" i="22" s="1"/>
  <c r="G28" i="21"/>
  <c r="G63" i="21" s="1"/>
  <c r="G28" i="26"/>
  <c r="G63" i="26" s="1"/>
  <c r="F28" i="22"/>
  <c r="E109" i="22"/>
  <c r="E77" i="22"/>
  <c r="E89" i="22" s="1"/>
  <c r="E112" i="22"/>
  <c r="E113" i="22" s="1"/>
  <c r="E85" i="22"/>
  <c r="E114" i="22"/>
  <c r="E115" i="22" s="1"/>
  <c r="E83" i="22"/>
  <c r="E29" i="22"/>
  <c r="E76" i="22"/>
  <c r="E107" i="22"/>
  <c r="G22" i="22"/>
  <c r="G23" i="22" s="1"/>
  <c r="F23" i="22"/>
  <c r="F52" i="22" s="1"/>
  <c r="G39" i="26"/>
  <c r="F45" i="26"/>
  <c r="G39" i="24"/>
  <c r="F45" i="24"/>
  <c r="G39" i="21"/>
  <c r="F45" i="21"/>
  <c r="G39" i="30"/>
  <c r="F45" i="30"/>
  <c r="G39" i="25"/>
  <c r="F45" i="25"/>
  <c r="G39" i="23"/>
  <c r="F45" i="23"/>
  <c r="G39" i="22"/>
  <c r="F45" i="22"/>
  <c r="D111" i="25"/>
  <c r="D104" i="25" s="1"/>
  <c r="E109" i="25"/>
  <c r="F109" i="25" s="1"/>
  <c r="G109" i="25" s="1"/>
  <c r="H109" i="25" s="1"/>
  <c r="I109" i="25" s="1"/>
  <c r="J109" i="25" s="1"/>
  <c r="K109" i="25" s="1"/>
  <c r="L109" i="25" s="1"/>
  <c r="M109" i="25" s="1"/>
  <c r="N109" i="25" s="1"/>
  <c r="O109" i="25" s="1"/>
  <c r="P109" i="25" s="1"/>
  <c r="Q109" i="25" s="1"/>
  <c r="R109" i="25" s="1"/>
  <c r="S109" i="25" s="1"/>
  <c r="T109" i="25" s="1"/>
  <c r="U109" i="25" s="1"/>
  <c r="V109" i="25" s="1"/>
  <c r="W109" i="25" s="1"/>
  <c r="X109" i="25" s="1"/>
  <c r="G22" i="26"/>
  <c r="F23" i="26"/>
  <c r="N54" i="11"/>
  <c r="F108" i="24"/>
  <c r="E85" i="21"/>
  <c r="F78" i="24"/>
  <c r="E29" i="24"/>
  <c r="E140" i="24"/>
  <c r="E115" i="24"/>
  <c r="E104" i="24" s="1"/>
  <c r="E110" i="24"/>
  <c r="E113" i="24"/>
  <c r="E114" i="24" s="1"/>
  <c r="E108" i="24"/>
  <c r="E86" i="24"/>
  <c r="E78" i="24"/>
  <c r="E79" i="24"/>
  <c r="E84" i="26"/>
  <c r="R69" i="23"/>
  <c r="R71" i="23" s="1"/>
  <c r="F70" i="23"/>
  <c r="V71" i="23" s="1"/>
  <c r="O31" i="37"/>
  <c r="O68" i="37" s="1"/>
  <c r="O27" i="37"/>
  <c r="D128" i="23"/>
  <c r="D127" i="22"/>
  <c r="D128" i="22"/>
  <c r="E79" i="30"/>
  <c r="E79" i="23"/>
  <c r="F70" i="30"/>
  <c r="D61" i="37" s="1"/>
  <c r="R69" i="30"/>
  <c r="T69" i="30" s="1"/>
  <c r="S69" i="30" s="1"/>
  <c r="F70" i="24"/>
  <c r="D34" i="37" s="1"/>
  <c r="D128" i="21"/>
  <c r="D129" i="21"/>
  <c r="D128" i="25"/>
  <c r="D128" i="30"/>
  <c r="D128" i="24"/>
  <c r="D129" i="25"/>
  <c r="D129" i="26"/>
  <c r="D129" i="24"/>
  <c r="D129" i="23"/>
  <c r="R69" i="24"/>
  <c r="R71" i="24" s="1"/>
  <c r="E79" i="25"/>
  <c r="F70" i="26"/>
  <c r="D53" i="37" s="1"/>
  <c r="R69" i="26"/>
  <c r="R69" i="25"/>
  <c r="R71" i="25" s="1"/>
  <c r="E63" i="23"/>
  <c r="F63" i="22"/>
  <c r="E29" i="26"/>
  <c r="E90" i="23"/>
  <c r="F63" i="21"/>
  <c r="F77" i="25"/>
  <c r="F42" i="25" s="1"/>
  <c r="E118" i="25"/>
  <c r="E118" i="23"/>
  <c r="E89" i="23"/>
  <c r="F63" i="26"/>
  <c r="E118" i="30"/>
  <c r="E108" i="26"/>
  <c r="H63" i="23"/>
  <c r="H63" i="25"/>
  <c r="E90" i="30"/>
  <c r="F63" i="23"/>
  <c r="E89" i="30"/>
  <c r="E63" i="30"/>
  <c r="E86" i="26"/>
  <c r="E85" i="26"/>
  <c r="H63" i="26"/>
  <c r="E78" i="26"/>
  <c r="E110" i="26"/>
  <c r="E79" i="26"/>
  <c r="E113" i="26"/>
  <c r="E104" i="26" s="1"/>
  <c r="E115" i="26"/>
  <c r="E77" i="26"/>
  <c r="E89" i="25"/>
  <c r="K44" i="37"/>
  <c r="N44" i="37"/>
  <c r="O44" i="37"/>
  <c r="M44" i="37"/>
  <c r="L44" i="37"/>
  <c r="D48" i="37"/>
  <c r="D43" i="37"/>
  <c r="D42" i="37"/>
  <c r="I63" i="22"/>
  <c r="H21" i="24"/>
  <c r="G22" i="21"/>
  <c r="G23" i="21" s="1"/>
  <c r="G52" i="21" s="1"/>
  <c r="F74" i="21"/>
  <c r="F106" i="21" s="1"/>
  <c r="F140" i="21"/>
  <c r="E114" i="30"/>
  <c r="F140" i="30"/>
  <c r="F74" i="30"/>
  <c r="G22" i="30"/>
  <c r="G23" i="30" s="1"/>
  <c r="G52" i="30" s="1"/>
  <c r="F29" i="25"/>
  <c r="M21" i="26"/>
  <c r="N21" i="30"/>
  <c r="J21" i="21"/>
  <c r="K21" i="21" s="1"/>
  <c r="L21" i="21" s="1"/>
  <c r="M21" i="21" s="1"/>
  <c r="E84" i="21"/>
  <c r="E110" i="21"/>
  <c r="E77" i="21"/>
  <c r="E113" i="21"/>
  <c r="E115" i="21"/>
  <c r="E116" i="21" s="1"/>
  <c r="E29" i="21"/>
  <c r="E108" i="21"/>
  <c r="E86" i="21"/>
  <c r="E114" i="23"/>
  <c r="E104" i="23"/>
  <c r="N21" i="22"/>
  <c r="H21" i="30"/>
  <c r="H22" i="23"/>
  <c r="H23" i="23" s="1"/>
  <c r="H52" i="23" s="1"/>
  <c r="G140" i="23"/>
  <c r="E78" i="21"/>
  <c r="D130" i="30"/>
  <c r="D130" i="26"/>
  <c r="D130" i="25"/>
  <c r="D130" i="24"/>
  <c r="D130" i="23"/>
  <c r="D130" i="21"/>
  <c r="D129" i="22"/>
  <c r="M21" i="23"/>
  <c r="H22" i="25"/>
  <c r="H21" i="23"/>
  <c r="L21" i="24"/>
  <c r="O21" i="25"/>
  <c r="I129" i="30" l="1"/>
  <c r="E128" i="26"/>
  <c r="E133" i="26" s="1"/>
  <c r="F128" i="26"/>
  <c r="F133" i="26" s="1"/>
  <c r="X129" i="30"/>
  <c r="R129" i="30"/>
  <c r="O128" i="26"/>
  <c r="L128" i="26"/>
  <c r="K129" i="30"/>
  <c r="W128" i="26"/>
  <c r="J129" i="30"/>
  <c r="S129" i="30"/>
  <c r="W129" i="30"/>
  <c r="V129" i="30"/>
  <c r="T129" i="30"/>
  <c r="Q129" i="30"/>
  <c r="H129" i="30"/>
  <c r="L129" i="30"/>
  <c r="P129" i="30"/>
  <c r="O129" i="30"/>
  <c r="M129" i="30"/>
  <c r="D134" i="30"/>
  <c r="N129" i="30"/>
  <c r="E129" i="30"/>
  <c r="E134" i="30" s="1"/>
  <c r="G129" i="30"/>
  <c r="F129" i="30"/>
  <c r="F134" i="30" s="1"/>
  <c r="E78" i="22"/>
  <c r="E90" i="22" s="1"/>
  <c r="F69" i="22"/>
  <c r="D15" i="37" s="1"/>
  <c r="O15" i="37" s="1"/>
  <c r="R68" i="22"/>
  <c r="R70" i="22" s="1"/>
  <c r="X128" i="26"/>
  <c r="U128" i="26"/>
  <c r="S128" i="26"/>
  <c r="M128" i="26"/>
  <c r="Q128" i="26"/>
  <c r="T128" i="26"/>
  <c r="N128" i="26"/>
  <c r="R128" i="26"/>
  <c r="V128" i="26"/>
  <c r="H128" i="26"/>
  <c r="D133" i="26"/>
  <c r="J128" i="26"/>
  <c r="I128" i="26"/>
  <c r="G128" i="26"/>
  <c r="K128" i="26"/>
  <c r="F86" i="25"/>
  <c r="E114" i="25"/>
  <c r="F85" i="25"/>
  <c r="F84" i="25"/>
  <c r="F115" i="25"/>
  <c r="F113" i="25"/>
  <c r="F104" i="25" s="1"/>
  <c r="G52" i="25"/>
  <c r="G108" i="25"/>
  <c r="F110" i="25"/>
  <c r="F78" i="25"/>
  <c r="F43" i="25" s="1"/>
  <c r="F79" i="25"/>
  <c r="F44" i="25" s="1"/>
  <c r="H23" i="25"/>
  <c r="H74" i="25"/>
  <c r="G140" i="25"/>
  <c r="F52" i="25"/>
  <c r="F140" i="25"/>
  <c r="F77" i="24"/>
  <c r="F42" i="24" s="1"/>
  <c r="F85" i="24"/>
  <c r="F90" i="24" s="1"/>
  <c r="F29" i="24"/>
  <c r="F52" i="24"/>
  <c r="F140" i="24"/>
  <c r="F115" i="24"/>
  <c r="F104" i="24" s="1"/>
  <c r="F84" i="24"/>
  <c r="F89" i="24" s="1"/>
  <c r="F110" i="24"/>
  <c r="F86" i="24"/>
  <c r="F91" i="24" s="1"/>
  <c r="G23" i="24"/>
  <c r="H22" i="24"/>
  <c r="F140" i="23"/>
  <c r="F108" i="26"/>
  <c r="F52" i="26"/>
  <c r="G139" i="22"/>
  <c r="G52" i="22"/>
  <c r="E103" i="22"/>
  <c r="E117" i="22"/>
  <c r="E88" i="22"/>
  <c r="F85" i="26"/>
  <c r="E118" i="26"/>
  <c r="E116" i="26"/>
  <c r="F118" i="25"/>
  <c r="F116" i="25"/>
  <c r="E118" i="24"/>
  <c r="E116" i="24"/>
  <c r="H22" i="22"/>
  <c r="H23" i="22" s="1"/>
  <c r="F78" i="26"/>
  <c r="F140" i="26"/>
  <c r="F44" i="24"/>
  <c r="F79" i="26"/>
  <c r="F44" i="26" s="1"/>
  <c r="F77" i="26"/>
  <c r="F42" i="26" s="1"/>
  <c r="E118" i="21"/>
  <c r="H39" i="23"/>
  <c r="G45" i="23"/>
  <c r="H39" i="30"/>
  <c r="G45" i="30"/>
  <c r="H39" i="21"/>
  <c r="G45" i="21"/>
  <c r="H39" i="26"/>
  <c r="G45" i="26"/>
  <c r="F43" i="24"/>
  <c r="E89" i="26"/>
  <c r="E91" i="23"/>
  <c r="E93" i="23" s="1"/>
  <c r="H39" i="22"/>
  <c r="G45" i="22"/>
  <c r="H39" i="25"/>
  <c r="G45" i="25"/>
  <c r="H39" i="24"/>
  <c r="G45" i="24"/>
  <c r="E91" i="30"/>
  <c r="E93" i="30" s="1"/>
  <c r="F110" i="26"/>
  <c r="F86" i="26"/>
  <c r="F29" i="26"/>
  <c r="F115" i="26"/>
  <c r="F84" i="26"/>
  <c r="G23" i="26"/>
  <c r="G52" i="26" s="1"/>
  <c r="H22" i="26"/>
  <c r="F113" i="23"/>
  <c r="F114" i="23" s="1"/>
  <c r="F78" i="23"/>
  <c r="F43" i="23" s="1"/>
  <c r="F110" i="23"/>
  <c r="F77" i="23"/>
  <c r="F42" i="23" s="1"/>
  <c r="F84" i="23"/>
  <c r="F115" i="23"/>
  <c r="F86" i="23"/>
  <c r="F29" i="23"/>
  <c r="F79" i="23"/>
  <c r="F44" i="23" s="1"/>
  <c r="F85" i="23"/>
  <c r="F108" i="23"/>
  <c r="I128" i="24"/>
  <c r="M128" i="24"/>
  <c r="Q128" i="24"/>
  <c r="U128" i="24"/>
  <c r="E128" i="24"/>
  <c r="E133" i="24" s="1"/>
  <c r="F128" i="24"/>
  <c r="F133" i="24" s="1"/>
  <c r="J128" i="24"/>
  <c r="N128" i="24"/>
  <c r="R128" i="24"/>
  <c r="V128" i="24"/>
  <c r="G128" i="24"/>
  <c r="O128" i="24"/>
  <c r="W128" i="24"/>
  <c r="K128" i="24"/>
  <c r="L128" i="24"/>
  <c r="H128" i="24"/>
  <c r="P128" i="24"/>
  <c r="X128" i="24"/>
  <c r="S128" i="24"/>
  <c r="T128" i="24"/>
  <c r="G130" i="24"/>
  <c r="K130" i="24"/>
  <c r="O130" i="24"/>
  <c r="S130" i="24"/>
  <c r="W130" i="24"/>
  <c r="X130" i="24"/>
  <c r="H130" i="24"/>
  <c r="L130" i="24"/>
  <c r="P130" i="24"/>
  <c r="T130" i="24"/>
  <c r="I130" i="24"/>
  <c r="Q130" i="24"/>
  <c r="M130" i="24"/>
  <c r="U130" i="24"/>
  <c r="N130" i="24"/>
  <c r="V130" i="24"/>
  <c r="J130" i="24"/>
  <c r="R130" i="24"/>
  <c r="E130" i="24"/>
  <c r="E135" i="24" s="1"/>
  <c r="F130" i="24"/>
  <c r="F135" i="24" s="1"/>
  <c r="E10" i="21"/>
  <c r="D8" i="11" s="1"/>
  <c r="F129" i="23"/>
  <c r="F134" i="23" s="1"/>
  <c r="J129" i="23"/>
  <c r="N129" i="23"/>
  <c r="R129" i="23"/>
  <c r="V129" i="23"/>
  <c r="G129" i="23"/>
  <c r="K129" i="23"/>
  <c r="S129" i="23"/>
  <c r="W129" i="23"/>
  <c r="O129" i="23"/>
  <c r="L129" i="23"/>
  <c r="T129" i="23"/>
  <c r="E129" i="23"/>
  <c r="E134" i="23" s="1"/>
  <c r="H129" i="23"/>
  <c r="P129" i="23"/>
  <c r="X129" i="23"/>
  <c r="I129" i="23"/>
  <c r="Q129" i="23"/>
  <c r="M129" i="23"/>
  <c r="U129" i="23"/>
  <c r="F129" i="25"/>
  <c r="F134" i="25" s="1"/>
  <c r="J129" i="25"/>
  <c r="N129" i="25"/>
  <c r="R129" i="25"/>
  <c r="V129" i="25"/>
  <c r="G129" i="25"/>
  <c r="K129" i="25"/>
  <c r="O129" i="25"/>
  <c r="S129" i="25"/>
  <c r="W129" i="25"/>
  <c r="H129" i="25"/>
  <c r="P129" i="25"/>
  <c r="X129" i="25"/>
  <c r="L129" i="25"/>
  <c r="T129" i="25"/>
  <c r="E129" i="25"/>
  <c r="E134" i="25" s="1"/>
  <c r="M129" i="25"/>
  <c r="U129" i="25"/>
  <c r="I129" i="25"/>
  <c r="Q129" i="25"/>
  <c r="H128" i="30"/>
  <c r="L128" i="30"/>
  <c r="P128" i="30"/>
  <c r="J128" i="30"/>
  <c r="O128" i="30"/>
  <c r="T128" i="30"/>
  <c r="X128" i="30"/>
  <c r="K128" i="30"/>
  <c r="R128" i="30"/>
  <c r="W128" i="30"/>
  <c r="F128" i="30"/>
  <c r="F133" i="30" s="1"/>
  <c r="M128" i="30"/>
  <c r="S128" i="30"/>
  <c r="N128" i="30"/>
  <c r="G128" i="30"/>
  <c r="I128" i="30"/>
  <c r="V128" i="30"/>
  <c r="Q128" i="30"/>
  <c r="U128" i="30"/>
  <c r="E128" i="30"/>
  <c r="E133" i="30" s="1"/>
  <c r="I128" i="22"/>
  <c r="M128" i="22"/>
  <c r="Q128" i="22"/>
  <c r="U128" i="22"/>
  <c r="E128" i="22"/>
  <c r="E133" i="22" s="1"/>
  <c r="H128" i="22"/>
  <c r="N128" i="22"/>
  <c r="S128" i="22"/>
  <c r="X128" i="22"/>
  <c r="J128" i="22"/>
  <c r="P128" i="22"/>
  <c r="W128" i="22"/>
  <c r="K128" i="22"/>
  <c r="R128" i="22"/>
  <c r="L128" i="22"/>
  <c r="F128" i="22"/>
  <c r="F133" i="22" s="1"/>
  <c r="G128" i="22"/>
  <c r="O128" i="22"/>
  <c r="T128" i="22"/>
  <c r="V128" i="22"/>
  <c r="H127" i="22"/>
  <c r="L127" i="22"/>
  <c r="P127" i="22"/>
  <c r="T127" i="22"/>
  <c r="X127" i="22"/>
  <c r="F127" i="22"/>
  <c r="F132" i="22" s="1"/>
  <c r="K127" i="22"/>
  <c r="Q127" i="22"/>
  <c r="V127" i="22"/>
  <c r="E127" i="22"/>
  <c r="E132" i="22" s="1"/>
  <c r="G127" i="22"/>
  <c r="N127" i="22"/>
  <c r="U127" i="22"/>
  <c r="I127" i="22"/>
  <c r="O127" i="22"/>
  <c r="W127" i="22"/>
  <c r="R127" i="22"/>
  <c r="J127" i="22"/>
  <c r="M127" i="22"/>
  <c r="S127" i="22"/>
  <c r="F130" i="30"/>
  <c r="F135" i="30" s="1"/>
  <c r="J130" i="30"/>
  <c r="N130" i="30"/>
  <c r="R130" i="30"/>
  <c r="V130" i="30"/>
  <c r="E130" i="30"/>
  <c r="E135" i="30" s="1"/>
  <c r="G130" i="30"/>
  <c r="L130" i="30"/>
  <c r="Q130" i="30"/>
  <c r="W130" i="30"/>
  <c r="H130" i="30"/>
  <c r="M130" i="30"/>
  <c r="S130" i="30"/>
  <c r="X130" i="30"/>
  <c r="I130" i="30"/>
  <c r="T130" i="30"/>
  <c r="P130" i="30"/>
  <c r="K130" i="30"/>
  <c r="U130" i="30"/>
  <c r="O130" i="30"/>
  <c r="I129" i="26"/>
  <c r="M129" i="26"/>
  <c r="H129" i="26"/>
  <c r="N129" i="26"/>
  <c r="R129" i="26"/>
  <c r="V129" i="26"/>
  <c r="J129" i="26"/>
  <c r="O129" i="26"/>
  <c r="S129" i="26"/>
  <c r="W129" i="26"/>
  <c r="K129" i="26"/>
  <c r="T129" i="26"/>
  <c r="E129" i="26"/>
  <c r="E134" i="26" s="1"/>
  <c r="F129" i="26"/>
  <c r="F134" i="26" s="1"/>
  <c r="X129" i="26"/>
  <c r="G129" i="26"/>
  <c r="Q129" i="26"/>
  <c r="L129" i="26"/>
  <c r="U129" i="26"/>
  <c r="P129" i="26"/>
  <c r="I128" i="21"/>
  <c r="M128" i="21"/>
  <c r="Q128" i="21"/>
  <c r="U128" i="21"/>
  <c r="E128" i="21"/>
  <c r="E133" i="21" s="1"/>
  <c r="J128" i="21"/>
  <c r="R128" i="21"/>
  <c r="V128" i="21"/>
  <c r="F128" i="21"/>
  <c r="F133" i="21" s="1"/>
  <c r="N128" i="21"/>
  <c r="K128" i="21"/>
  <c r="S128" i="21"/>
  <c r="O128" i="21"/>
  <c r="W128" i="21"/>
  <c r="P128" i="21"/>
  <c r="X128" i="21"/>
  <c r="L128" i="21"/>
  <c r="T128" i="21"/>
  <c r="G128" i="21"/>
  <c r="H128" i="21"/>
  <c r="F129" i="22"/>
  <c r="F134" i="22" s="1"/>
  <c r="J129" i="22"/>
  <c r="N129" i="22"/>
  <c r="R129" i="22"/>
  <c r="V129" i="22"/>
  <c r="K129" i="22"/>
  <c r="P129" i="22"/>
  <c r="U129" i="22"/>
  <c r="L129" i="22"/>
  <c r="S129" i="22"/>
  <c r="E129" i="22"/>
  <c r="E134" i="22" s="1"/>
  <c r="G129" i="22"/>
  <c r="M129" i="22"/>
  <c r="T129" i="22"/>
  <c r="H129" i="22"/>
  <c r="W129" i="22"/>
  <c r="O129" i="22"/>
  <c r="Q129" i="22"/>
  <c r="I129" i="22"/>
  <c r="X129" i="22"/>
  <c r="G130" i="25"/>
  <c r="K130" i="25"/>
  <c r="O130" i="25"/>
  <c r="S130" i="25"/>
  <c r="W130" i="25"/>
  <c r="H130" i="25"/>
  <c r="L130" i="25"/>
  <c r="P130" i="25"/>
  <c r="T130" i="25"/>
  <c r="X130" i="25"/>
  <c r="M130" i="25"/>
  <c r="U130" i="25"/>
  <c r="I130" i="25"/>
  <c r="R130" i="25"/>
  <c r="E130" i="25"/>
  <c r="E135" i="25" s="1"/>
  <c r="F130" i="25"/>
  <c r="F135" i="25" s="1"/>
  <c r="N130" i="25"/>
  <c r="V130" i="25"/>
  <c r="Q130" i="25"/>
  <c r="J130" i="25"/>
  <c r="I128" i="25"/>
  <c r="M128" i="25"/>
  <c r="Q128" i="25"/>
  <c r="U128" i="25"/>
  <c r="E128" i="25"/>
  <c r="E133" i="25" s="1"/>
  <c r="F128" i="25"/>
  <c r="F133" i="25" s="1"/>
  <c r="J128" i="25"/>
  <c r="N128" i="25"/>
  <c r="R128" i="25"/>
  <c r="V128" i="25"/>
  <c r="K128" i="25"/>
  <c r="S128" i="25"/>
  <c r="G128" i="25"/>
  <c r="O128" i="25"/>
  <c r="H128" i="25"/>
  <c r="X128" i="25"/>
  <c r="L128" i="25"/>
  <c r="T128" i="25"/>
  <c r="W128" i="25"/>
  <c r="P128" i="25"/>
  <c r="I128" i="23"/>
  <c r="M128" i="23"/>
  <c r="Q128" i="23"/>
  <c r="U128" i="23"/>
  <c r="E128" i="23"/>
  <c r="E133" i="23" s="1"/>
  <c r="F128" i="23"/>
  <c r="F133" i="23" s="1"/>
  <c r="N128" i="23"/>
  <c r="R128" i="23"/>
  <c r="V128" i="23"/>
  <c r="J128" i="23"/>
  <c r="G128" i="23"/>
  <c r="O128" i="23"/>
  <c r="W128" i="23"/>
  <c r="K128" i="23"/>
  <c r="T128" i="23"/>
  <c r="H128" i="23"/>
  <c r="P128" i="23"/>
  <c r="X128" i="23"/>
  <c r="S128" i="23"/>
  <c r="L128" i="23"/>
  <c r="E91" i="24"/>
  <c r="G130" i="23"/>
  <c r="K130" i="23"/>
  <c r="O130" i="23"/>
  <c r="S130" i="23"/>
  <c r="W130" i="23"/>
  <c r="H130" i="23"/>
  <c r="L130" i="23"/>
  <c r="P130" i="23"/>
  <c r="X130" i="23"/>
  <c r="T130" i="23"/>
  <c r="I130" i="23"/>
  <c r="Q130" i="23"/>
  <c r="U130" i="23"/>
  <c r="N130" i="23"/>
  <c r="J130" i="23"/>
  <c r="R130" i="23"/>
  <c r="E130" i="23"/>
  <c r="E135" i="23" s="1"/>
  <c r="M130" i="23"/>
  <c r="F130" i="23"/>
  <c r="F135" i="23" s="1"/>
  <c r="V130" i="23"/>
  <c r="F84" i="22"/>
  <c r="F139" i="22"/>
  <c r="G130" i="21"/>
  <c r="K130" i="21"/>
  <c r="O130" i="21"/>
  <c r="S130" i="21"/>
  <c r="W130" i="21"/>
  <c r="H130" i="21"/>
  <c r="L130" i="21"/>
  <c r="P130" i="21"/>
  <c r="X130" i="21"/>
  <c r="T130" i="21"/>
  <c r="M130" i="21"/>
  <c r="U130" i="21"/>
  <c r="I130" i="21"/>
  <c r="J130" i="21"/>
  <c r="E130" i="21"/>
  <c r="E135" i="21" s="1"/>
  <c r="F130" i="21"/>
  <c r="F135" i="21" s="1"/>
  <c r="N130" i="21"/>
  <c r="V130" i="21"/>
  <c r="Q130" i="21"/>
  <c r="R130" i="21"/>
  <c r="G130" i="26"/>
  <c r="K130" i="26"/>
  <c r="O130" i="26"/>
  <c r="S130" i="26"/>
  <c r="W130" i="26"/>
  <c r="H130" i="26"/>
  <c r="L130" i="26"/>
  <c r="P130" i="26"/>
  <c r="T130" i="26"/>
  <c r="X130" i="26"/>
  <c r="I130" i="26"/>
  <c r="Q130" i="26"/>
  <c r="M130" i="26"/>
  <c r="F130" i="26"/>
  <c r="F135" i="26" s="1"/>
  <c r="V130" i="26"/>
  <c r="J130" i="26"/>
  <c r="R130" i="26"/>
  <c r="E130" i="26"/>
  <c r="E135" i="26" s="1"/>
  <c r="U130" i="26"/>
  <c r="N130" i="26"/>
  <c r="F113" i="24"/>
  <c r="F129" i="24"/>
  <c r="F134" i="24" s="1"/>
  <c r="J129" i="24"/>
  <c r="N129" i="24"/>
  <c r="R129" i="24"/>
  <c r="V129" i="24"/>
  <c r="G129" i="24"/>
  <c r="K129" i="24"/>
  <c r="O129" i="24"/>
  <c r="S129" i="24"/>
  <c r="W129" i="24"/>
  <c r="L129" i="24"/>
  <c r="T129" i="24"/>
  <c r="E129" i="24"/>
  <c r="E134" i="24" s="1"/>
  <c r="H129" i="24"/>
  <c r="P129" i="24"/>
  <c r="I129" i="24"/>
  <c r="Q129" i="24"/>
  <c r="M129" i="24"/>
  <c r="U129" i="24"/>
  <c r="X129" i="24"/>
  <c r="F129" i="21"/>
  <c r="F134" i="21" s="1"/>
  <c r="J129" i="21"/>
  <c r="N129" i="21"/>
  <c r="R129" i="21"/>
  <c r="V129" i="21"/>
  <c r="K129" i="21"/>
  <c r="O129" i="21"/>
  <c r="S129" i="21"/>
  <c r="G129" i="21"/>
  <c r="W129" i="21"/>
  <c r="H129" i="21"/>
  <c r="P129" i="21"/>
  <c r="X129" i="21"/>
  <c r="T129" i="21"/>
  <c r="E129" i="21"/>
  <c r="E134" i="21" s="1"/>
  <c r="U129" i="21"/>
  <c r="I129" i="21"/>
  <c r="Q129" i="21"/>
  <c r="L129" i="21"/>
  <c r="M129" i="21"/>
  <c r="S70" i="30"/>
  <c r="E55" i="11"/>
  <c r="E90" i="24"/>
  <c r="G79" i="23"/>
  <c r="G29" i="23"/>
  <c r="T69" i="23"/>
  <c r="S69" i="23" s="1"/>
  <c r="E79" i="21"/>
  <c r="F77" i="22"/>
  <c r="F43" i="22" s="1"/>
  <c r="D133" i="23"/>
  <c r="D62" i="37"/>
  <c r="D133" i="22"/>
  <c r="D26" i="37"/>
  <c r="C67" i="8"/>
  <c r="D132" i="22"/>
  <c r="C31" i="17"/>
  <c r="F31" i="17"/>
  <c r="F107" i="22"/>
  <c r="U69" i="30"/>
  <c r="D25" i="37"/>
  <c r="D24" i="37"/>
  <c r="R71" i="30"/>
  <c r="X70" i="30"/>
  <c r="E91" i="25"/>
  <c r="E93" i="25" s="1"/>
  <c r="D60" i="37"/>
  <c r="D35" i="37"/>
  <c r="T69" i="25"/>
  <c r="S69" i="25" s="1"/>
  <c r="D33" i="37"/>
  <c r="T69" i="24"/>
  <c r="S69" i="24" s="1"/>
  <c r="D133" i="21"/>
  <c r="D133" i="30"/>
  <c r="D134" i="21"/>
  <c r="D133" i="25"/>
  <c r="D134" i="24"/>
  <c r="D133" i="24"/>
  <c r="D134" i="25"/>
  <c r="D134" i="23"/>
  <c r="D134" i="26"/>
  <c r="O53" i="37"/>
  <c r="L53" i="37"/>
  <c r="D57" i="37"/>
  <c r="T69" i="26"/>
  <c r="S69" i="26" s="1"/>
  <c r="E53" i="11" s="1"/>
  <c r="R71" i="26"/>
  <c r="N53" i="37"/>
  <c r="M53" i="37"/>
  <c r="K53" i="37"/>
  <c r="R69" i="21"/>
  <c r="D51" i="37"/>
  <c r="D52" i="37"/>
  <c r="E10" i="23"/>
  <c r="F8" i="11" s="1"/>
  <c r="E10" i="24"/>
  <c r="G8" i="11" s="1"/>
  <c r="E10" i="25"/>
  <c r="H8" i="11" s="1"/>
  <c r="E10" i="30"/>
  <c r="J8" i="11" s="1"/>
  <c r="E10" i="26"/>
  <c r="I8" i="11" s="1"/>
  <c r="E10" i="22"/>
  <c r="E8" i="11" s="1"/>
  <c r="F76" i="22"/>
  <c r="F42" i="22" s="1"/>
  <c r="F109" i="22"/>
  <c r="F29" i="22"/>
  <c r="F112" i="22"/>
  <c r="F103" i="22" s="1"/>
  <c r="F78" i="22"/>
  <c r="F114" i="22"/>
  <c r="F83" i="22"/>
  <c r="F85" i="22"/>
  <c r="F89" i="25"/>
  <c r="E114" i="26"/>
  <c r="E90" i="26"/>
  <c r="G77" i="23"/>
  <c r="F113" i="26"/>
  <c r="F114" i="26" s="1"/>
  <c r="E91" i="26"/>
  <c r="L61" i="37"/>
  <c r="O61" i="37"/>
  <c r="N61" i="37"/>
  <c r="M61" i="37"/>
  <c r="K61" i="37"/>
  <c r="D65" i="37"/>
  <c r="L42" i="37"/>
  <c r="O42" i="37"/>
  <c r="N42" i="37"/>
  <c r="M42" i="37"/>
  <c r="K42" i="37"/>
  <c r="D46" i="37"/>
  <c r="N48" i="37"/>
  <c r="O48" i="37"/>
  <c r="K48" i="37"/>
  <c r="M48" i="37"/>
  <c r="L48" i="37"/>
  <c r="K43" i="37"/>
  <c r="N43" i="37"/>
  <c r="L43" i="37"/>
  <c r="O43" i="37"/>
  <c r="M43" i="37"/>
  <c r="D47" i="37"/>
  <c r="D38" i="37"/>
  <c r="N34" i="37"/>
  <c r="K34" i="37"/>
  <c r="O34" i="37"/>
  <c r="L34" i="37"/>
  <c r="M34" i="37"/>
  <c r="N38" i="37"/>
  <c r="O38" i="37"/>
  <c r="K38" i="37"/>
  <c r="M38" i="37"/>
  <c r="L38" i="37"/>
  <c r="G78" i="23"/>
  <c r="G84" i="23"/>
  <c r="G86" i="23"/>
  <c r="D135" i="21"/>
  <c r="I22" i="25"/>
  <c r="H140" i="25"/>
  <c r="D134" i="22"/>
  <c r="D135" i="25"/>
  <c r="E89" i="21"/>
  <c r="D135" i="26"/>
  <c r="H22" i="30"/>
  <c r="H23" i="30" s="1"/>
  <c r="H52" i="30" s="1"/>
  <c r="G140" i="30"/>
  <c r="G74" i="30"/>
  <c r="G29" i="22"/>
  <c r="G96" i="22"/>
  <c r="G98" i="22"/>
  <c r="G107" i="22"/>
  <c r="G114" i="22"/>
  <c r="G115" i="22" s="1"/>
  <c r="G143" i="22" s="1"/>
  <c r="G97" i="22"/>
  <c r="G83" i="22"/>
  <c r="G109" i="22"/>
  <c r="G78" i="22"/>
  <c r="G76" i="22"/>
  <c r="G77" i="22"/>
  <c r="G85" i="22"/>
  <c r="G84" i="22"/>
  <c r="M21" i="24"/>
  <c r="D135" i="23"/>
  <c r="D135" i="30"/>
  <c r="G97" i="23"/>
  <c r="G99" i="23"/>
  <c r="G108" i="23"/>
  <c r="G110" i="23"/>
  <c r="G115" i="23"/>
  <c r="G116" i="23" s="1"/>
  <c r="G98" i="23"/>
  <c r="G85" i="23"/>
  <c r="O21" i="30"/>
  <c r="P21" i="25"/>
  <c r="I22" i="22"/>
  <c r="I23" i="22" s="1"/>
  <c r="N21" i="21"/>
  <c r="F110" i="21"/>
  <c r="F108" i="21"/>
  <c r="F115" i="21"/>
  <c r="F116" i="21" s="1"/>
  <c r="F113" i="21"/>
  <c r="F29" i="21"/>
  <c r="F84" i="21"/>
  <c r="F77" i="21"/>
  <c r="F42" i="21" s="1"/>
  <c r="F78" i="21"/>
  <c r="F43" i="21" s="1"/>
  <c r="F79" i="21"/>
  <c r="F86" i="21"/>
  <c r="F85" i="21"/>
  <c r="G115" i="25"/>
  <c r="G116" i="25" s="1"/>
  <c r="G97" i="25"/>
  <c r="G99" i="25"/>
  <c r="G29" i="25"/>
  <c r="G110" i="25"/>
  <c r="G113" i="25"/>
  <c r="G114" i="25" s="1"/>
  <c r="G98" i="25"/>
  <c r="G85" i="25"/>
  <c r="G78" i="25"/>
  <c r="G84" i="25"/>
  <c r="G77" i="25"/>
  <c r="G42" i="25" s="1"/>
  <c r="G86" i="25"/>
  <c r="G79" i="25"/>
  <c r="N21" i="23"/>
  <c r="D135" i="24"/>
  <c r="E90" i="21"/>
  <c r="H140" i="23"/>
  <c r="I22" i="23"/>
  <c r="I23" i="23" s="1"/>
  <c r="O21" i="22"/>
  <c r="E114" i="21"/>
  <c r="E104" i="21"/>
  <c r="N21" i="26"/>
  <c r="F110" i="30"/>
  <c r="F29" i="30"/>
  <c r="F115" i="30"/>
  <c r="F108" i="30"/>
  <c r="F113" i="30"/>
  <c r="F86" i="30"/>
  <c r="F78" i="30"/>
  <c r="F43" i="30" s="1"/>
  <c r="F79" i="30"/>
  <c r="F44" i="30" s="1"/>
  <c r="F84" i="30"/>
  <c r="F77" i="30"/>
  <c r="F42" i="30" s="1"/>
  <c r="F85" i="30"/>
  <c r="G74" i="21"/>
  <c r="G106" i="21" s="1"/>
  <c r="G140" i="21"/>
  <c r="H22" i="21"/>
  <c r="H23" i="21" s="1"/>
  <c r="H52" i="21" s="1"/>
  <c r="L15" i="37" l="1"/>
  <c r="D16" i="37"/>
  <c r="O16" i="37" s="1"/>
  <c r="T68" i="22"/>
  <c r="S68" i="22" s="1"/>
  <c r="X69" i="22" s="1"/>
  <c r="D19" i="37"/>
  <c r="K19" i="37" s="1"/>
  <c r="M15" i="37"/>
  <c r="F44" i="22"/>
  <c r="F46" i="22" s="1"/>
  <c r="F62" i="22" s="1"/>
  <c r="G44" i="25"/>
  <c r="K15" i="37"/>
  <c r="D17" i="37"/>
  <c r="L17" i="37" s="1"/>
  <c r="N15" i="37"/>
  <c r="M57" i="37"/>
  <c r="N24" i="37"/>
  <c r="K26" i="37"/>
  <c r="O25" i="37"/>
  <c r="D37" i="37"/>
  <c r="K35" i="37"/>
  <c r="K95" i="37" s="1"/>
  <c r="M62" i="37"/>
  <c r="M98" i="37" s="1"/>
  <c r="L60" i="37"/>
  <c r="F114" i="25"/>
  <c r="F90" i="25"/>
  <c r="G43" i="25"/>
  <c r="F91" i="25"/>
  <c r="H52" i="25"/>
  <c r="H108" i="25"/>
  <c r="I23" i="25"/>
  <c r="I108" i="25" s="1"/>
  <c r="I74" i="25"/>
  <c r="H23" i="24"/>
  <c r="I22" i="24"/>
  <c r="G52" i="24"/>
  <c r="G97" i="24"/>
  <c r="G133" i="24" s="1"/>
  <c r="G98" i="24"/>
  <c r="G134" i="24" s="1"/>
  <c r="G110" i="24"/>
  <c r="G140" i="24"/>
  <c r="G115" i="24"/>
  <c r="G116" i="24" s="1"/>
  <c r="G144" i="24" s="1"/>
  <c r="G29" i="24"/>
  <c r="G99" i="24"/>
  <c r="G135" i="24" s="1"/>
  <c r="G108" i="24"/>
  <c r="G86" i="24"/>
  <c r="G79" i="24"/>
  <c r="G77" i="24"/>
  <c r="G84" i="24"/>
  <c r="G85" i="24"/>
  <c r="G78" i="24"/>
  <c r="F116" i="24"/>
  <c r="F144" i="24" s="1"/>
  <c r="F118" i="24"/>
  <c r="G113" i="24"/>
  <c r="G114" i="24" s="1"/>
  <c r="H139" i="22"/>
  <c r="H52" i="22"/>
  <c r="F90" i="26"/>
  <c r="E92" i="22"/>
  <c r="G144" i="25"/>
  <c r="E144" i="26"/>
  <c r="F144" i="25"/>
  <c r="D144" i="23"/>
  <c r="D144" i="26"/>
  <c r="D144" i="25"/>
  <c r="D143" i="22"/>
  <c r="D144" i="30"/>
  <c r="D144" i="24"/>
  <c r="E144" i="23"/>
  <c r="E144" i="30"/>
  <c r="E143" i="22"/>
  <c r="E144" i="25"/>
  <c r="E144" i="24"/>
  <c r="G144" i="23"/>
  <c r="E144" i="21"/>
  <c r="F118" i="30"/>
  <c r="F116" i="30"/>
  <c r="F144" i="30" s="1"/>
  <c r="F118" i="26"/>
  <c r="F116" i="26"/>
  <c r="F144" i="26" s="1"/>
  <c r="F118" i="23"/>
  <c r="F116" i="23"/>
  <c r="F144" i="23" s="1"/>
  <c r="F117" i="22"/>
  <c r="F115" i="22"/>
  <c r="F143" i="22" s="1"/>
  <c r="F43" i="26"/>
  <c r="F46" i="26" s="1"/>
  <c r="F62" i="26" s="1"/>
  <c r="G43" i="22"/>
  <c r="G42" i="23"/>
  <c r="G44" i="22"/>
  <c r="F89" i="26"/>
  <c r="F93" i="24"/>
  <c r="F91" i="26"/>
  <c r="F144" i="21"/>
  <c r="D144" i="21"/>
  <c r="F118" i="21"/>
  <c r="G43" i="23"/>
  <c r="F44" i="21"/>
  <c r="G44" i="23"/>
  <c r="F90" i="23"/>
  <c r="I39" i="25"/>
  <c r="J39" i="25" s="1"/>
  <c r="K39" i="25" s="1"/>
  <c r="L39" i="25" s="1"/>
  <c r="M39" i="25" s="1"/>
  <c r="N39" i="25" s="1"/>
  <c r="O39" i="25" s="1"/>
  <c r="P39" i="25" s="1"/>
  <c r="Q39" i="25" s="1"/>
  <c r="R39" i="25" s="1"/>
  <c r="S39" i="25" s="1"/>
  <c r="T39" i="25" s="1"/>
  <c r="U39" i="25" s="1"/>
  <c r="V39" i="25" s="1"/>
  <c r="W39" i="25" s="1"/>
  <c r="X39" i="25" s="1"/>
  <c r="H45" i="25"/>
  <c r="I39" i="30"/>
  <c r="J39" i="30" s="1"/>
  <c r="K39" i="30" s="1"/>
  <c r="L39" i="30" s="1"/>
  <c r="M39" i="30" s="1"/>
  <c r="N39" i="30" s="1"/>
  <c r="O39" i="30" s="1"/>
  <c r="P39" i="30" s="1"/>
  <c r="Q39" i="30" s="1"/>
  <c r="R39" i="30" s="1"/>
  <c r="S39" i="30" s="1"/>
  <c r="T39" i="30" s="1"/>
  <c r="U39" i="30" s="1"/>
  <c r="V39" i="30" s="1"/>
  <c r="W39" i="30" s="1"/>
  <c r="X39" i="30" s="1"/>
  <c r="H45" i="30"/>
  <c r="G42" i="22"/>
  <c r="I39" i="26"/>
  <c r="J39" i="26" s="1"/>
  <c r="K39" i="26" s="1"/>
  <c r="L39" i="26" s="1"/>
  <c r="M39" i="26" s="1"/>
  <c r="N39" i="26" s="1"/>
  <c r="O39" i="26" s="1"/>
  <c r="P39" i="26" s="1"/>
  <c r="Q39" i="26" s="1"/>
  <c r="R39" i="26" s="1"/>
  <c r="S39" i="26" s="1"/>
  <c r="T39" i="26" s="1"/>
  <c r="U39" i="26" s="1"/>
  <c r="V39" i="26" s="1"/>
  <c r="W39" i="26" s="1"/>
  <c r="X39" i="26" s="1"/>
  <c r="H45" i="26"/>
  <c r="I39" i="24"/>
  <c r="J39" i="24" s="1"/>
  <c r="K39" i="24" s="1"/>
  <c r="L39" i="24" s="1"/>
  <c r="M39" i="24" s="1"/>
  <c r="N39" i="24" s="1"/>
  <c r="O39" i="24" s="1"/>
  <c r="P39" i="24" s="1"/>
  <c r="Q39" i="24" s="1"/>
  <c r="R39" i="24" s="1"/>
  <c r="S39" i="24" s="1"/>
  <c r="T39" i="24" s="1"/>
  <c r="U39" i="24" s="1"/>
  <c r="V39" i="24" s="1"/>
  <c r="W39" i="24" s="1"/>
  <c r="X39" i="24" s="1"/>
  <c r="H45" i="24"/>
  <c r="I39" i="22"/>
  <c r="J39" i="22" s="1"/>
  <c r="K39" i="22" s="1"/>
  <c r="L39" i="22" s="1"/>
  <c r="M39" i="22" s="1"/>
  <c r="N39" i="22" s="1"/>
  <c r="O39" i="22" s="1"/>
  <c r="P39" i="22" s="1"/>
  <c r="Q39" i="22" s="1"/>
  <c r="R39" i="22" s="1"/>
  <c r="S39" i="22" s="1"/>
  <c r="T39" i="22" s="1"/>
  <c r="U39" i="22" s="1"/>
  <c r="V39" i="22" s="1"/>
  <c r="W39" i="22" s="1"/>
  <c r="X39" i="22" s="1"/>
  <c r="H45" i="22"/>
  <c r="I39" i="21"/>
  <c r="J39" i="21" s="1"/>
  <c r="K39" i="21" s="1"/>
  <c r="L39" i="21" s="1"/>
  <c r="M39" i="21" s="1"/>
  <c r="N39" i="21" s="1"/>
  <c r="O39" i="21" s="1"/>
  <c r="P39" i="21" s="1"/>
  <c r="Q39" i="21" s="1"/>
  <c r="R39" i="21" s="1"/>
  <c r="S39" i="21" s="1"/>
  <c r="T39" i="21" s="1"/>
  <c r="U39" i="21" s="1"/>
  <c r="V39" i="21" s="1"/>
  <c r="W39" i="21" s="1"/>
  <c r="X39" i="21" s="1"/>
  <c r="H45" i="21"/>
  <c r="I39" i="23"/>
  <c r="J39" i="23" s="1"/>
  <c r="K39" i="23" s="1"/>
  <c r="L39" i="23" s="1"/>
  <c r="M39" i="23" s="1"/>
  <c r="N39" i="23" s="1"/>
  <c r="O39" i="23" s="1"/>
  <c r="P39" i="23" s="1"/>
  <c r="Q39" i="23" s="1"/>
  <c r="R39" i="23" s="1"/>
  <c r="S39" i="23" s="1"/>
  <c r="T39" i="23" s="1"/>
  <c r="U39" i="23" s="1"/>
  <c r="V39" i="23" s="1"/>
  <c r="W39" i="23" s="1"/>
  <c r="X39" i="23" s="1"/>
  <c r="H45" i="23"/>
  <c r="F46" i="24"/>
  <c r="F62" i="24" s="1"/>
  <c r="G113" i="23"/>
  <c r="G114" i="23" s="1"/>
  <c r="F91" i="23"/>
  <c r="F104" i="23"/>
  <c r="F89" i="23"/>
  <c r="G98" i="26"/>
  <c r="G134" i="26" s="1"/>
  <c r="G110" i="26"/>
  <c r="G85" i="26"/>
  <c r="G77" i="26"/>
  <c r="G42" i="26" s="1"/>
  <c r="G86" i="26"/>
  <c r="G84" i="26"/>
  <c r="G99" i="26"/>
  <c r="G135" i="26" s="1"/>
  <c r="G115" i="26"/>
  <c r="G116" i="26" s="1"/>
  <c r="G144" i="26" s="1"/>
  <c r="G78" i="26"/>
  <c r="G43" i="26" s="1"/>
  <c r="G29" i="26"/>
  <c r="G108" i="26"/>
  <c r="G97" i="26"/>
  <c r="G133" i="26" s="1"/>
  <c r="G79" i="26"/>
  <c r="G44" i="26" s="1"/>
  <c r="G140" i="26"/>
  <c r="H23" i="26"/>
  <c r="H52" i="26" s="1"/>
  <c r="I22" i="26"/>
  <c r="E93" i="24"/>
  <c r="F114" i="24"/>
  <c r="E137" i="26"/>
  <c r="E141" i="26" s="1"/>
  <c r="E146" i="26" s="1"/>
  <c r="S70" i="25"/>
  <c r="E52" i="11"/>
  <c r="G91" i="23"/>
  <c r="S70" i="24"/>
  <c r="E51" i="11"/>
  <c r="U69" i="23"/>
  <c r="E50" i="11"/>
  <c r="C68" i="8"/>
  <c r="D49" i="22" s="1"/>
  <c r="E49" i="22" s="1"/>
  <c r="F49" i="22" s="1"/>
  <c r="G49" i="22" s="1"/>
  <c r="H49" i="22" s="1"/>
  <c r="I49" i="22" s="1"/>
  <c r="J49" i="22" s="1"/>
  <c r="K49" i="22" s="1"/>
  <c r="X70" i="23"/>
  <c r="H85" i="23"/>
  <c r="H29" i="23"/>
  <c r="S70" i="23"/>
  <c r="E91" i="21"/>
  <c r="E93" i="21" s="1"/>
  <c r="F89" i="22"/>
  <c r="N62" i="37"/>
  <c r="N98" i="37" s="1"/>
  <c r="O62" i="37"/>
  <c r="O98" i="37" s="1"/>
  <c r="K62" i="37"/>
  <c r="K77" i="37" s="1"/>
  <c r="L62" i="37"/>
  <c r="L98" i="37" s="1"/>
  <c r="D66" i="37"/>
  <c r="G133" i="23"/>
  <c r="K96" i="37"/>
  <c r="M26" i="37"/>
  <c r="X70" i="25"/>
  <c r="O26" i="37"/>
  <c r="D30" i="37"/>
  <c r="K8" i="11"/>
  <c r="E136" i="22"/>
  <c r="E140" i="22" s="1"/>
  <c r="N26" i="37"/>
  <c r="L26" i="37"/>
  <c r="G133" i="22"/>
  <c r="O39" i="37"/>
  <c r="O85" i="37" s="1"/>
  <c r="G132" i="22"/>
  <c r="F136" i="22"/>
  <c r="L24" i="37"/>
  <c r="D136" i="22"/>
  <c r="K25" i="37"/>
  <c r="K24" i="37"/>
  <c r="O35" i="37"/>
  <c r="D28" i="37"/>
  <c r="O24" i="37"/>
  <c r="D64" i="37"/>
  <c r="F137" i="24"/>
  <c r="F141" i="24" s="1"/>
  <c r="F146" i="24" s="1"/>
  <c r="F137" i="21"/>
  <c r="F141" i="21" s="1"/>
  <c r="F46" i="25"/>
  <c r="F62" i="25" s="1"/>
  <c r="N39" i="37"/>
  <c r="N85" i="37" s="1"/>
  <c r="M24" i="37"/>
  <c r="M35" i="37"/>
  <c r="M95" i="37" s="1"/>
  <c r="N35" i="37"/>
  <c r="N95" i="37" s="1"/>
  <c r="D29" i="37"/>
  <c r="M25" i="37"/>
  <c r="L25" i="37"/>
  <c r="N25" i="37"/>
  <c r="L35" i="37"/>
  <c r="L95" i="37" s="1"/>
  <c r="U69" i="25"/>
  <c r="K39" i="37"/>
  <c r="D39" i="37"/>
  <c r="X70" i="24"/>
  <c r="M39" i="37"/>
  <c r="M85" i="37" s="1"/>
  <c r="L39" i="37"/>
  <c r="L85" i="37" s="1"/>
  <c r="O60" i="37"/>
  <c r="U69" i="24"/>
  <c r="K60" i="37"/>
  <c r="N60" i="37"/>
  <c r="M60" i="37"/>
  <c r="K37" i="37"/>
  <c r="K33" i="37"/>
  <c r="K57" i="37"/>
  <c r="O37" i="37"/>
  <c r="L37" i="37"/>
  <c r="M33" i="37"/>
  <c r="N37" i="37"/>
  <c r="L33" i="37"/>
  <c r="N33" i="37"/>
  <c r="M37" i="37"/>
  <c r="O33" i="37"/>
  <c r="N57" i="37"/>
  <c r="E137" i="24"/>
  <c r="E141" i="24" s="1"/>
  <c r="E146" i="24" s="1"/>
  <c r="D137" i="30"/>
  <c r="G134" i="23"/>
  <c r="E137" i="23"/>
  <c r="E141" i="23" s="1"/>
  <c r="E146" i="23" s="1"/>
  <c r="G133" i="25"/>
  <c r="D137" i="21"/>
  <c r="G134" i="25"/>
  <c r="D137" i="26"/>
  <c r="D137" i="24"/>
  <c r="D137" i="23"/>
  <c r="F137" i="26"/>
  <c r="F141" i="26" s="1"/>
  <c r="F146" i="26" s="1"/>
  <c r="D137" i="25"/>
  <c r="F137" i="25"/>
  <c r="F141" i="25" s="1"/>
  <c r="F146" i="25" s="1"/>
  <c r="E137" i="21"/>
  <c r="E137" i="30"/>
  <c r="E141" i="30" s="1"/>
  <c r="F137" i="30"/>
  <c r="F141" i="30" s="1"/>
  <c r="E137" i="25"/>
  <c r="E141" i="25" s="1"/>
  <c r="E146" i="25" s="1"/>
  <c r="F137" i="23"/>
  <c r="F141" i="23" s="1"/>
  <c r="F146" i="23" s="1"/>
  <c r="L57" i="37"/>
  <c r="O57" i="37"/>
  <c r="M51" i="37"/>
  <c r="O51" i="37"/>
  <c r="K51" i="37"/>
  <c r="N51" i="37"/>
  <c r="D55" i="37"/>
  <c r="L51" i="37"/>
  <c r="D7" i="37"/>
  <c r="T69" i="21"/>
  <c r="S69" i="21" s="1"/>
  <c r="E48" i="11" s="1"/>
  <c r="R71" i="21"/>
  <c r="X70" i="26"/>
  <c r="U69" i="26"/>
  <c r="S70" i="26"/>
  <c r="L52" i="37"/>
  <c r="L97" i="37" s="1"/>
  <c r="D56" i="37"/>
  <c r="K52" i="37"/>
  <c r="K97" i="37" s="1"/>
  <c r="N52" i="37"/>
  <c r="N97" i="37" s="1"/>
  <c r="O52" i="37"/>
  <c r="O97" i="37" s="1"/>
  <c r="M52" i="37"/>
  <c r="M97" i="37" s="1"/>
  <c r="D8" i="37"/>
  <c r="F88" i="22"/>
  <c r="F90" i="22"/>
  <c r="F113" i="22"/>
  <c r="G112" i="22"/>
  <c r="G113" i="22" s="1"/>
  <c r="E93" i="26"/>
  <c r="G90" i="23"/>
  <c r="G89" i="23"/>
  <c r="F104" i="26"/>
  <c r="G113" i="26"/>
  <c r="O96" i="37"/>
  <c r="N96" i="37"/>
  <c r="M96" i="37"/>
  <c r="O46" i="37"/>
  <c r="K46" i="37"/>
  <c r="L46" i="37"/>
  <c r="M46" i="37"/>
  <c r="N46" i="37"/>
  <c r="L96" i="37"/>
  <c r="G135" i="25"/>
  <c r="M47" i="37"/>
  <c r="M86" i="37" s="1"/>
  <c r="L47" i="37"/>
  <c r="L86" i="37" s="1"/>
  <c r="N47" i="37"/>
  <c r="N86" i="37" s="1"/>
  <c r="K47" i="37"/>
  <c r="K75" i="37" s="1"/>
  <c r="O47" i="37"/>
  <c r="O86" i="37" s="1"/>
  <c r="J22" i="23"/>
  <c r="J23" i="23" s="1"/>
  <c r="F90" i="21"/>
  <c r="H98" i="25"/>
  <c r="H134" i="25" s="1"/>
  <c r="H115" i="25"/>
  <c r="H97" i="25"/>
  <c r="H133" i="25" s="1"/>
  <c r="H110" i="25"/>
  <c r="H113" i="25"/>
  <c r="H104" i="25" s="1"/>
  <c r="H29" i="25"/>
  <c r="H99" i="25"/>
  <c r="H135" i="25" s="1"/>
  <c r="H85" i="25"/>
  <c r="H84" i="25"/>
  <c r="H77" i="25"/>
  <c r="H42" i="25" s="1"/>
  <c r="H78" i="25"/>
  <c r="H43" i="25" s="1"/>
  <c r="H79" i="25"/>
  <c r="H44" i="25" s="1"/>
  <c r="H86" i="25"/>
  <c r="F90" i="30"/>
  <c r="H97" i="23"/>
  <c r="H133" i="23" s="1"/>
  <c r="H99" i="23"/>
  <c r="H135" i="23" s="1"/>
  <c r="H108" i="23"/>
  <c r="H110" i="23"/>
  <c r="H115" i="23"/>
  <c r="H116" i="23" s="1"/>
  <c r="H144" i="23" s="1"/>
  <c r="H98" i="23"/>
  <c r="H134" i="23" s="1"/>
  <c r="G91" i="25"/>
  <c r="G90" i="25"/>
  <c r="H114" i="22"/>
  <c r="H115" i="22" s="1"/>
  <c r="H143" i="22" s="1"/>
  <c r="H97" i="22"/>
  <c r="H133" i="22" s="1"/>
  <c r="H109" i="22"/>
  <c r="H98" i="22"/>
  <c r="H134" i="22" s="1"/>
  <c r="H29" i="22"/>
  <c r="H107" i="22"/>
  <c r="H96" i="22"/>
  <c r="H76" i="22"/>
  <c r="H42" i="22" s="1"/>
  <c r="H85" i="22"/>
  <c r="H78" i="22"/>
  <c r="H44" i="22" s="1"/>
  <c r="H83" i="22"/>
  <c r="H77" i="22"/>
  <c r="H43" i="22" s="1"/>
  <c r="H84" i="22"/>
  <c r="N21" i="24"/>
  <c r="G88" i="22"/>
  <c r="H74" i="30"/>
  <c r="H140" i="30"/>
  <c r="I22" i="30"/>
  <c r="I23" i="30" s="1"/>
  <c r="J22" i="25"/>
  <c r="H86" i="23"/>
  <c r="O21" i="23"/>
  <c r="G90" i="22"/>
  <c r="H140" i="21"/>
  <c r="I22" i="21"/>
  <c r="I23" i="21" s="1"/>
  <c r="H74" i="21"/>
  <c r="H106" i="21" s="1"/>
  <c r="F89" i="30"/>
  <c r="F89" i="21"/>
  <c r="F114" i="21"/>
  <c r="F104" i="21"/>
  <c r="O21" i="21"/>
  <c r="J22" i="22"/>
  <c r="J23" i="22" s="1"/>
  <c r="Q21" i="25"/>
  <c r="P21" i="30"/>
  <c r="G135" i="23"/>
  <c r="H79" i="23"/>
  <c r="H44" i="23" s="1"/>
  <c r="H78" i="23"/>
  <c r="H43" i="23" s="1"/>
  <c r="F91" i="30"/>
  <c r="G89" i="22"/>
  <c r="G115" i="30"/>
  <c r="G116" i="30" s="1"/>
  <c r="G144" i="30" s="1"/>
  <c r="G108" i="30"/>
  <c r="G110" i="30"/>
  <c r="G29" i="30"/>
  <c r="G99" i="30"/>
  <c r="G135" i="30" s="1"/>
  <c r="G97" i="30"/>
  <c r="G133" i="30" s="1"/>
  <c r="G113" i="30"/>
  <c r="G114" i="30" s="1"/>
  <c r="G98" i="30"/>
  <c r="G134" i="30" s="1"/>
  <c r="G85" i="30"/>
  <c r="G79" i="30"/>
  <c r="G44" i="30" s="1"/>
  <c r="G77" i="30"/>
  <c r="G42" i="30" s="1"/>
  <c r="G78" i="30"/>
  <c r="G43" i="30" s="1"/>
  <c r="G86" i="30"/>
  <c r="G84" i="30"/>
  <c r="G97" i="21"/>
  <c r="G133" i="21" s="1"/>
  <c r="G99" i="21"/>
  <c r="G135" i="21" s="1"/>
  <c r="G108" i="21"/>
  <c r="G115" i="21"/>
  <c r="G116" i="21" s="1"/>
  <c r="G144" i="21" s="1"/>
  <c r="G29" i="21"/>
  <c r="G98" i="21"/>
  <c r="G134" i="21" s="1"/>
  <c r="G113" i="21"/>
  <c r="G114" i="21" s="1"/>
  <c r="G110" i="21"/>
  <c r="G77" i="21"/>
  <c r="G42" i="21" s="1"/>
  <c r="G79" i="21"/>
  <c r="G44" i="21" s="1"/>
  <c r="G78" i="21"/>
  <c r="G43" i="21" s="1"/>
  <c r="G84" i="21"/>
  <c r="G86" i="21"/>
  <c r="G85" i="21"/>
  <c r="F114" i="30"/>
  <c r="O21" i="26"/>
  <c r="P21" i="22"/>
  <c r="G89" i="25"/>
  <c r="F91" i="21"/>
  <c r="F46" i="23"/>
  <c r="F62" i="23" s="1"/>
  <c r="G134" i="22"/>
  <c r="H84" i="23"/>
  <c r="H77" i="23"/>
  <c r="H42" i="23" s="1"/>
  <c r="D21" i="37" l="1"/>
  <c r="N21" i="37" s="1"/>
  <c r="K16" i="37"/>
  <c r="N16" i="37"/>
  <c r="O94" i="37"/>
  <c r="D20" i="37"/>
  <c r="L20" i="37" s="1"/>
  <c r="M16" i="37"/>
  <c r="L16" i="37"/>
  <c r="L93" i="37" s="1"/>
  <c r="M19" i="37"/>
  <c r="U68" i="22"/>
  <c r="S69" i="22"/>
  <c r="E49" i="11"/>
  <c r="E54" i="11" s="1"/>
  <c r="E56" i="11" s="1"/>
  <c r="O19" i="37"/>
  <c r="L19" i="37"/>
  <c r="N17" i="37"/>
  <c r="N19" i="37"/>
  <c r="K17" i="37"/>
  <c r="O17" i="37"/>
  <c r="O93" i="37" s="1"/>
  <c r="M17" i="37"/>
  <c r="F93" i="25"/>
  <c r="M77" i="37"/>
  <c r="K94" i="37"/>
  <c r="O30" i="37"/>
  <c r="K74" i="37"/>
  <c r="K28" i="37"/>
  <c r="H116" i="25"/>
  <c r="H144" i="25" s="1"/>
  <c r="J23" i="25"/>
  <c r="J108" i="25" s="1"/>
  <c r="J74" i="25"/>
  <c r="H113" i="24"/>
  <c r="G137" i="24"/>
  <c r="G141" i="24" s="1"/>
  <c r="G146" i="24" s="1"/>
  <c r="G35" i="11" s="1"/>
  <c r="G90" i="24"/>
  <c r="G43" i="24"/>
  <c r="G44" i="24"/>
  <c r="G91" i="24"/>
  <c r="H52" i="24"/>
  <c r="H99" i="24"/>
  <c r="H135" i="24" s="1"/>
  <c r="H110" i="24"/>
  <c r="H29" i="24"/>
  <c r="H140" i="24"/>
  <c r="H97" i="24"/>
  <c r="H133" i="24" s="1"/>
  <c r="H108" i="24"/>
  <c r="H115" i="24"/>
  <c r="H98" i="24"/>
  <c r="H134" i="24" s="1"/>
  <c r="H85" i="24"/>
  <c r="H79" i="24"/>
  <c r="H78" i="24"/>
  <c r="H84" i="24"/>
  <c r="H77" i="24"/>
  <c r="H86" i="24"/>
  <c r="G42" i="24"/>
  <c r="G89" i="24"/>
  <c r="J22" i="24"/>
  <c r="I23" i="24"/>
  <c r="I113" i="24" s="1"/>
  <c r="I78" i="21"/>
  <c r="I77" i="21"/>
  <c r="F147" i="23"/>
  <c r="E146" i="30"/>
  <c r="E38" i="11" s="1"/>
  <c r="F147" i="24"/>
  <c r="F146" i="30"/>
  <c r="F38" i="11" s="1"/>
  <c r="F147" i="25"/>
  <c r="F147" i="26"/>
  <c r="F93" i="26"/>
  <c r="H113" i="23"/>
  <c r="H104" i="23" s="1"/>
  <c r="G46" i="23"/>
  <c r="G62" i="23" s="1"/>
  <c r="G21" i="11" s="1"/>
  <c r="F146" i="21"/>
  <c r="F32" i="11" s="1"/>
  <c r="H113" i="26"/>
  <c r="H104" i="26" s="1"/>
  <c r="F93" i="23"/>
  <c r="F23" i="11"/>
  <c r="F22" i="11"/>
  <c r="G137" i="26"/>
  <c r="G141" i="26" s="1"/>
  <c r="G89" i="26"/>
  <c r="J22" i="26"/>
  <c r="I23" i="26"/>
  <c r="H140" i="26"/>
  <c r="H99" i="26"/>
  <c r="H135" i="26" s="1"/>
  <c r="H77" i="26"/>
  <c r="H42" i="26" s="1"/>
  <c r="H86" i="26"/>
  <c r="H79" i="26"/>
  <c r="H44" i="26" s="1"/>
  <c r="H97" i="26"/>
  <c r="H133" i="26" s="1"/>
  <c r="H115" i="26"/>
  <c r="H116" i="26" s="1"/>
  <c r="H144" i="26" s="1"/>
  <c r="H29" i="26"/>
  <c r="H110" i="26"/>
  <c r="H78" i="26"/>
  <c r="H43" i="26" s="1"/>
  <c r="H108" i="26"/>
  <c r="H84" i="26"/>
  <c r="H98" i="26"/>
  <c r="H134" i="26" s="1"/>
  <c r="H85" i="26"/>
  <c r="G91" i="26"/>
  <c r="G90" i="26"/>
  <c r="H114" i="24"/>
  <c r="G93" i="23"/>
  <c r="G94" i="23" s="1"/>
  <c r="G95" i="23" s="1"/>
  <c r="G101" i="23" s="1"/>
  <c r="G117" i="23" s="1"/>
  <c r="G118" i="23" s="1"/>
  <c r="F140" i="22"/>
  <c r="F145" i="22" s="1"/>
  <c r="I77" i="25"/>
  <c r="E36" i="11"/>
  <c r="E35" i="11"/>
  <c r="E141" i="21"/>
  <c r="E146" i="21" s="1"/>
  <c r="E37" i="11"/>
  <c r="F36" i="11"/>
  <c r="F35" i="11"/>
  <c r="E34" i="11"/>
  <c r="F34" i="11"/>
  <c r="E145" i="22"/>
  <c r="D49" i="24"/>
  <c r="E49" i="24" s="1"/>
  <c r="F49" i="24" s="1"/>
  <c r="G49" i="24" s="1"/>
  <c r="H49" i="24" s="1"/>
  <c r="I49" i="24" s="1"/>
  <c r="J49" i="24" s="1"/>
  <c r="K49" i="24" s="1"/>
  <c r="L49" i="24" s="1"/>
  <c r="D49" i="25"/>
  <c r="E49" i="25" s="1"/>
  <c r="F49" i="25" s="1"/>
  <c r="G49" i="25" s="1"/>
  <c r="H49" i="25" s="1"/>
  <c r="I49" i="25" s="1"/>
  <c r="J49" i="25" s="1"/>
  <c r="K49" i="25" s="1"/>
  <c r="L49" i="25" s="1"/>
  <c r="D49" i="26"/>
  <c r="E49" i="26" s="1"/>
  <c r="F49" i="26" s="1"/>
  <c r="G49" i="26" s="1"/>
  <c r="H49" i="26" s="1"/>
  <c r="I49" i="26" s="1"/>
  <c r="J49" i="26" s="1"/>
  <c r="K49" i="26" s="1"/>
  <c r="L49" i="26" s="1"/>
  <c r="D49" i="30"/>
  <c r="E49" i="30" s="1"/>
  <c r="F49" i="30" s="1"/>
  <c r="G49" i="30" s="1"/>
  <c r="H49" i="30" s="1"/>
  <c r="I49" i="30" s="1"/>
  <c r="J49" i="30" s="1"/>
  <c r="K49" i="30" s="1"/>
  <c r="L49" i="30" s="1"/>
  <c r="D49" i="21"/>
  <c r="E49" i="21" s="1"/>
  <c r="F49" i="21" s="1"/>
  <c r="G49" i="21" s="1"/>
  <c r="H49" i="21" s="1"/>
  <c r="I49" i="21" s="1"/>
  <c r="J49" i="21" s="1"/>
  <c r="K49" i="21" s="1"/>
  <c r="L49" i="21" s="1"/>
  <c r="D49" i="23"/>
  <c r="E49" i="23" s="1"/>
  <c r="F49" i="23" s="1"/>
  <c r="G49" i="23" s="1"/>
  <c r="H49" i="23" s="1"/>
  <c r="I49" i="23" s="1"/>
  <c r="J49" i="23" s="1"/>
  <c r="K49" i="23" s="1"/>
  <c r="L49" i="23" s="1"/>
  <c r="I79" i="21"/>
  <c r="I77" i="23"/>
  <c r="I29" i="23"/>
  <c r="L77" i="37"/>
  <c r="K98" i="37"/>
  <c r="O77" i="37"/>
  <c r="N77" i="37"/>
  <c r="L29" i="37"/>
  <c r="N28" i="37"/>
  <c r="L94" i="37"/>
  <c r="M94" i="37"/>
  <c r="L30" i="37"/>
  <c r="K30" i="37"/>
  <c r="N30" i="37"/>
  <c r="M30" i="37"/>
  <c r="D27" i="36"/>
  <c r="M28" i="37"/>
  <c r="O28" i="37"/>
  <c r="L28" i="37"/>
  <c r="O74" i="37"/>
  <c r="N94" i="37"/>
  <c r="G136" i="22"/>
  <c r="G140" i="22" s="1"/>
  <c r="O95" i="37"/>
  <c r="N29" i="37"/>
  <c r="N74" i="37"/>
  <c r="O29" i="37"/>
  <c r="K29" i="37"/>
  <c r="M74" i="37"/>
  <c r="L74" i="37"/>
  <c r="M29" i="37"/>
  <c r="K85" i="37"/>
  <c r="G137" i="23"/>
  <c r="G141" i="23" s="1"/>
  <c r="G146" i="23" s="1"/>
  <c r="G137" i="25"/>
  <c r="G141" i="25" s="1"/>
  <c r="G146" i="25" s="1"/>
  <c r="N56" i="37"/>
  <c r="K56" i="37"/>
  <c r="O56" i="37"/>
  <c r="M56" i="37"/>
  <c r="L56" i="37"/>
  <c r="D11" i="37"/>
  <c r="L7" i="37"/>
  <c r="M7" i="37"/>
  <c r="N7" i="37"/>
  <c r="O7" i="37"/>
  <c r="K7" i="37"/>
  <c r="K6" i="37"/>
  <c r="D10" i="37"/>
  <c r="O6" i="37"/>
  <c r="M6" i="37"/>
  <c r="L6" i="37"/>
  <c r="N6" i="37"/>
  <c r="L8" i="37"/>
  <c r="D12" i="37"/>
  <c r="N8" i="37"/>
  <c r="M8" i="37"/>
  <c r="O8" i="37"/>
  <c r="K8" i="37"/>
  <c r="S70" i="21"/>
  <c r="X70" i="21"/>
  <c r="U69" i="21"/>
  <c r="O55" i="37"/>
  <c r="K55" i="37"/>
  <c r="N55" i="37"/>
  <c r="M55" i="37"/>
  <c r="L55" i="37"/>
  <c r="F92" i="22"/>
  <c r="H112" i="22"/>
  <c r="H113" i="22" s="1"/>
  <c r="F20" i="11"/>
  <c r="L75" i="37"/>
  <c r="G114" i="26"/>
  <c r="O75" i="37"/>
  <c r="F93" i="30"/>
  <c r="N75" i="37"/>
  <c r="G46" i="25"/>
  <c r="G62" i="25" s="1"/>
  <c r="K86" i="37"/>
  <c r="M75" i="37"/>
  <c r="G91" i="21"/>
  <c r="G91" i="30"/>
  <c r="I110" i="25"/>
  <c r="I86" i="25"/>
  <c r="I29" i="25"/>
  <c r="I78" i="25"/>
  <c r="I113" i="25"/>
  <c r="I104" i="25" s="1"/>
  <c r="I84" i="25"/>
  <c r="I85" i="25"/>
  <c r="I79" i="25"/>
  <c r="H90" i="22"/>
  <c r="H90" i="25"/>
  <c r="F21" i="11"/>
  <c r="G93" i="25"/>
  <c r="G94" i="25" s="1"/>
  <c r="G95" i="25" s="1"/>
  <c r="G101" i="25" s="1"/>
  <c r="G117" i="25" s="1"/>
  <c r="G118" i="25" s="1"/>
  <c r="Q21" i="22"/>
  <c r="P21" i="26"/>
  <c r="G89" i="21"/>
  <c r="R21" i="25"/>
  <c r="G46" i="22"/>
  <c r="G62" i="22" s="1"/>
  <c r="O21" i="24"/>
  <c r="H89" i="25"/>
  <c r="H137" i="25"/>
  <c r="H141" i="25" s="1"/>
  <c r="H146" i="25" s="1"/>
  <c r="G137" i="30"/>
  <c r="G141" i="30" s="1"/>
  <c r="H91" i="23"/>
  <c r="H137" i="23"/>
  <c r="H141" i="23" s="1"/>
  <c r="H146" i="23" s="1"/>
  <c r="H89" i="23"/>
  <c r="G90" i="30"/>
  <c r="Q21" i="30"/>
  <c r="K22" i="22"/>
  <c r="K23" i="22" s="1"/>
  <c r="P21" i="21"/>
  <c r="F93" i="21"/>
  <c r="J22" i="21"/>
  <c r="J23" i="21" s="1"/>
  <c r="I74" i="21"/>
  <c r="I106" i="21" s="1"/>
  <c r="P21" i="23"/>
  <c r="J22" i="30"/>
  <c r="J23" i="30" s="1"/>
  <c r="I74" i="30"/>
  <c r="G92" i="22"/>
  <c r="G93" i="22" s="1"/>
  <c r="G94" i="22" s="1"/>
  <c r="G100" i="22" s="1"/>
  <c r="G116" i="22" s="1"/>
  <c r="G117" i="22" s="1"/>
  <c r="H89" i="22"/>
  <c r="H88" i="22"/>
  <c r="K22" i="23"/>
  <c r="K23" i="23" s="1"/>
  <c r="G90" i="21"/>
  <c r="G137" i="21"/>
  <c r="G141" i="21" s="1"/>
  <c r="G89" i="30"/>
  <c r="H90" i="23"/>
  <c r="I83" i="22"/>
  <c r="I109" i="22"/>
  <c r="I77" i="22"/>
  <c r="I107" i="22"/>
  <c r="I76" i="22"/>
  <c r="I42" i="22" s="1"/>
  <c r="I85" i="22"/>
  <c r="I29" i="22"/>
  <c r="I78" i="22"/>
  <c r="I84" i="22"/>
  <c r="F46" i="21"/>
  <c r="F62" i="21" s="1"/>
  <c r="F46" i="30"/>
  <c r="F62" i="30" s="1"/>
  <c r="H29" i="21"/>
  <c r="H98" i="21"/>
  <c r="H134" i="21" s="1"/>
  <c r="H97" i="21"/>
  <c r="H133" i="21" s="1"/>
  <c r="H108" i="21"/>
  <c r="H99" i="21"/>
  <c r="H135" i="21" s="1"/>
  <c r="H115" i="21"/>
  <c r="H116" i="21" s="1"/>
  <c r="H144" i="21" s="1"/>
  <c r="H113" i="21"/>
  <c r="H104" i="21" s="1"/>
  <c r="H110" i="21"/>
  <c r="H78" i="21"/>
  <c r="H43" i="21" s="1"/>
  <c r="H79" i="21"/>
  <c r="H44" i="21" s="1"/>
  <c r="H86" i="21"/>
  <c r="H84" i="21"/>
  <c r="H77" i="21"/>
  <c r="H42" i="21" s="1"/>
  <c r="H85" i="21"/>
  <c r="K22" i="25"/>
  <c r="H97" i="30"/>
  <c r="H133" i="30" s="1"/>
  <c r="H99" i="30"/>
  <c r="H135" i="30" s="1"/>
  <c r="H108" i="30"/>
  <c r="H98" i="30"/>
  <c r="H134" i="30" s="1"/>
  <c r="H110" i="30"/>
  <c r="H115" i="30"/>
  <c r="H116" i="30" s="1"/>
  <c r="H144" i="30" s="1"/>
  <c r="H29" i="30"/>
  <c r="H113" i="30"/>
  <c r="H85" i="30"/>
  <c r="H77" i="30"/>
  <c r="H42" i="30" s="1"/>
  <c r="H78" i="30"/>
  <c r="H43" i="30" s="1"/>
  <c r="H79" i="30"/>
  <c r="H44" i="30" s="1"/>
  <c r="H86" i="30"/>
  <c r="H84" i="30"/>
  <c r="H131" i="22"/>
  <c r="H132" i="22"/>
  <c r="H136" i="22" s="1"/>
  <c r="H91" i="25"/>
  <c r="H114" i="25"/>
  <c r="I86" i="23"/>
  <c r="I85" i="23"/>
  <c r="I108" i="23"/>
  <c r="I79" i="23"/>
  <c r="I110" i="23"/>
  <c r="I78" i="23"/>
  <c r="I84" i="23"/>
  <c r="L49" i="22"/>
  <c r="K21" i="37" l="1"/>
  <c r="M21" i="37"/>
  <c r="M93" i="37"/>
  <c r="O21" i="37"/>
  <c r="L21" i="37"/>
  <c r="L72" i="37" s="1"/>
  <c r="K93" i="37"/>
  <c r="N93" i="37"/>
  <c r="N20" i="37"/>
  <c r="N72" i="37" s="1"/>
  <c r="M20" i="37"/>
  <c r="O20" i="37"/>
  <c r="K20" i="37"/>
  <c r="O84" i="37"/>
  <c r="K23" i="25"/>
  <c r="K108" i="25" s="1"/>
  <c r="K74" i="25"/>
  <c r="H116" i="24"/>
  <c r="H144" i="24" s="1"/>
  <c r="H104" i="24"/>
  <c r="H137" i="24"/>
  <c r="H141" i="24" s="1"/>
  <c r="H146" i="24" s="1"/>
  <c r="H35" i="11" s="1"/>
  <c r="G46" i="24"/>
  <c r="G62" i="24" s="1"/>
  <c r="G147" i="24" s="1"/>
  <c r="H43" i="24"/>
  <c r="H90" i="24"/>
  <c r="I29" i="24"/>
  <c r="I108" i="24"/>
  <c r="I110" i="24"/>
  <c r="I86" i="24"/>
  <c r="I77" i="24"/>
  <c r="I78" i="24"/>
  <c r="I84" i="24"/>
  <c r="I85" i="24"/>
  <c r="I79" i="24"/>
  <c r="H44" i="24"/>
  <c r="H91" i="24"/>
  <c r="K22" i="24"/>
  <c r="J23" i="24"/>
  <c r="H42" i="24"/>
  <c r="H89" i="24"/>
  <c r="G93" i="24"/>
  <c r="G94" i="24" s="1"/>
  <c r="G95" i="24" s="1"/>
  <c r="G101" i="24" s="1"/>
  <c r="G117" i="24" s="1"/>
  <c r="G118" i="24" s="1"/>
  <c r="K84" i="37"/>
  <c r="G147" i="23"/>
  <c r="F147" i="30"/>
  <c r="G147" i="25"/>
  <c r="G146" i="26"/>
  <c r="G146" i="30"/>
  <c r="I113" i="23"/>
  <c r="I114" i="23" s="1"/>
  <c r="I115" i="23" s="1"/>
  <c r="H114" i="23"/>
  <c r="H114" i="26"/>
  <c r="I114" i="24"/>
  <c r="I115" i="24" s="1"/>
  <c r="I104" i="24" s="1"/>
  <c r="I112" i="24" s="1"/>
  <c r="H137" i="26"/>
  <c r="H141" i="26" s="1"/>
  <c r="H146" i="26" s="1"/>
  <c r="F25" i="11"/>
  <c r="F147" i="21"/>
  <c r="G93" i="26"/>
  <c r="G94" i="26" s="1"/>
  <c r="G95" i="26" s="1"/>
  <c r="G101" i="26" s="1"/>
  <c r="G117" i="26" s="1"/>
  <c r="G118" i="26" s="1"/>
  <c r="H91" i="26"/>
  <c r="I85" i="26"/>
  <c r="I108" i="26"/>
  <c r="I110" i="26"/>
  <c r="I84" i="26"/>
  <c r="I77" i="26"/>
  <c r="I78" i="26"/>
  <c r="I79" i="26"/>
  <c r="I86" i="26"/>
  <c r="I29" i="26"/>
  <c r="G46" i="26"/>
  <c r="G62" i="26" s="1"/>
  <c r="G24" i="11" s="1"/>
  <c r="H90" i="26"/>
  <c r="H89" i="26"/>
  <c r="K22" i="26"/>
  <c r="J23" i="26"/>
  <c r="I113" i="26"/>
  <c r="I114" i="26" s="1"/>
  <c r="I115" i="26" s="1"/>
  <c r="F33" i="11"/>
  <c r="F146" i="22"/>
  <c r="J29" i="23"/>
  <c r="H140" i="22"/>
  <c r="H145" i="22" s="1"/>
  <c r="H33" i="11" s="1"/>
  <c r="I80" i="25"/>
  <c r="F37" i="11"/>
  <c r="E32" i="11"/>
  <c r="G36" i="11"/>
  <c r="G34" i="11"/>
  <c r="G145" i="22"/>
  <c r="G146" i="22" s="1"/>
  <c r="E33" i="11"/>
  <c r="I80" i="23"/>
  <c r="N84" i="37"/>
  <c r="L84" i="37"/>
  <c r="L73" i="37"/>
  <c r="M73" i="37"/>
  <c r="N73" i="37"/>
  <c r="O73" i="37"/>
  <c r="M84" i="37"/>
  <c r="K73" i="37"/>
  <c r="M87" i="37"/>
  <c r="M76" i="37"/>
  <c r="L12" i="37"/>
  <c r="K12" i="37"/>
  <c r="M12" i="37"/>
  <c r="O12" i="37"/>
  <c r="N12" i="37"/>
  <c r="K92" i="37"/>
  <c r="L92" i="37"/>
  <c r="L99" i="37" s="1"/>
  <c r="O87" i="37"/>
  <c r="O76" i="37"/>
  <c r="O92" i="37"/>
  <c r="O99" i="37" s="1"/>
  <c r="K11" i="37"/>
  <c r="N11" i="37"/>
  <c r="M11" i="37"/>
  <c r="O11" i="37"/>
  <c r="L11" i="37"/>
  <c r="K87" i="37"/>
  <c r="K76" i="37"/>
  <c r="M92" i="37"/>
  <c r="O10" i="37"/>
  <c r="L10" i="37"/>
  <c r="K10" i="37"/>
  <c r="N10" i="37"/>
  <c r="M10" i="37"/>
  <c r="N92" i="37"/>
  <c r="L76" i="37"/>
  <c r="L87" i="37"/>
  <c r="N87" i="37"/>
  <c r="N76" i="37"/>
  <c r="F24" i="11"/>
  <c r="H103" i="22"/>
  <c r="I112" i="22"/>
  <c r="I113" i="22" s="1"/>
  <c r="I114" i="22" s="1"/>
  <c r="G46" i="30"/>
  <c r="G62" i="30" s="1"/>
  <c r="G25" i="11" s="1"/>
  <c r="H93" i="23"/>
  <c r="H94" i="23" s="1"/>
  <c r="H95" i="23" s="1"/>
  <c r="H101" i="23" s="1"/>
  <c r="H117" i="23" s="1"/>
  <c r="G93" i="30"/>
  <c r="G94" i="30" s="1"/>
  <c r="G95" i="30" s="1"/>
  <c r="G101" i="30" s="1"/>
  <c r="G117" i="30" s="1"/>
  <c r="G118" i="30" s="1"/>
  <c r="H46" i="22"/>
  <c r="H62" i="22" s="1"/>
  <c r="I84" i="21"/>
  <c r="I113" i="21"/>
  <c r="I88" i="22"/>
  <c r="I79" i="22"/>
  <c r="H34" i="11"/>
  <c r="H89" i="30"/>
  <c r="L22" i="25"/>
  <c r="I43" i="23"/>
  <c r="I90" i="23"/>
  <c r="J86" i="25"/>
  <c r="J110" i="25"/>
  <c r="J29" i="25"/>
  <c r="J113" i="25"/>
  <c r="J104" i="25" s="1"/>
  <c r="J84" i="25"/>
  <c r="J85" i="25"/>
  <c r="H114" i="21"/>
  <c r="H137" i="21"/>
  <c r="H141" i="21" s="1"/>
  <c r="F19" i="11"/>
  <c r="L22" i="23"/>
  <c r="L23" i="23" s="1"/>
  <c r="Q21" i="23"/>
  <c r="K22" i="21"/>
  <c r="K23" i="21" s="1"/>
  <c r="J74" i="21"/>
  <c r="J106" i="21" s="1"/>
  <c r="H46" i="23"/>
  <c r="H62" i="23" s="1"/>
  <c r="H147" i="23" s="1"/>
  <c r="P21" i="24"/>
  <c r="S21" i="25"/>
  <c r="I114" i="25"/>
  <c r="I115" i="25" s="1"/>
  <c r="H114" i="30"/>
  <c r="H91" i="21"/>
  <c r="Q21" i="21"/>
  <c r="H36" i="11"/>
  <c r="I90" i="25"/>
  <c r="I43" i="25"/>
  <c r="H90" i="30"/>
  <c r="H137" i="30"/>
  <c r="H141" i="30" s="1"/>
  <c r="H89" i="21"/>
  <c r="H90" i="21"/>
  <c r="H92" i="22"/>
  <c r="H93" i="22" s="1"/>
  <c r="H94" i="22" s="1"/>
  <c r="H100" i="22" s="1"/>
  <c r="H116" i="22" s="1"/>
  <c r="H117" i="22" s="1"/>
  <c r="O143" i="37" s="1"/>
  <c r="J74" i="30"/>
  <c r="K22" i="30"/>
  <c r="K23" i="30" s="1"/>
  <c r="I108" i="21"/>
  <c r="I29" i="21"/>
  <c r="I110" i="21"/>
  <c r="I86" i="21"/>
  <c r="I85" i="21"/>
  <c r="I87" i="21" s="1"/>
  <c r="J29" i="22"/>
  <c r="J107" i="22"/>
  <c r="J83" i="22"/>
  <c r="J109" i="22"/>
  <c r="J85" i="22"/>
  <c r="J84" i="22"/>
  <c r="H93" i="25"/>
  <c r="H94" i="25" s="1"/>
  <c r="H95" i="25" s="1"/>
  <c r="H101" i="25" s="1"/>
  <c r="H117" i="25" s="1"/>
  <c r="H118" i="25" s="1"/>
  <c r="O170" i="37" s="1"/>
  <c r="G93" i="21"/>
  <c r="G94" i="21" s="1"/>
  <c r="G95" i="21" s="1"/>
  <c r="G101" i="21" s="1"/>
  <c r="G117" i="21" s="1"/>
  <c r="G118" i="21" s="1"/>
  <c r="I44" i="25"/>
  <c r="I91" i="25"/>
  <c r="I44" i="23"/>
  <c r="I91" i="23"/>
  <c r="H91" i="30"/>
  <c r="I42" i="23"/>
  <c r="I89" i="23"/>
  <c r="I44" i="22"/>
  <c r="I90" i="22"/>
  <c r="I43" i="22"/>
  <c r="I89" i="22"/>
  <c r="J85" i="23"/>
  <c r="J110" i="23"/>
  <c r="J86" i="23"/>
  <c r="J108" i="23"/>
  <c r="J84" i="23"/>
  <c r="I86" i="30"/>
  <c r="I85" i="30"/>
  <c r="I110" i="30"/>
  <c r="I84" i="30"/>
  <c r="I79" i="30"/>
  <c r="I113" i="30"/>
  <c r="I108" i="30"/>
  <c r="I77" i="30"/>
  <c r="I29" i="30"/>
  <c r="I78" i="30"/>
  <c r="L22" i="22"/>
  <c r="L23" i="22" s="1"/>
  <c r="R21" i="30"/>
  <c r="H46" i="25"/>
  <c r="H62" i="25" s="1"/>
  <c r="H147" i="25" s="1"/>
  <c r="G20" i="11"/>
  <c r="G46" i="21"/>
  <c r="G62" i="21" s="1"/>
  <c r="Q21" i="26"/>
  <c r="R21" i="22"/>
  <c r="I89" i="25"/>
  <c r="I42" i="25"/>
  <c r="M49" i="26"/>
  <c r="M49" i="22"/>
  <c r="M49" i="30"/>
  <c r="M49" i="21"/>
  <c r="M49" i="25"/>
  <c r="M49" i="23"/>
  <c r="M49" i="24"/>
  <c r="K83" i="37" l="1"/>
  <c r="M72" i="37"/>
  <c r="M99" i="37"/>
  <c r="L83" i="37"/>
  <c r="O83" i="37"/>
  <c r="N99" i="37"/>
  <c r="K99" i="37"/>
  <c r="N83" i="37"/>
  <c r="M83" i="37"/>
  <c r="K72" i="37"/>
  <c r="O72" i="37"/>
  <c r="L23" i="25"/>
  <c r="L108" i="25" s="1"/>
  <c r="L74" i="25"/>
  <c r="I81" i="24"/>
  <c r="I45" i="24" s="1"/>
  <c r="G22" i="11"/>
  <c r="H46" i="24"/>
  <c r="H62" i="24" s="1"/>
  <c r="H147" i="24" s="1"/>
  <c r="I43" i="24"/>
  <c r="I90" i="24"/>
  <c r="J108" i="24"/>
  <c r="J110" i="24"/>
  <c r="J85" i="24"/>
  <c r="J86" i="24"/>
  <c r="J84" i="24"/>
  <c r="J29" i="24"/>
  <c r="I44" i="24"/>
  <c r="I91" i="24"/>
  <c r="I42" i="24"/>
  <c r="I89" i="24"/>
  <c r="I80" i="24"/>
  <c r="L22" i="24"/>
  <c r="K23" i="24"/>
  <c r="J113" i="24"/>
  <c r="J114" i="24" s="1"/>
  <c r="J115" i="24" s="1"/>
  <c r="H93" i="24"/>
  <c r="H94" i="24" s="1"/>
  <c r="H95" i="24" s="1"/>
  <c r="H101" i="24" s="1"/>
  <c r="H117" i="24" s="1"/>
  <c r="H118" i="24" s="1"/>
  <c r="O161" i="37" s="1"/>
  <c r="O156" i="37" s="1"/>
  <c r="I104" i="23"/>
  <c r="I112" i="23" s="1"/>
  <c r="P31" i="37" s="1"/>
  <c r="J113" i="23"/>
  <c r="J114" i="23" s="1"/>
  <c r="J115" i="23" s="1"/>
  <c r="G147" i="26"/>
  <c r="G37" i="11"/>
  <c r="G147" i="30"/>
  <c r="H146" i="30"/>
  <c r="H38" i="11" s="1"/>
  <c r="G38" i="11"/>
  <c r="I140" i="26"/>
  <c r="I116" i="26"/>
  <c r="I144" i="26" s="1"/>
  <c r="I140" i="25"/>
  <c r="I116" i="25"/>
  <c r="I144" i="25" s="1"/>
  <c r="I140" i="24"/>
  <c r="I116" i="24"/>
  <c r="I144" i="24" s="1"/>
  <c r="I140" i="23"/>
  <c r="I116" i="23"/>
  <c r="I144" i="23" s="1"/>
  <c r="I139" i="22"/>
  <c r="I115" i="22"/>
  <c r="I143" i="22" s="1"/>
  <c r="H118" i="23"/>
  <c r="O152" i="37" s="1"/>
  <c r="O146" i="37" s="1"/>
  <c r="G146" i="21"/>
  <c r="G32" i="11" s="1"/>
  <c r="J113" i="26"/>
  <c r="J114" i="26" s="1"/>
  <c r="J115" i="26" s="1"/>
  <c r="I104" i="26"/>
  <c r="I112" i="26" s="1"/>
  <c r="I81" i="26" s="1"/>
  <c r="H93" i="26"/>
  <c r="H94" i="26" s="1"/>
  <c r="H95" i="26" s="1"/>
  <c r="H101" i="26" s="1"/>
  <c r="H117" i="26" s="1"/>
  <c r="H118" i="26" s="1"/>
  <c r="O179" i="37" s="1"/>
  <c r="O174" i="37" s="1"/>
  <c r="H46" i="26"/>
  <c r="H62" i="26" s="1"/>
  <c r="H24" i="11" s="1"/>
  <c r="I43" i="26"/>
  <c r="I90" i="26"/>
  <c r="F27" i="11"/>
  <c r="I42" i="26"/>
  <c r="I89" i="26"/>
  <c r="I80" i="26"/>
  <c r="J108" i="26"/>
  <c r="J110" i="26"/>
  <c r="J85" i="26"/>
  <c r="J84" i="26"/>
  <c r="J86" i="26"/>
  <c r="J29" i="26"/>
  <c r="K23" i="26"/>
  <c r="L22" i="26"/>
  <c r="I44" i="26"/>
  <c r="I91" i="26"/>
  <c r="F40" i="11"/>
  <c r="H146" i="22"/>
  <c r="K29" i="23"/>
  <c r="E40" i="11"/>
  <c r="G33" i="11"/>
  <c r="H37" i="11"/>
  <c r="I112" i="25"/>
  <c r="I81" i="25" s="1"/>
  <c r="P41" i="37" s="1"/>
  <c r="I80" i="21"/>
  <c r="I114" i="21"/>
  <c r="I115" i="21" s="1"/>
  <c r="I116" i="21" s="1"/>
  <c r="I144" i="21" s="1"/>
  <c r="I104" i="21"/>
  <c r="M71" i="37"/>
  <c r="K82" i="37"/>
  <c r="N71" i="37"/>
  <c r="N78" i="37" s="1"/>
  <c r="L82" i="37"/>
  <c r="O82" i="37"/>
  <c r="M82" i="37"/>
  <c r="O71" i="37"/>
  <c r="L71" i="37"/>
  <c r="L78" i="37" s="1"/>
  <c r="N82" i="37"/>
  <c r="K71" i="37"/>
  <c r="G23" i="11"/>
  <c r="I103" i="22"/>
  <c r="J112" i="22"/>
  <c r="K112" i="22" s="1"/>
  <c r="H20" i="11"/>
  <c r="I93" i="23"/>
  <c r="I94" i="23" s="1"/>
  <c r="I96" i="23" s="1"/>
  <c r="O165" i="37"/>
  <c r="O164" i="37"/>
  <c r="O163" i="37"/>
  <c r="O168" i="37"/>
  <c r="O169" i="37"/>
  <c r="O167" i="37"/>
  <c r="I93" i="25"/>
  <c r="I94" i="25" s="1"/>
  <c r="I95" i="25" s="1"/>
  <c r="O138" i="37"/>
  <c r="O137" i="37"/>
  <c r="O136" i="37"/>
  <c r="O141" i="37"/>
  <c r="O140" i="37"/>
  <c r="O142" i="37"/>
  <c r="I89" i="21"/>
  <c r="H23" i="11"/>
  <c r="M22" i="22"/>
  <c r="M23" i="22" s="1"/>
  <c r="I42" i="21"/>
  <c r="S21" i="22"/>
  <c r="S21" i="30"/>
  <c r="I91" i="30"/>
  <c r="I44" i="30"/>
  <c r="I43" i="21"/>
  <c r="I90" i="21"/>
  <c r="H93" i="21"/>
  <c r="H94" i="21" s="1"/>
  <c r="H95" i="21" s="1"/>
  <c r="H101" i="21" s="1"/>
  <c r="H117" i="21" s="1"/>
  <c r="H118" i="21" s="1"/>
  <c r="J110" i="21"/>
  <c r="J29" i="21"/>
  <c r="J108" i="21"/>
  <c r="J113" i="21"/>
  <c r="J104" i="21" s="1"/>
  <c r="J86" i="21"/>
  <c r="J85" i="21"/>
  <c r="J84" i="21"/>
  <c r="M22" i="23"/>
  <c r="M23" i="23" s="1"/>
  <c r="H46" i="30"/>
  <c r="H62" i="30" s="1"/>
  <c r="H25" i="11" s="1"/>
  <c r="T21" i="25"/>
  <c r="J114" i="25"/>
  <c r="J115" i="25" s="1"/>
  <c r="K110" i="25"/>
  <c r="K85" i="25"/>
  <c r="K29" i="25"/>
  <c r="K84" i="25"/>
  <c r="K113" i="25"/>
  <c r="K104" i="25" s="1"/>
  <c r="K86" i="25"/>
  <c r="K83" i="22"/>
  <c r="K109" i="22"/>
  <c r="K107" i="22"/>
  <c r="K29" i="22"/>
  <c r="K84" i="22"/>
  <c r="K85" i="22"/>
  <c r="L22" i="30"/>
  <c r="L23" i="30" s="1"/>
  <c r="K74" i="30"/>
  <c r="R21" i="21"/>
  <c r="Q21" i="24"/>
  <c r="K74" i="21"/>
  <c r="K106" i="21" s="1"/>
  <c r="L22" i="21"/>
  <c r="L23" i="21" s="1"/>
  <c r="R21" i="23"/>
  <c r="M22" i="25"/>
  <c r="I92" i="22"/>
  <c r="I93" i="22" s="1"/>
  <c r="I90" i="30"/>
  <c r="I43" i="30"/>
  <c r="J110" i="30"/>
  <c r="J86" i="30"/>
  <c r="J85" i="30"/>
  <c r="J29" i="30"/>
  <c r="J108" i="30"/>
  <c r="J113" i="30"/>
  <c r="J84" i="30"/>
  <c r="R21" i="26"/>
  <c r="I80" i="30"/>
  <c r="I42" i="30"/>
  <c r="I89" i="30"/>
  <c r="I114" i="30"/>
  <c r="I115" i="30" s="1"/>
  <c r="I81" i="30"/>
  <c r="I91" i="21"/>
  <c r="I44" i="21"/>
  <c r="H46" i="21"/>
  <c r="H62" i="21" s="1"/>
  <c r="K110" i="23"/>
  <c r="K108" i="23"/>
  <c r="K84" i="23"/>
  <c r="K85" i="23"/>
  <c r="K86" i="23"/>
  <c r="H93" i="30"/>
  <c r="H94" i="30" s="1"/>
  <c r="H95" i="30" s="1"/>
  <c r="H101" i="30" s="1"/>
  <c r="H117" i="30" s="1"/>
  <c r="H118" i="30" s="1"/>
  <c r="N49" i="24"/>
  <c r="N49" i="23"/>
  <c r="N49" i="21"/>
  <c r="N49" i="26"/>
  <c r="N49" i="22"/>
  <c r="N49" i="25"/>
  <c r="N49" i="30"/>
  <c r="K89" i="37" l="1"/>
  <c r="K79" i="37" s="1"/>
  <c r="M78" i="37"/>
  <c r="L89" i="37"/>
  <c r="L79" i="37" s="1"/>
  <c r="O89" i="37"/>
  <c r="O79" i="37" s="1"/>
  <c r="N89" i="37"/>
  <c r="N79" i="37" s="1"/>
  <c r="M89" i="37"/>
  <c r="M79" i="37" s="1"/>
  <c r="K78" i="37"/>
  <c r="O78" i="37"/>
  <c r="M23" i="25"/>
  <c r="M108" i="25" s="1"/>
  <c r="M74" i="25"/>
  <c r="P32" i="37"/>
  <c r="P34" i="37" s="1"/>
  <c r="P36" i="37"/>
  <c r="P37" i="37" s="1"/>
  <c r="J140" i="24"/>
  <c r="J104" i="24"/>
  <c r="J112" i="24" s="1"/>
  <c r="J81" i="24" s="1"/>
  <c r="J45" i="24" s="1"/>
  <c r="H22" i="11"/>
  <c r="J116" i="24"/>
  <c r="J144" i="24" s="1"/>
  <c r="O158" i="37"/>
  <c r="K113" i="24"/>
  <c r="K114" i="24" s="1"/>
  <c r="K115" i="24" s="1"/>
  <c r="O154" i="37"/>
  <c r="I46" i="24"/>
  <c r="M22" i="24"/>
  <c r="L23" i="24"/>
  <c r="L113" i="24" s="1"/>
  <c r="O155" i="37"/>
  <c r="O159" i="37"/>
  <c r="O160" i="37"/>
  <c r="K29" i="24"/>
  <c r="K84" i="24"/>
  <c r="K110" i="24"/>
  <c r="K86" i="24"/>
  <c r="K108" i="24"/>
  <c r="K85" i="24"/>
  <c r="I93" i="24"/>
  <c r="I94" i="24" s="1"/>
  <c r="J104" i="26"/>
  <c r="J112" i="26" s="1"/>
  <c r="J81" i="26" s="1"/>
  <c r="J104" i="23"/>
  <c r="J112" i="23" s="1"/>
  <c r="K113" i="23"/>
  <c r="K104" i="23" s="1"/>
  <c r="F42" i="11"/>
  <c r="H147" i="30"/>
  <c r="H147" i="26"/>
  <c r="I140" i="30"/>
  <c r="I116" i="30"/>
  <c r="I144" i="30" s="1"/>
  <c r="J140" i="26"/>
  <c r="J116" i="26"/>
  <c r="J144" i="26" s="1"/>
  <c r="J140" i="25"/>
  <c r="J116" i="25"/>
  <c r="J144" i="25" s="1"/>
  <c r="J140" i="23"/>
  <c r="J116" i="23"/>
  <c r="J144" i="23" s="1"/>
  <c r="O151" i="37"/>
  <c r="O150" i="37"/>
  <c r="O147" i="37"/>
  <c r="O145" i="37"/>
  <c r="O149" i="37"/>
  <c r="G40" i="11"/>
  <c r="K113" i="26"/>
  <c r="K114" i="26" s="1"/>
  <c r="K115" i="26" s="1"/>
  <c r="O177" i="37"/>
  <c r="O173" i="37"/>
  <c r="G147" i="21"/>
  <c r="I140" i="21"/>
  <c r="O134" i="37"/>
  <c r="O189" i="37" s="1"/>
  <c r="H146" i="21"/>
  <c r="H32" i="11" s="1"/>
  <c r="H40" i="11" s="1"/>
  <c r="O178" i="37"/>
  <c r="O172" i="37"/>
  <c r="O176" i="37"/>
  <c r="P50" i="37"/>
  <c r="P51" i="37" s="1"/>
  <c r="I93" i="26"/>
  <c r="I94" i="26" s="1"/>
  <c r="L23" i="26"/>
  <c r="M22" i="26"/>
  <c r="K29" i="26"/>
  <c r="K84" i="26"/>
  <c r="K108" i="26"/>
  <c r="K86" i="26"/>
  <c r="K110" i="26"/>
  <c r="K85" i="26"/>
  <c r="L29" i="23"/>
  <c r="I81" i="23"/>
  <c r="P23" i="37" s="1"/>
  <c r="P25" i="37" s="1"/>
  <c r="I112" i="21"/>
  <c r="I81" i="21" s="1"/>
  <c r="P5" i="37" s="1"/>
  <c r="P45" i="37"/>
  <c r="P49" i="37" s="1"/>
  <c r="P54" i="37"/>
  <c r="J112" i="25"/>
  <c r="I111" i="22"/>
  <c r="H21" i="11"/>
  <c r="G19" i="11"/>
  <c r="J113" i="22"/>
  <c r="J114" i="22" s="1"/>
  <c r="J103" i="22"/>
  <c r="I95" i="23"/>
  <c r="I97" i="23" s="1"/>
  <c r="I133" i="23" s="1"/>
  <c r="O166" i="37"/>
  <c r="I93" i="30"/>
  <c r="I94" i="30" s="1"/>
  <c r="I96" i="30" s="1"/>
  <c r="I96" i="25"/>
  <c r="J79" i="25" s="1"/>
  <c r="P44" i="37"/>
  <c r="P43" i="37"/>
  <c r="P42" i="37"/>
  <c r="O162" i="37"/>
  <c r="O135" i="37"/>
  <c r="O139" i="37"/>
  <c r="S21" i="26"/>
  <c r="L110" i="25"/>
  <c r="L29" i="25"/>
  <c r="L113" i="25"/>
  <c r="L104" i="25" s="1"/>
  <c r="L86" i="25"/>
  <c r="L85" i="25"/>
  <c r="L84" i="25"/>
  <c r="N22" i="23"/>
  <c r="N23" i="23" s="1"/>
  <c r="I45" i="25"/>
  <c r="I46" i="25" s="1"/>
  <c r="N22" i="25"/>
  <c r="R21" i="24"/>
  <c r="K103" i="22"/>
  <c r="K113" i="22"/>
  <c r="K114" i="22" s="1"/>
  <c r="U21" i="25"/>
  <c r="L110" i="23"/>
  <c r="L108" i="23"/>
  <c r="L85" i="23"/>
  <c r="L84" i="23"/>
  <c r="L86" i="23"/>
  <c r="I45" i="26"/>
  <c r="I46" i="26" s="1"/>
  <c r="T21" i="22"/>
  <c r="J81" i="30"/>
  <c r="J114" i="30"/>
  <c r="J115" i="30" s="1"/>
  <c r="K29" i="21"/>
  <c r="K108" i="21"/>
  <c r="K110" i="21"/>
  <c r="K113" i="21"/>
  <c r="K104" i="21" s="1"/>
  <c r="K86" i="21"/>
  <c r="K85" i="21"/>
  <c r="K84" i="21"/>
  <c r="I99" i="25"/>
  <c r="I135" i="25" s="1"/>
  <c r="I98" i="25"/>
  <c r="I134" i="25" s="1"/>
  <c r="I97" i="25"/>
  <c r="I133" i="25" s="1"/>
  <c r="I101" i="25"/>
  <c r="I117" i="25" s="1"/>
  <c r="I52" i="25" s="1"/>
  <c r="I102" i="23"/>
  <c r="J77" i="23"/>
  <c r="J79" i="23"/>
  <c r="J78" i="23"/>
  <c r="I94" i="22"/>
  <c r="I95" i="22"/>
  <c r="S21" i="23"/>
  <c r="K110" i="30"/>
  <c r="K108" i="30"/>
  <c r="K29" i="30"/>
  <c r="K113" i="30"/>
  <c r="K86" i="30"/>
  <c r="K85" i="30"/>
  <c r="K84" i="30"/>
  <c r="T21" i="30"/>
  <c r="L109" i="22"/>
  <c r="L84" i="22"/>
  <c r="L107" i="22"/>
  <c r="L29" i="22"/>
  <c r="L85" i="22"/>
  <c r="L112" i="22"/>
  <c r="L83" i="22"/>
  <c r="L74" i="21"/>
  <c r="L106" i="21" s="1"/>
  <c r="M22" i="21"/>
  <c r="M23" i="21" s="1"/>
  <c r="S21" i="21"/>
  <c r="L74" i="30"/>
  <c r="M22" i="30"/>
  <c r="M23" i="30" s="1"/>
  <c r="K114" i="25"/>
  <c r="K115" i="25" s="1"/>
  <c r="J114" i="21"/>
  <c r="J115" i="21" s="1"/>
  <c r="J116" i="21" s="1"/>
  <c r="J144" i="21" s="1"/>
  <c r="I93" i="21"/>
  <c r="I94" i="21" s="1"/>
  <c r="N22" i="22"/>
  <c r="N23" i="22" s="1"/>
  <c r="O49" i="24"/>
  <c r="O49" i="22"/>
  <c r="O49" i="21"/>
  <c r="O49" i="30"/>
  <c r="O49" i="25"/>
  <c r="O49" i="26"/>
  <c r="O49" i="23"/>
  <c r="O153" i="37" l="1"/>
  <c r="N23" i="25"/>
  <c r="N108" i="25" s="1"/>
  <c r="N74" i="25"/>
  <c r="P35" i="37"/>
  <c r="P95" i="37" s="1"/>
  <c r="P40" i="37"/>
  <c r="P33" i="37"/>
  <c r="P38" i="37"/>
  <c r="P39" i="37"/>
  <c r="K140" i="24"/>
  <c r="K104" i="24"/>
  <c r="K112" i="24" s="1"/>
  <c r="K81" i="24" s="1"/>
  <c r="K45" i="24" s="1"/>
  <c r="K116" i="24"/>
  <c r="K144" i="24" s="1"/>
  <c r="O157" i="37"/>
  <c r="I96" i="24"/>
  <c r="I95" i="24"/>
  <c r="L110" i="24"/>
  <c r="L84" i="24"/>
  <c r="L108" i="24"/>
  <c r="L86" i="24"/>
  <c r="L29" i="24"/>
  <c r="L85" i="24"/>
  <c r="N22" i="24"/>
  <c r="M23" i="24"/>
  <c r="M113" i="24" s="1"/>
  <c r="L113" i="23"/>
  <c r="L104" i="23" s="1"/>
  <c r="K114" i="23"/>
  <c r="K115" i="23" s="1"/>
  <c r="K140" i="23" s="1"/>
  <c r="K104" i="26"/>
  <c r="K112" i="26" s="1"/>
  <c r="K81" i="26" s="1"/>
  <c r="O148" i="37"/>
  <c r="O144" i="37"/>
  <c r="J140" i="30"/>
  <c r="J116" i="30"/>
  <c r="J144" i="30" s="1"/>
  <c r="K140" i="26"/>
  <c r="K116" i="26"/>
  <c r="K144" i="26" s="1"/>
  <c r="K140" i="25"/>
  <c r="K116" i="25"/>
  <c r="K144" i="25" s="1"/>
  <c r="O132" i="37"/>
  <c r="K139" i="22"/>
  <c r="K115" i="22"/>
  <c r="K143" i="22" s="1"/>
  <c r="J139" i="22"/>
  <c r="J115" i="22"/>
  <c r="J143" i="22" s="1"/>
  <c r="O127" i="37"/>
  <c r="L114" i="24"/>
  <c r="L115" i="24" s="1"/>
  <c r="L104" i="24" s="1"/>
  <c r="O171" i="37"/>
  <c r="L113" i="26"/>
  <c r="L114" i="26" s="1"/>
  <c r="L115" i="26" s="1"/>
  <c r="P53" i="37"/>
  <c r="O175" i="37"/>
  <c r="H147" i="21"/>
  <c r="O133" i="37"/>
  <c r="O129" i="37"/>
  <c r="J140" i="21"/>
  <c r="O131" i="37"/>
  <c r="O128" i="37"/>
  <c r="P52" i="37"/>
  <c r="P58" i="37"/>
  <c r="I45" i="23"/>
  <c r="I46" i="23" s="1"/>
  <c r="L108" i="26"/>
  <c r="L84" i="26"/>
  <c r="L29" i="26"/>
  <c r="L86" i="26"/>
  <c r="L110" i="26"/>
  <c r="L85" i="26"/>
  <c r="M23" i="26"/>
  <c r="N22" i="26"/>
  <c r="I95" i="26"/>
  <c r="I96" i="26"/>
  <c r="P27" i="37"/>
  <c r="P28" i="37" s="1"/>
  <c r="M29" i="23"/>
  <c r="G27" i="11"/>
  <c r="G42" i="11" s="1"/>
  <c r="J112" i="21"/>
  <c r="I95" i="21"/>
  <c r="I96" i="21"/>
  <c r="J77" i="21" s="1"/>
  <c r="J81" i="25"/>
  <c r="J45" i="25" s="1"/>
  <c r="J81" i="23"/>
  <c r="J45" i="23" s="1"/>
  <c r="I80" i="22"/>
  <c r="P14" i="37" s="1"/>
  <c r="P17" i="37" s="1"/>
  <c r="P13" i="37"/>
  <c r="J45" i="26"/>
  <c r="Q36" i="37"/>
  <c r="K112" i="25"/>
  <c r="K112" i="23"/>
  <c r="K81" i="23" s="1"/>
  <c r="Q31" i="37"/>
  <c r="P24" i="37"/>
  <c r="J111" i="22"/>
  <c r="K111" i="22" s="1"/>
  <c r="K80" i="22" s="1"/>
  <c r="P59" i="37"/>
  <c r="P62" i="37" s="1"/>
  <c r="P63" i="37"/>
  <c r="P26" i="37"/>
  <c r="P94" i="37" s="1"/>
  <c r="H19" i="11"/>
  <c r="I98" i="23"/>
  <c r="I134" i="23" s="1"/>
  <c r="J77" i="25"/>
  <c r="J89" i="25" s="1"/>
  <c r="I99" i="23"/>
  <c r="I135" i="23" s="1"/>
  <c r="I95" i="30"/>
  <c r="I97" i="30" s="1"/>
  <c r="I133" i="30" s="1"/>
  <c r="I101" i="23"/>
  <c r="I117" i="23" s="1"/>
  <c r="J78" i="25"/>
  <c r="J90" i="25" s="1"/>
  <c r="I102" i="25"/>
  <c r="P57" i="37"/>
  <c r="P56" i="37"/>
  <c r="P55" i="37"/>
  <c r="P96" i="37"/>
  <c r="P48" i="37"/>
  <c r="P46" i="37"/>
  <c r="P47" i="37"/>
  <c r="P8" i="37"/>
  <c r="P7" i="37"/>
  <c r="P6" i="37"/>
  <c r="L113" i="22"/>
  <c r="L114" i="22" s="1"/>
  <c r="L103" i="22"/>
  <c r="M110" i="23"/>
  <c r="M108" i="23"/>
  <c r="M113" i="23"/>
  <c r="M85" i="23"/>
  <c r="M86" i="23"/>
  <c r="M84" i="23"/>
  <c r="M109" i="22"/>
  <c r="M107" i="22"/>
  <c r="M112" i="22"/>
  <c r="M29" i="22"/>
  <c r="M84" i="22"/>
  <c r="M83" i="22"/>
  <c r="M85" i="22"/>
  <c r="N22" i="30"/>
  <c r="N23" i="30" s="1"/>
  <c r="M74" i="30"/>
  <c r="T21" i="21"/>
  <c r="J77" i="30"/>
  <c r="J78" i="30"/>
  <c r="J79" i="30"/>
  <c r="I102" i="30"/>
  <c r="T21" i="23"/>
  <c r="J90" i="23"/>
  <c r="J43" i="23"/>
  <c r="I118" i="25"/>
  <c r="I120" i="25"/>
  <c r="K114" i="21"/>
  <c r="K115" i="21" s="1"/>
  <c r="K116" i="21" s="1"/>
  <c r="K144" i="21" s="1"/>
  <c r="I100" i="22"/>
  <c r="I116" i="22" s="1"/>
  <c r="I52" i="22" s="1"/>
  <c r="I97" i="22"/>
  <c r="I133" i="22" s="1"/>
  <c r="I96" i="22"/>
  <c r="I132" i="22" s="1"/>
  <c r="I98" i="22"/>
  <c r="I134" i="22" s="1"/>
  <c r="O22" i="22"/>
  <c r="O23" i="22" s="1"/>
  <c r="J44" i="25"/>
  <c r="J91" i="25"/>
  <c r="I45" i="21"/>
  <c r="I46" i="21" s="1"/>
  <c r="L110" i="30"/>
  <c r="L108" i="30"/>
  <c r="L29" i="30"/>
  <c r="L113" i="30"/>
  <c r="L84" i="30"/>
  <c r="L86" i="30"/>
  <c r="L85" i="30"/>
  <c r="L108" i="21"/>
  <c r="L29" i="21"/>
  <c r="L110" i="21"/>
  <c r="L113" i="21"/>
  <c r="L104" i="21" s="1"/>
  <c r="L85" i="21"/>
  <c r="L86" i="21"/>
  <c r="L84" i="21"/>
  <c r="U21" i="30"/>
  <c r="K81" i="30"/>
  <c r="K114" i="30"/>
  <c r="K115" i="30" s="1"/>
  <c r="J44" i="23"/>
  <c r="J91" i="23"/>
  <c r="I137" i="25"/>
  <c r="I141" i="25" s="1"/>
  <c r="I146" i="25" s="1"/>
  <c r="O22" i="25"/>
  <c r="L114" i="25"/>
  <c r="L115" i="25" s="1"/>
  <c r="T21" i="26"/>
  <c r="N22" i="21"/>
  <c r="N23" i="21" s="1"/>
  <c r="M74" i="21"/>
  <c r="M106" i="21" s="1"/>
  <c r="I101" i="22"/>
  <c r="J76" i="22"/>
  <c r="J77" i="22"/>
  <c r="J78" i="22"/>
  <c r="J80" i="23"/>
  <c r="J89" i="23"/>
  <c r="J42" i="23"/>
  <c r="U21" i="22"/>
  <c r="V21" i="25"/>
  <c r="S21" i="24"/>
  <c r="M110" i="25"/>
  <c r="M29" i="25"/>
  <c r="M113" i="25"/>
  <c r="M104" i="25" s="1"/>
  <c r="M86" i="25"/>
  <c r="M84" i="25"/>
  <c r="M85" i="25"/>
  <c r="I45" i="30"/>
  <c r="I46" i="30" s="1"/>
  <c r="O22" i="23"/>
  <c r="O23" i="23" s="1"/>
  <c r="P49" i="30"/>
  <c r="P49" i="21"/>
  <c r="P49" i="22"/>
  <c r="P49" i="23"/>
  <c r="P49" i="25"/>
  <c r="P49" i="26"/>
  <c r="P49" i="24"/>
  <c r="P85" i="37" l="1"/>
  <c r="P74" i="37"/>
  <c r="O23" i="25"/>
  <c r="O108" i="25" s="1"/>
  <c r="O74" i="25"/>
  <c r="R36" i="37"/>
  <c r="L112" i="24"/>
  <c r="L81" i="24" s="1"/>
  <c r="L45" i="24" s="1"/>
  <c r="M29" i="24"/>
  <c r="M86" i="24"/>
  <c r="M110" i="24"/>
  <c r="M85" i="24"/>
  <c r="M108" i="24"/>
  <c r="M84" i="24"/>
  <c r="I98" i="24"/>
  <c r="I134" i="24" s="1"/>
  <c r="I101" i="24"/>
  <c r="I117" i="24" s="1"/>
  <c r="I99" i="24"/>
  <c r="I135" i="24" s="1"/>
  <c r="I97" i="24"/>
  <c r="I133" i="24" s="1"/>
  <c r="N23" i="24"/>
  <c r="O22" i="24"/>
  <c r="J77" i="24"/>
  <c r="I102" i="24"/>
  <c r="J79" i="24"/>
  <c r="J78" i="24"/>
  <c r="L114" i="23"/>
  <c r="L115" i="23" s="1"/>
  <c r="L140" i="23" s="1"/>
  <c r="P97" i="37"/>
  <c r="I118" i="23"/>
  <c r="P152" i="37" s="1"/>
  <c r="I52" i="23"/>
  <c r="I62" i="23" s="1"/>
  <c r="I97" i="21"/>
  <c r="I98" i="21"/>
  <c r="I99" i="21"/>
  <c r="K116" i="23"/>
  <c r="K144" i="23" s="1"/>
  <c r="I101" i="21"/>
  <c r="M114" i="24"/>
  <c r="M115" i="24" s="1"/>
  <c r="L104" i="26"/>
  <c r="L112" i="26" s="1"/>
  <c r="L81" i="26" s="1"/>
  <c r="K140" i="30"/>
  <c r="K116" i="30"/>
  <c r="K144" i="30" s="1"/>
  <c r="L140" i="26"/>
  <c r="L116" i="26"/>
  <c r="L144" i="26" s="1"/>
  <c r="L140" i="25"/>
  <c r="L116" i="25"/>
  <c r="L144" i="25" s="1"/>
  <c r="L140" i="24"/>
  <c r="L116" i="24"/>
  <c r="L144" i="24" s="1"/>
  <c r="L139" i="22"/>
  <c r="L115" i="22"/>
  <c r="L143" i="22" s="1"/>
  <c r="M113" i="26"/>
  <c r="M114" i="26" s="1"/>
  <c r="M115" i="26" s="1"/>
  <c r="O130" i="37"/>
  <c r="O191" i="37" s="1"/>
  <c r="O126" i="37"/>
  <c r="O190" i="37" s="1"/>
  <c r="K140" i="21"/>
  <c r="I45" i="22"/>
  <c r="I46" i="22" s="1"/>
  <c r="N23" i="26"/>
  <c r="O22" i="26"/>
  <c r="M85" i="26"/>
  <c r="M110" i="26"/>
  <c r="M84" i="26"/>
  <c r="M29" i="26"/>
  <c r="M86" i="26"/>
  <c r="M108" i="26"/>
  <c r="J79" i="26"/>
  <c r="J78" i="26"/>
  <c r="I102" i="26"/>
  <c r="J77" i="26"/>
  <c r="I97" i="26"/>
  <c r="I133" i="26" s="1"/>
  <c r="I98" i="26"/>
  <c r="I134" i="26" s="1"/>
  <c r="I101" i="26"/>
  <c r="I117" i="26" s="1"/>
  <c r="I52" i="26" s="1"/>
  <c r="I99" i="26"/>
  <c r="I135" i="26" s="1"/>
  <c r="P29" i="37"/>
  <c r="K112" i="21"/>
  <c r="K81" i="21" s="1"/>
  <c r="P30" i="37"/>
  <c r="H27" i="11"/>
  <c r="H42" i="11" s="1"/>
  <c r="N29" i="23"/>
  <c r="J81" i="21"/>
  <c r="P18" i="37"/>
  <c r="P20" i="37" s="1"/>
  <c r="J80" i="22"/>
  <c r="Q18" i="37" s="1"/>
  <c r="P16" i="37"/>
  <c r="P93" i="37" s="1"/>
  <c r="K81" i="25"/>
  <c r="K45" i="25" s="1"/>
  <c r="Q23" i="37"/>
  <c r="Q26" i="37" s="1"/>
  <c r="P15" i="37"/>
  <c r="Q27" i="37"/>
  <c r="Q45" i="37"/>
  <c r="R54" i="37"/>
  <c r="L112" i="25"/>
  <c r="L81" i="25" s="1"/>
  <c r="Q54" i="37"/>
  <c r="Q57" i="37" s="1"/>
  <c r="R27" i="37"/>
  <c r="K45" i="23"/>
  <c r="L111" i="22"/>
  <c r="L80" i="22" s="1"/>
  <c r="P67" i="37"/>
  <c r="L112" i="23"/>
  <c r="R31" i="37"/>
  <c r="R18" i="37"/>
  <c r="J45" i="30"/>
  <c r="Q63" i="37"/>
  <c r="P61" i="37"/>
  <c r="P77" i="37" s="1"/>
  <c r="P60" i="37"/>
  <c r="J43" i="25"/>
  <c r="J42" i="25"/>
  <c r="I137" i="23"/>
  <c r="I141" i="23" s="1"/>
  <c r="I146" i="23" s="1"/>
  <c r="I101" i="30"/>
  <c r="I117" i="30" s="1"/>
  <c r="I120" i="23"/>
  <c r="J80" i="25"/>
  <c r="Q41" i="37" s="1"/>
  <c r="I98" i="30"/>
  <c r="I134" i="30" s="1"/>
  <c r="I99" i="30"/>
  <c r="I135" i="30" s="1"/>
  <c r="P75" i="37"/>
  <c r="P87" i="37"/>
  <c r="P76" i="37"/>
  <c r="J93" i="25"/>
  <c r="J94" i="25" s="1"/>
  <c r="J96" i="25" s="1"/>
  <c r="P86" i="37"/>
  <c r="I62" i="25"/>
  <c r="I147" i="25" s="1"/>
  <c r="P170" i="37"/>
  <c r="Q37" i="37"/>
  <c r="Q38" i="37"/>
  <c r="Q39" i="37"/>
  <c r="J93" i="23"/>
  <c r="J94" i="23" s="1"/>
  <c r="J96" i="23" s="1"/>
  <c r="P11" i="37"/>
  <c r="P10" i="37"/>
  <c r="P12" i="37"/>
  <c r="P92" i="37"/>
  <c r="V21" i="22"/>
  <c r="J79" i="22"/>
  <c r="J42" i="22"/>
  <c r="J88" i="22"/>
  <c r="J89" i="30"/>
  <c r="J42" i="30"/>
  <c r="J80" i="30"/>
  <c r="Q59" i="37" s="1"/>
  <c r="U21" i="21"/>
  <c r="P22" i="23"/>
  <c r="P23" i="23" s="1"/>
  <c r="M114" i="25"/>
  <c r="M115" i="25" s="1"/>
  <c r="L114" i="21"/>
  <c r="L115" i="21" s="1"/>
  <c r="N109" i="22"/>
  <c r="N107" i="22"/>
  <c r="N29" i="22"/>
  <c r="N112" i="22"/>
  <c r="N83" i="22"/>
  <c r="N84" i="22"/>
  <c r="N85" i="22"/>
  <c r="I117" i="22"/>
  <c r="I119" i="22"/>
  <c r="U21" i="23"/>
  <c r="W21" i="25"/>
  <c r="J44" i="22"/>
  <c r="J90" i="22"/>
  <c r="M108" i="21"/>
  <c r="M110" i="21"/>
  <c r="M29" i="21"/>
  <c r="M113" i="21"/>
  <c r="M104" i="21" s="1"/>
  <c r="M84" i="21"/>
  <c r="M86" i="21"/>
  <c r="M85" i="21"/>
  <c r="U21" i="26"/>
  <c r="I36" i="11"/>
  <c r="P22" i="22"/>
  <c r="P23" i="22" s="1"/>
  <c r="J91" i="30"/>
  <c r="J44" i="30"/>
  <c r="O22" i="30"/>
  <c r="O23" i="30" s="1"/>
  <c r="N74" i="30"/>
  <c r="N108" i="23"/>
  <c r="N113" i="23"/>
  <c r="N110" i="23"/>
  <c r="N85" i="23"/>
  <c r="N84" i="23"/>
  <c r="N86" i="23"/>
  <c r="I102" i="21"/>
  <c r="J79" i="21"/>
  <c r="J91" i="21" s="1"/>
  <c r="J78" i="21"/>
  <c r="N110" i="25"/>
  <c r="N29" i="25"/>
  <c r="N113" i="25"/>
  <c r="N104" i="25" s="1"/>
  <c r="N84" i="25"/>
  <c r="N85" i="25"/>
  <c r="N86" i="25"/>
  <c r="T21" i="24"/>
  <c r="J46" i="23"/>
  <c r="J43" i="22"/>
  <c r="J89" i="22"/>
  <c r="O22" i="21"/>
  <c r="O23" i="21" s="1"/>
  <c r="N74" i="21"/>
  <c r="N106" i="21" s="1"/>
  <c r="P22" i="25"/>
  <c r="V21" i="30"/>
  <c r="L81" i="30"/>
  <c r="L114" i="30"/>
  <c r="L115" i="30" s="1"/>
  <c r="I136" i="22"/>
  <c r="J43" i="30"/>
  <c r="J90" i="30"/>
  <c r="M110" i="30"/>
  <c r="M108" i="30"/>
  <c r="M113" i="30"/>
  <c r="M29" i="30"/>
  <c r="M84" i="30"/>
  <c r="M85" i="30"/>
  <c r="M86" i="30"/>
  <c r="M103" i="22"/>
  <c r="M113" i="22"/>
  <c r="M114" i="22" s="1"/>
  <c r="M104" i="23"/>
  <c r="M114" i="23"/>
  <c r="M115" i="23" s="1"/>
  <c r="Q49" i="26"/>
  <c r="Q49" i="25"/>
  <c r="Q49" i="23"/>
  <c r="Q49" i="24"/>
  <c r="Q49" i="22"/>
  <c r="Q49" i="21"/>
  <c r="Q49" i="30"/>
  <c r="P23" i="25" l="1"/>
  <c r="P108" i="25" s="1"/>
  <c r="P74" i="25"/>
  <c r="M116" i="24"/>
  <c r="M144" i="24" s="1"/>
  <c r="M104" i="24"/>
  <c r="M112" i="24" s="1"/>
  <c r="M81" i="24" s="1"/>
  <c r="M45" i="24" s="1"/>
  <c r="I137" i="24"/>
  <c r="I141" i="24" s="1"/>
  <c r="I146" i="24" s="1"/>
  <c r="I35" i="11" s="1"/>
  <c r="J80" i="24"/>
  <c r="Q32" i="37" s="1"/>
  <c r="J42" i="24"/>
  <c r="J89" i="24"/>
  <c r="J90" i="24"/>
  <c r="J43" i="24"/>
  <c r="O23" i="24"/>
  <c r="P22" i="24"/>
  <c r="I52" i="24"/>
  <c r="I62" i="24" s="1"/>
  <c r="I22" i="11" s="1"/>
  <c r="I118" i="24"/>
  <c r="P161" i="37" s="1"/>
  <c r="I120" i="24"/>
  <c r="J91" i="24"/>
  <c r="J44" i="24"/>
  <c r="N29" i="24"/>
  <c r="N85" i="24"/>
  <c r="N110" i="24"/>
  <c r="N84" i="24"/>
  <c r="N108" i="24"/>
  <c r="N86" i="24"/>
  <c r="N113" i="24"/>
  <c r="L116" i="23"/>
  <c r="L144" i="23" s="1"/>
  <c r="I120" i="30"/>
  <c r="I52" i="30"/>
  <c r="L116" i="21"/>
  <c r="L144" i="21" s="1"/>
  <c r="M140" i="24"/>
  <c r="M104" i="26"/>
  <c r="M112" i="26" s="1"/>
  <c r="M81" i="26" s="1"/>
  <c r="N113" i="26"/>
  <c r="N114" i="26" s="1"/>
  <c r="N115" i="26" s="1"/>
  <c r="I147" i="23"/>
  <c r="L140" i="30"/>
  <c r="L116" i="30"/>
  <c r="L144" i="30" s="1"/>
  <c r="M140" i="26"/>
  <c r="M116" i="26"/>
  <c r="M144" i="26" s="1"/>
  <c r="M140" i="25"/>
  <c r="M116" i="25"/>
  <c r="M144" i="25" s="1"/>
  <c r="M140" i="23"/>
  <c r="M116" i="23"/>
  <c r="M144" i="23" s="1"/>
  <c r="M139" i="22"/>
  <c r="M115" i="22"/>
  <c r="M143" i="22" s="1"/>
  <c r="Q25" i="37"/>
  <c r="Q94" i="37" s="1"/>
  <c r="P73" i="37"/>
  <c r="L140" i="21"/>
  <c r="K45" i="21"/>
  <c r="J42" i="26"/>
  <c r="J80" i="26"/>
  <c r="Q50" i="37" s="1"/>
  <c r="Q51" i="37" s="1"/>
  <c r="J89" i="26"/>
  <c r="I118" i="26"/>
  <c r="I120" i="26"/>
  <c r="J90" i="26"/>
  <c r="J43" i="26"/>
  <c r="O23" i="26"/>
  <c r="P22" i="26"/>
  <c r="I137" i="26"/>
  <c r="I141" i="26" s="1"/>
  <c r="I146" i="26" s="1"/>
  <c r="J91" i="26"/>
  <c r="J44" i="26"/>
  <c r="N85" i="26"/>
  <c r="N110" i="26"/>
  <c r="N84" i="26"/>
  <c r="N29" i="26"/>
  <c r="N86" i="26"/>
  <c r="N108" i="26"/>
  <c r="L112" i="21"/>
  <c r="L81" i="21" s="1"/>
  <c r="L45" i="21" s="1"/>
  <c r="R9" i="37"/>
  <c r="P84" i="37"/>
  <c r="Q9" i="37"/>
  <c r="J45" i="21"/>
  <c r="I140" i="22"/>
  <c r="I145" i="22" s="1"/>
  <c r="O29" i="23"/>
  <c r="R45" i="37"/>
  <c r="S36" i="37"/>
  <c r="P19" i="37"/>
  <c r="P22" i="37"/>
  <c r="P68" i="37" s="1"/>
  <c r="P21" i="37"/>
  <c r="P83" i="37" s="1"/>
  <c r="J46" i="25"/>
  <c r="Q24" i="37"/>
  <c r="L81" i="23"/>
  <c r="S27" i="37" s="1"/>
  <c r="S45" i="37"/>
  <c r="K45" i="26"/>
  <c r="L45" i="26"/>
  <c r="M111" i="22"/>
  <c r="M80" i="22" s="1"/>
  <c r="T18" i="37" s="1"/>
  <c r="Q56" i="37"/>
  <c r="Q87" i="37" s="1"/>
  <c r="Q55" i="37"/>
  <c r="Q67" i="37"/>
  <c r="J45" i="22"/>
  <c r="J46" i="22" s="1"/>
  <c r="K45" i="22"/>
  <c r="Q14" i="37"/>
  <c r="Q22" i="37" s="1"/>
  <c r="P98" i="37"/>
  <c r="P99" i="37" s="1"/>
  <c r="L45" i="22"/>
  <c r="M112" i="25"/>
  <c r="M112" i="23"/>
  <c r="M81" i="23" s="1"/>
  <c r="S31" i="37"/>
  <c r="K45" i="30"/>
  <c r="R63" i="37"/>
  <c r="Q43" i="37"/>
  <c r="Q49" i="37"/>
  <c r="I34" i="11"/>
  <c r="I21" i="11"/>
  <c r="I118" i="30"/>
  <c r="P188" i="37" s="1"/>
  <c r="Q47" i="37"/>
  <c r="Q44" i="37"/>
  <c r="J95" i="23"/>
  <c r="J101" i="23" s="1"/>
  <c r="J117" i="23" s="1"/>
  <c r="J52" i="23" s="1"/>
  <c r="I137" i="30"/>
  <c r="I141" i="30" s="1"/>
  <c r="Q42" i="37"/>
  <c r="Q61" i="37"/>
  <c r="Q60" i="37"/>
  <c r="Q62" i="37"/>
  <c r="J95" i="25"/>
  <c r="J101" i="25" s="1"/>
  <c r="J117" i="25" s="1"/>
  <c r="J52" i="25" s="1"/>
  <c r="P164" i="37"/>
  <c r="P165" i="37"/>
  <c r="P163" i="37"/>
  <c r="P169" i="37"/>
  <c r="P167" i="37"/>
  <c r="P168" i="37"/>
  <c r="Q85" i="37"/>
  <c r="P146" i="37"/>
  <c r="P145" i="37"/>
  <c r="P147" i="37"/>
  <c r="P151" i="37"/>
  <c r="P149" i="37"/>
  <c r="P150" i="37"/>
  <c r="Q29" i="37"/>
  <c r="Q28" i="37"/>
  <c r="Q30" i="37"/>
  <c r="J92" i="22"/>
  <c r="J93" i="22" s="1"/>
  <c r="J94" i="22" s="1"/>
  <c r="I62" i="22"/>
  <c r="P143" i="37"/>
  <c r="P71" i="37"/>
  <c r="P82" i="37"/>
  <c r="I135" i="21"/>
  <c r="I134" i="21"/>
  <c r="I133" i="21"/>
  <c r="I117" i="21"/>
  <c r="O29" i="22"/>
  <c r="O107" i="22"/>
  <c r="O109" i="22"/>
  <c r="O112" i="22"/>
  <c r="O83" i="22"/>
  <c r="O85" i="22"/>
  <c r="O84" i="22"/>
  <c r="V21" i="21"/>
  <c r="M81" i="30"/>
  <c r="M114" i="30"/>
  <c r="M115" i="30" s="1"/>
  <c r="S63" i="37"/>
  <c r="W21" i="30"/>
  <c r="N110" i="21"/>
  <c r="N29" i="21"/>
  <c r="N113" i="21"/>
  <c r="N104" i="21" s="1"/>
  <c r="N108" i="21"/>
  <c r="N85" i="21"/>
  <c r="N86" i="21"/>
  <c r="N84" i="21"/>
  <c r="U21" i="24"/>
  <c r="J90" i="21"/>
  <c r="J43" i="21"/>
  <c r="N110" i="30"/>
  <c r="N108" i="30"/>
  <c r="N29" i="30"/>
  <c r="N113" i="30"/>
  <c r="N86" i="30"/>
  <c r="N85" i="30"/>
  <c r="N84" i="30"/>
  <c r="Q22" i="22"/>
  <c r="Q23" i="22" s="1"/>
  <c r="V21" i="26"/>
  <c r="J102" i="25"/>
  <c r="K79" i="25"/>
  <c r="K78" i="25"/>
  <c r="K77" i="25"/>
  <c r="V21" i="23"/>
  <c r="J93" i="30"/>
  <c r="J94" i="30" s="1"/>
  <c r="L45" i="25"/>
  <c r="J44" i="21"/>
  <c r="K78" i="23"/>
  <c r="J102" i="23"/>
  <c r="K77" i="23"/>
  <c r="K79" i="23"/>
  <c r="M114" i="21"/>
  <c r="M115" i="21" s="1"/>
  <c r="M116" i="21" s="1"/>
  <c r="M144" i="21" s="1"/>
  <c r="O110" i="25"/>
  <c r="O29" i="25"/>
  <c r="O113" i="25"/>
  <c r="O104" i="25" s="1"/>
  <c r="O84" i="25"/>
  <c r="O86" i="25"/>
  <c r="O85" i="25"/>
  <c r="O74" i="21"/>
  <c r="O106" i="21" s="1"/>
  <c r="P22" i="21"/>
  <c r="P23" i="21" s="1"/>
  <c r="N114" i="25"/>
  <c r="N115" i="25" s="1"/>
  <c r="J80" i="21"/>
  <c r="Q5" i="37" s="1"/>
  <c r="Q6" i="37" s="1"/>
  <c r="J89" i="21"/>
  <c r="J42" i="21"/>
  <c r="P22" i="30"/>
  <c r="P23" i="30" s="1"/>
  <c r="O74" i="30"/>
  <c r="X21" i="25"/>
  <c r="O110" i="23"/>
  <c r="O108" i="23"/>
  <c r="O113" i="23"/>
  <c r="O84" i="23"/>
  <c r="O85" i="23"/>
  <c r="O86" i="23"/>
  <c r="W21" i="22"/>
  <c r="Q22" i="25"/>
  <c r="N104" i="23"/>
  <c r="N114" i="23"/>
  <c r="N115" i="23" s="1"/>
  <c r="N103" i="22"/>
  <c r="N113" i="22"/>
  <c r="N114" i="22" s="1"/>
  <c r="Q22" i="23"/>
  <c r="Q23" i="23" s="1"/>
  <c r="J46" i="30"/>
  <c r="R49" i="25"/>
  <c r="R49" i="23"/>
  <c r="R49" i="26"/>
  <c r="R49" i="22"/>
  <c r="R49" i="24"/>
  <c r="R49" i="30"/>
  <c r="R49" i="21"/>
  <c r="Q23" i="25" l="1"/>
  <c r="Q108" i="25" s="1"/>
  <c r="Q74" i="25"/>
  <c r="T36" i="37"/>
  <c r="P156" i="37"/>
  <c r="P160" i="37"/>
  <c r="P154" i="37"/>
  <c r="P159" i="37"/>
  <c r="P155" i="37"/>
  <c r="P158" i="37"/>
  <c r="Q33" i="37"/>
  <c r="Q34" i="37"/>
  <c r="Q35" i="37"/>
  <c r="Q40" i="37"/>
  <c r="I147" i="24"/>
  <c r="N114" i="24"/>
  <c r="N115" i="24" s="1"/>
  <c r="N104" i="24" s="1"/>
  <c r="N112" i="24" s="1"/>
  <c r="N81" i="24" s="1"/>
  <c r="N45" i="24" s="1"/>
  <c r="P23" i="24"/>
  <c r="Q22" i="24"/>
  <c r="J93" i="24"/>
  <c r="J94" i="24" s="1"/>
  <c r="O110" i="24"/>
  <c r="O86" i="24"/>
  <c r="O108" i="24"/>
  <c r="O85" i="24"/>
  <c r="O29" i="24"/>
  <c r="O84" i="24"/>
  <c r="O113" i="24"/>
  <c r="J46" i="24"/>
  <c r="M112" i="21"/>
  <c r="I118" i="21"/>
  <c r="P134" i="37" s="1"/>
  <c r="I52" i="21"/>
  <c r="I62" i="21" s="1"/>
  <c r="N104" i="26"/>
  <c r="N112" i="26" s="1"/>
  <c r="N81" i="26" s="1"/>
  <c r="O113" i="26"/>
  <c r="O104" i="26" s="1"/>
  <c r="Q52" i="37"/>
  <c r="Q53" i="37"/>
  <c r="I146" i="30"/>
  <c r="I38" i="11" s="1"/>
  <c r="M140" i="30"/>
  <c r="M116" i="30"/>
  <c r="M144" i="30" s="1"/>
  <c r="N140" i="26"/>
  <c r="N116" i="26"/>
  <c r="N144" i="26" s="1"/>
  <c r="N140" i="25"/>
  <c r="N116" i="25"/>
  <c r="N144" i="25" s="1"/>
  <c r="N140" i="23"/>
  <c r="N116" i="23"/>
  <c r="N144" i="23" s="1"/>
  <c r="N139" i="22"/>
  <c r="N115" i="22"/>
  <c r="N143" i="22" s="1"/>
  <c r="Q13" i="37"/>
  <c r="M140" i="21"/>
  <c r="Q58" i="37"/>
  <c r="O29" i="26"/>
  <c r="O108" i="26"/>
  <c r="O86" i="26"/>
  <c r="O110" i="26"/>
  <c r="O85" i="26"/>
  <c r="O84" i="26"/>
  <c r="I62" i="26"/>
  <c r="I24" i="11" s="1"/>
  <c r="P179" i="37"/>
  <c r="J93" i="26"/>
  <c r="J94" i="26" s="1"/>
  <c r="I37" i="11"/>
  <c r="P23" i="26"/>
  <c r="Q22" i="26"/>
  <c r="J46" i="26"/>
  <c r="P72" i="37"/>
  <c r="P78" i="37" s="1"/>
  <c r="S9" i="37"/>
  <c r="I146" i="22"/>
  <c r="P29" i="23"/>
  <c r="P89" i="37"/>
  <c r="P79" i="37" s="1"/>
  <c r="I33" i="11"/>
  <c r="L45" i="23"/>
  <c r="M81" i="25"/>
  <c r="M45" i="25" s="1"/>
  <c r="M45" i="26"/>
  <c r="Q16" i="37"/>
  <c r="S54" i="37"/>
  <c r="Q17" i="37"/>
  <c r="Q15" i="37"/>
  <c r="S18" i="37"/>
  <c r="M45" i="23"/>
  <c r="T27" i="37"/>
  <c r="T54" i="37"/>
  <c r="N112" i="25"/>
  <c r="N112" i="23"/>
  <c r="N81" i="23" s="1"/>
  <c r="T31" i="37"/>
  <c r="N111" i="22"/>
  <c r="Q96" i="37"/>
  <c r="I23" i="11"/>
  <c r="I20" i="11"/>
  <c r="Q48" i="37"/>
  <c r="Q75" i="37" s="1"/>
  <c r="I62" i="30"/>
  <c r="I25" i="11" s="1"/>
  <c r="J99" i="23"/>
  <c r="J135" i="23" s="1"/>
  <c r="Q46" i="37"/>
  <c r="J99" i="25"/>
  <c r="J135" i="25" s="1"/>
  <c r="J97" i="23"/>
  <c r="J133" i="23" s="1"/>
  <c r="J98" i="23"/>
  <c r="J134" i="23" s="1"/>
  <c r="J97" i="25"/>
  <c r="J133" i="25" s="1"/>
  <c r="J98" i="25"/>
  <c r="J134" i="25" s="1"/>
  <c r="Q73" i="37"/>
  <c r="Q98" i="37"/>
  <c r="Q77" i="37"/>
  <c r="P186" i="37"/>
  <c r="P187" i="37"/>
  <c r="P162" i="37"/>
  <c r="P166" i="37"/>
  <c r="P148" i="37"/>
  <c r="Q84" i="37"/>
  <c r="P144" i="37"/>
  <c r="J95" i="22"/>
  <c r="K78" i="22" s="1"/>
  <c r="P138" i="37"/>
  <c r="P137" i="37"/>
  <c r="P136" i="37"/>
  <c r="P140" i="37"/>
  <c r="P141" i="37"/>
  <c r="P142" i="37"/>
  <c r="Q19" i="37"/>
  <c r="Q21" i="37"/>
  <c r="Q20" i="37"/>
  <c r="I137" i="21"/>
  <c r="I141" i="21" s="1"/>
  <c r="J46" i="21"/>
  <c r="J93" i="21"/>
  <c r="J94" i="21" s="1"/>
  <c r="J95" i="21" s="1"/>
  <c r="X21" i="22"/>
  <c r="X21" i="30"/>
  <c r="R22" i="23"/>
  <c r="R23" i="23" s="1"/>
  <c r="J118" i="25"/>
  <c r="J120" i="25"/>
  <c r="O29" i="21"/>
  <c r="O110" i="21"/>
  <c r="O108" i="21"/>
  <c r="O113" i="21"/>
  <c r="O104" i="21" s="1"/>
  <c r="O84" i="21"/>
  <c r="O86" i="21"/>
  <c r="O85" i="21"/>
  <c r="K43" i="23"/>
  <c r="K90" i="23"/>
  <c r="W21" i="23"/>
  <c r="K91" i="25"/>
  <c r="K44" i="25"/>
  <c r="W21" i="26"/>
  <c r="N114" i="21"/>
  <c r="N115" i="21" s="1"/>
  <c r="N116" i="21" s="1"/>
  <c r="N144" i="21" s="1"/>
  <c r="W21" i="21"/>
  <c r="O108" i="30"/>
  <c r="O113" i="30"/>
  <c r="O29" i="30"/>
  <c r="O110" i="30"/>
  <c r="O84" i="30"/>
  <c r="O85" i="30"/>
  <c r="O86" i="30"/>
  <c r="K43" i="25"/>
  <c r="K90" i="25"/>
  <c r="R22" i="22"/>
  <c r="R23" i="22" s="1"/>
  <c r="L45" i="30"/>
  <c r="P110" i="23"/>
  <c r="P108" i="23"/>
  <c r="P113" i="23"/>
  <c r="P84" i="23"/>
  <c r="P86" i="23"/>
  <c r="P85" i="23"/>
  <c r="P110" i="25"/>
  <c r="P29" i="25"/>
  <c r="P113" i="25"/>
  <c r="P104" i="25" s="1"/>
  <c r="P84" i="25"/>
  <c r="P85" i="25"/>
  <c r="P86" i="25"/>
  <c r="P74" i="30"/>
  <c r="Q22" i="30"/>
  <c r="Q23" i="30" s="1"/>
  <c r="O114" i="25"/>
  <c r="O115" i="25" s="1"/>
  <c r="J100" i="22"/>
  <c r="J116" i="22" s="1"/>
  <c r="J52" i="22" s="1"/>
  <c r="J97" i="22"/>
  <c r="J133" i="22" s="1"/>
  <c r="J98" i="22"/>
  <c r="J134" i="22" s="1"/>
  <c r="J96" i="22"/>
  <c r="J132" i="22" s="1"/>
  <c r="K44" i="23"/>
  <c r="K91" i="23"/>
  <c r="J95" i="30"/>
  <c r="J96" i="30"/>
  <c r="V21" i="24"/>
  <c r="O113" i="22"/>
  <c r="O114" i="22" s="1"/>
  <c r="O103" i="22"/>
  <c r="Q22" i="21"/>
  <c r="Q23" i="21" s="1"/>
  <c r="P74" i="21"/>
  <c r="P106" i="21" s="1"/>
  <c r="R22" i="25"/>
  <c r="M45" i="22"/>
  <c r="O104" i="23"/>
  <c r="O114" i="23"/>
  <c r="O115" i="23" s="1"/>
  <c r="K80" i="23"/>
  <c r="R23" i="37" s="1"/>
  <c r="K42" i="23"/>
  <c r="K89" i="23"/>
  <c r="K80" i="25"/>
  <c r="R41" i="37" s="1"/>
  <c r="R49" i="37" s="1"/>
  <c r="K42" i="25"/>
  <c r="K89" i="25"/>
  <c r="P109" i="22"/>
  <c r="P29" i="22"/>
  <c r="P107" i="22"/>
  <c r="P112" i="22"/>
  <c r="P83" i="22"/>
  <c r="P85" i="22"/>
  <c r="P84" i="22"/>
  <c r="N114" i="30"/>
  <c r="N115" i="30" s="1"/>
  <c r="N81" i="30"/>
  <c r="J118" i="23"/>
  <c r="J120" i="23"/>
  <c r="S49" i="23"/>
  <c r="S49" i="25"/>
  <c r="S49" i="22"/>
  <c r="S49" i="24"/>
  <c r="S49" i="26"/>
  <c r="S49" i="21"/>
  <c r="S49" i="30"/>
  <c r="R23" i="25" l="1"/>
  <c r="R108" i="25" s="1"/>
  <c r="R74" i="25"/>
  <c r="P157" i="37"/>
  <c r="P153" i="37"/>
  <c r="Q23" i="24"/>
  <c r="R22" i="24"/>
  <c r="P84" i="24"/>
  <c r="P110" i="24"/>
  <c r="P86" i="24"/>
  <c r="P108" i="24"/>
  <c r="P29" i="24"/>
  <c r="P85" i="24"/>
  <c r="P113" i="24"/>
  <c r="J95" i="24"/>
  <c r="J96" i="24"/>
  <c r="N140" i="24"/>
  <c r="N116" i="24"/>
  <c r="N144" i="24" s="1"/>
  <c r="Q95" i="37"/>
  <c r="Q74" i="37"/>
  <c r="O114" i="24"/>
  <c r="O115" i="24" s="1"/>
  <c r="O104" i="24" s="1"/>
  <c r="O112" i="24" s="1"/>
  <c r="M81" i="21"/>
  <c r="M45" i="21" s="1"/>
  <c r="O114" i="26"/>
  <c r="O115" i="26" s="1"/>
  <c r="O140" i="26" s="1"/>
  <c r="Q76" i="37"/>
  <c r="Q97" i="37"/>
  <c r="I147" i="30"/>
  <c r="I147" i="26"/>
  <c r="N140" i="30"/>
  <c r="N116" i="30"/>
  <c r="N144" i="30" s="1"/>
  <c r="O140" i="25"/>
  <c r="O116" i="25"/>
  <c r="O144" i="25" s="1"/>
  <c r="O140" i="23"/>
  <c r="O116" i="23"/>
  <c r="O144" i="23" s="1"/>
  <c r="Q68" i="37"/>
  <c r="O139" i="22"/>
  <c r="O115" i="22"/>
  <c r="O143" i="22" s="1"/>
  <c r="N140" i="21"/>
  <c r="N112" i="21"/>
  <c r="N81" i="21" s="1"/>
  <c r="I146" i="21"/>
  <c r="I147" i="21" s="1"/>
  <c r="P110" i="26"/>
  <c r="P85" i="26"/>
  <c r="P29" i="26"/>
  <c r="P84" i="26"/>
  <c r="P108" i="26"/>
  <c r="P86" i="26"/>
  <c r="P173" i="37"/>
  <c r="P177" i="37"/>
  <c r="P172" i="37"/>
  <c r="P178" i="37"/>
  <c r="P174" i="37"/>
  <c r="P176" i="37"/>
  <c r="P189" i="37"/>
  <c r="P113" i="26"/>
  <c r="P104" i="26" s="1"/>
  <c r="Q23" i="26"/>
  <c r="R22" i="26"/>
  <c r="J95" i="26"/>
  <c r="J96" i="26"/>
  <c r="Q29" i="23"/>
  <c r="Q93" i="37"/>
  <c r="T45" i="37"/>
  <c r="U36" i="37"/>
  <c r="N81" i="25"/>
  <c r="N45" i="25" s="1"/>
  <c r="N80" i="22"/>
  <c r="N45" i="22" s="1"/>
  <c r="N45" i="23"/>
  <c r="O112" i="26"/>
  <c r="O81" i="26" s="1"/>
  <c r="U54" i="37"/>
  <c r="O112" i="25"/>
  <c r="O112" i="23"/>
  <c r="O81" i="23" s="1"/>
  <c r="U31" i="37"/>
  <c r="O111" i="22"/>
  <c r="O80" i="22" s="1"/>
  <c r="M45" i="30"/>
  <c r="T63" i="37"/>
  <c r="Q86" i="37"/>
  <c r="J137" i="23"/>
  <c r="J141" i="23" s="1"/>
  <c r="J146" i="23" s="1"/>
  <c r="J137" i="25"/>
  <c r="J141" i="25" s="1"/>
  <c r="J146" i="25" s="1"/>
  <c r="K46" i="23"/>
  <c r="R56" i="37"/>
  <c r="K93" i="25"/>
  <c r="K94" i="25" s="1"/>
  <c r="K96" i="25" s="1"/>
  <c r="R44" i="37"/>
  <c r="R42" i="37"/>
  <c r="R43" i="37"/>
  <c r="J62" i="25"/>
  <c r="Q170" i="37"/>
  <c r="R25" i="37"/>
  <c r="R24" i="37"/>
  <c r="R26" i="37"/>
  <c r="J62" i="23"/>
  <c r="Q152" i="37"/>
  <c r="Q83" i="37"/>
  <c r="K77" i="22"/>
  <c r="K76" i="22"/>
  <c r="K42" i="22" s="1"/>
  <c r="J101" i="22"/>
  <c r="P139" i="37"/>
  <c r="Q72" i="37"/>
  <c r="P135" i="37"/>
  <c r="I19" i="11"/>
  <c r="I27" i="11" s="1"/>
  <c r="J96" i="21"/>
  <c r="K77" i="21" s="1"/>
  <c r="P128" i="37"/>
  <c r="P129" i="37"/>
  <c r="P127" i="37"/>
  <c r="P131" i="37"/>
  <c r="P132" i="37"/>
  <c r="P133" i="37"/>
  <c r="J97" i="21"/>
  <c r="J133" i="21" s="1"/>
  <c r="J101" i="21"/>
  <c r="J117" i="21" s="1"/>
  <c r="J136" i="22"/>
  <c r="J140" i="22" s="1"/>
  <c r="J145" i="22" s="1"/>
  <c r="J101" i="30"/>
  <c r="J117" i="30" s="1"/>
  <c r="J52" i="30" s="1"/>
  <c r="J97" i="30"/>
  <c r="J133" i="30" s="1"/>
  <c r="J98" i="30"/>
  <c r="J134" i="30" s="1"/>
  <c r="J99" i="30"/>
  <c r="J135" i="30" s="1"/>
  <c r="P29" i="30"/>
  <c r="P113" i="30"/>
  <c r="P108" i="30"/>
  <c r="P110" i="30"/>
  <c r="P85" i="30"/>
  <c r="P86" i="30"/>
  <c r="P84" i="30"/>
  <c r="Q107" i="22"/>
  <c r="Q109" i="22"/>
  <c r="Q29" i="22"/>
  <c r="Q112" i="22"/>
  <c r="Q83" i="22"/>
  <c r="Q85" i="22"/>
  <c r="Q84" i="22"/>
  <c r="X21" i="23"/>
  <c r="P103" i="22"/>
  <c r="P113" i="22"/>
  <c r="P114" i="22" s="1"/>
  <c r="S22" i="25"/>
  <c r="R22" i="21"/>
  <c r="R23" i="21" s="1"/>
  <c r="Q74" i="21"/>
  <c r="Q106" i="21" s="1"/>
  <c r="J98" i="21"/>
  <c r="J99" i="21"/>
  <c r="P114" i="23"/>
  <c r="P115" i="23" s="1"/>
  <c r="P104" i="23"/>
  <c r="S22" i="22"/>
  <c r="S23" i="22" s="1"/>
  <c r="S22" i="23"/>
  <c r="S23" i="23" s="1"/>
  <c r="K90" i="22"/>
  <c r="K44" i="22"/>
  <c r="U63" i="37"/>
  <c r="K93" i="23"/>
  <c r="K94" i="23" s="1"/>
  <c r="Q110" i="25"/>
  <c r="Q113" i="25"/>
  <c r="Q104" i="25" s="1"/>
  <c r="Q29" i="25"/>
  <c r="Q86" i="25"/>
  <c r="Q84" i="25"/>
  <c r="Q85" i="25"/>
  <c r="P108" i="21"/>
  <c r="P29" i="21"/>
  <c r="P113" i="21"/>
  <c r="P104" i="21" s="1"/>
  <c r="P110" i="21"/>
  <c r="P85" i="21"/>
  <c r="P86" i="21"/>
  <c r="P84" i="21"/>
  <c r="P114" i="25"/>
  <c r="P115" i="25" s="1"/>
  <c r="O114" i="30"/>
  <c r="O115" i="30" s="1"/>
  <c r="O81" i="30"/>
  <c r="Q108" i="23"/>
  <c r="Q110" i="23"/>
  <c r="Q113" i="23"/>
  <c r="Q84" i="23"/>
  <c r="Q86" i="23"/>
  <c r="Q85" i="23"/>
  <c r="K46" i="25"/>
  <c r="W21" i="24"/>
  <c r="J102" i="30"/>
  <c r="K77" i="30"/>
  <c r="K79" i="30"/>
  <c r="K78" i="30"/>
  <c r="J117" i="22"/>
  <c r="J119" i="22"/>
  <c r="Q74" i="30"/>
  <c r="R22" i="30"/>
  <c r="R23" i="30" s="1"/>
  <c r="X21" i="21"/>
  <c r="X21" i="26"/>
  <c r="O114" i="21"/>
  <c r="O115" i="21" s="1"/>
  <c r="O116" i="21" s="1"/>
  <c r="O144" i="21" s="1"/>
  <c r="N45" i="26"/>
  <c r="T49" i="24"/>
  <c r="T49" i="25"/>
  <c r="T49" i="26"/>
  <c r="T49" i="23"/>
  <c r="T49" i="22"/>
  <c r="T49" i="30"/>
  <c r="T49" i="21"/>
  <c r="S23" i="25" l="1"/>
  <c r="S108" i="25" s="1"/>
  <c r="S74" i="25"/>
  <c r="O81" i="24"/>
  <c r="O45" i="24" s="1"/>
  <c r="K79" i="24"/>
  <c r="K77" i="24"/>
  <c r="J102" i="24"/>
  <c r="K78" i="24"/>
  <c r="J98" i="24"/>
  <c r="J134" i="24" s="1"/>
  <c r="J101" i="24"/>
  <c r="J117" i="24" s="1"/>
  <c r="J99" i="24"/>
  <c r="J135" i="24" s="1"/>
  <c r="J97" i="24"/>
  <c r="J133" i="24" s="1"/>
  <c r="R23" i="24"/>
  <c r="S22" i="24"/>
  <c r="O116" i="24"/>
  <c r="O144" i="24" s="1"/>
  <c r="O140" i="24"/>
  <c r="P114" i="24"/>
  <c r="P115" i="24" s="1"/>
  <c r="P104" i="24" s="1"/>
  <c r="P112" i="24" s="1"/>
  <c r="Q113" i="24"/>
  <c r="Q108" i="24"/>
  <c r="Q84" i="24"/>
  <c r="Q29" i="24"/>
  <c r="Q86" i="24"/>
  <c r="Q110" i="24"/>
  <c r="Q85" i="24"/>
  <c r="T9" i="37"/>
  <c r="J118" i="21"/>
  <c r="Q134" i="37" s="1"/>
  <c r="Q129" i="37" s="1"/>
  <c r="J52" i="21"/>
  <c r="J62" i="21" s="1"/>
  <c r="O116" i="26"/>
  <c r="O144" i="26" s="1"/>
  <c r="U9" i="37"/>
  <c r="J147" i="25"/>
  <c r="J147" i="23"/>
  <c r="O140" i="30"/>
  <c r="O116" i="30"/>
  <c r="O144" i="30" s="1"/>
  <c r="P140" i="25"/>
  <c r="P116" i="25"/>
  <c r="P144" i="25" s="1"/>
  <c r="P140" i="23"/>
  <c r="P116" i="23"/>
  <c r="P144" i="23" s="1"/>
  <c r="P139" i="22"/>
  <c r="P115" i="22"/>
  <c r="P143" i="22" s="1"/>
  <c r="I32" i="11"/>
  <c r="I40" i="11" s="1"/>
  <c r="I42" i="11" s="1"/>
  <c r="O140" i="21"/>
  <c r="O112" i="21"/>
  <c r="O81" i="21" s="1"/>
  <c r="P114" i="26"/>
  <c r="P115" i="26" s="1"/>
  <c r="P175" i="37"/>
  <c r="R23" i="26"/>
  <c r="S22" i="26"/>
  <c r="Q84" i="26"/>
  <c r="Q110" i="26"/>
  <c r="Q85" i="26"/>
  <c r="Q29" i="26"/>
  <c r="Q86" i="26"/>
  <c r="Q108" i="26"/>
  <c r="K77" i="26"/>
  <c r="J102" i="26"/>
  <c r="K78" i="26"/>
  <c r="K79" i="26"/>
  <c r="Q113" i="26"/>
  <c r="Q114" i="26" s="1"/>
  <c r="Q115" i="26" s="1"/>
  <c r="J97" i="26"/>
  <c r="J133" i="26" s="1"/>
  <c r="J98" i="26"/>
  <c r="J134" i="26" s="1"/>
  <c r="J99" i="26"/>
  <c r="J135" i="26" s="1"/>
  <c r="J101" i="26"/>
  <c r="J117" i="26" s="1"/>
  <c r="J52" i="26" s="1"/>
  <c r="P171" i="37"/>
  <c r="R29" i="23"/>
  <c r="U18" i="37"/>
  <c r="O45" i="26"/>
  <c r="U45" i="37"/>
  <c r="O81" i="25"/>
  <c r="V45" i="37" s="1"/>
  <c r="O45" i="23"/>
  <c r="U27" i="37"/>
  <c r="V18" i="37"/>
  <c r="O45" i="22"/>
  <c r="P111" i="22"/>
  <c r="P112" i="26"/>
  <c r="P81" i="26" s="1"/>
  <c r="V54" i="37"/>
  <c r="P112" i="25"/>
  <c r="P112" i="23"/>
  <c r="P81" i="23" s="1"/>
  <c r="V31" i="37"/>
  <c r="Q147" i="37"/>
  <c r="Q145" i="37"/>
  <c r="Q146" i="37"/>
  <c r="J33" i="11"/>
  <c r="J36" i="11"/>
  <c r="R55" i="37"/>
  <c r="R57" i="37"/>
  <c r="R87" i="37" s="1"/>
  <c r="K95" i="25"/>
  <c r="K97" i="25" s="1"/>
  <c r="K133" i="25" s="1"/>
  <c r="K88" i="22"/>
  <c r="J23" i="11"/>
  <c r="Q164" i="37"/>
  <c r="Q165" i="37"/>
  <c r="Q163" i="37"/>
  <c r="Q168" i="37"/>
  <c r="Q167" i="37"/>
  <c r="Q169" i="37"/>
  <c r="R48" i="37"/>
  <c r="R46" i="37"/>
  <c r="R47" i="37"/>
  <c r="R96" i="37"/>
  <c r="R37" i="37"/>
  <c r="R39" i="37"/>
  <c r="R38" i="37"/>
  <c r="Q149" i="37"/>
  <c r="Q151" i="37"/>
  <c r="Q150" i="37"/>
  <c r="R29" i="37"/>
  <c r="R30" i="37"/>
  <c r="R28" i="37"/>
  <c r="R94" i="37"/>
  <c r="J102" i="21"/>
  <c r="K43" i="22"/>
  <c r="K46" i="22" s="1"/>
  <c r="K79" i="22"/>
  <c r="R14" i="37" s="1"/>
  <c r="K89" i="22"/>
  <c r="J62" i="22"/>
  <c r="J146" i="22" s="1"/>
  <c r="Q143" i="37"/>
  <c r="K79" i="21"/>
  <c r="K91" i="21" s="1"/>
  <c r="K78" i="21"/>
  <c r="P126" i="37"/>
  <c r="P130" i="37"/>
  <c r="J134" i="21"/>
  <c r="J135" i="21"/>
  <c r="Q113" i="22"/>
  <c r="Q114" i="22" s="1"/>
  <c r="Q103" i="22"/>
  <c r="J118" i="30"/>
  <c r="J120" i="30"/>
  <c r="R74" i="30"/>
  <c r="S22" i="30"/>
  <c r="S23" i="30" s="1"/>
  <c r="K91" i="30"/>
  <c r="K44" i="30"/>
  <c r="Q114" i="23"/>
  <c r="Q115" i="23" s="1"/>
  <c r="Q104" i="23"/>
  <c r="T22" i="23"/>
  <c r="T23" i="23" s="1"/>
  <c r="S22" i="21"/>
  <c r="S23" i="21" s="1"/>
  <c r="R74" i="21"/>
  <c r="R106" i="21" s="1"/>
  <c r="J137" i="30"/>
  <c r="J141" i="30" s="1"/>
  <c r="K80" i="30"/>
  <c r="R59" i="37" s="1"/>
  <c r="R67" i="37" s="1"/>
  <c r="K89" i="30"/>
  <c r="K42" i="30"/>
  <c r="P114" i="21"/>
  <c r="P115" i="21" s="1"/>
  <c r="P116" i="21" s="1"/>
  <c r="P144" i="21" s="1"/>
  <c r="T22" i="25"/>
  <c r="Q110" i="30"/>
  <c r="Q108" i="30"/>
  <c r="Q113" i="30"/>
  <c r="Q29" i="30"/>
  <c r="Q84" i="30"/>
  <c r="Q86" i="30"/>
  <c r="Q85" i="30"/>
  <c r="K89" i="21"/>
  <c r="K42" i="21"/>
  <c r="N45" i="21"/>
  <c r="R29" i="22"/>
  <c r="R109" i="22"/>
  <c r="R107" i="22"/>
  <c r="R112" i="22"/>
  <c r="R85" i="22"/>
  <c r="R83" i="22"/>
  <c r="R84" i="22"/>
  <c r="Q110" i="21"/>
  <c r="Q108" i="21"/>
  <c r="Q29" i="21"/>
  <c r="Q113" i="21"/>
  <c r="Q104" i="21" s="1"/>
  <c r="Q86" i="21"/>
  <c r="Q84" i="21"/>
  <c r="Q85" i="21"/>
  <c r="R110" i="25"/>
  <c r="R29" i="25"/>
  <c r="R113" i="25"/>
  <c r="R104" i="25" s="1"/>
  <c r="R84" i="25"/>
  <c r="R86" i="25"/>
  <c r="R85" i="25"/>
  <c r="Q114" i="25"/>
  <c r="Q115" i="25" s="1"/>
  <c r="L78" i="25"/>
  <c r="L77" i="25"/>
  <c r="L79" i="25"/>
  <c r="K102" i="25"/>
  <c r="K43" i="30"/>
  <c r="K90" i="30"/>
  <c r="X21" i="24"/>
  <c r="K95" i="23"/>
  <c r="K96" i="23"/>
  <c r="N45" i="30"/>
  <c r="R110" i="23"/>
  <c r="R108" i="23"/>
  <c r="R113" i="23"/>
  <c r="R84" i="23"/>
  <c r="R86" i="23"/>
  <c r="R85" i="23"/>
  <c r="T22" i="22"/>
  <c r="T23" i="22" s="1"/>
  <c r="P81" i="30"/>
  <c r="P114" i="30"/>
  <c r="P115" i="30" s="1"/>
  <c r="U49" i="21"/>
  <c r="U49" i="30"/>
  <c r="U49" i="22"/>
  <c r="U49" i="24"/>
  <c r="U49" i="26"/>
  <c r="U49" i="25"/>
  <c r="U49" i="23"/>
  <c r="T23" i="25" l="1"/>
  <c r="T108" i="25" s="1"/>
  <c r="T74" i="25"/>
  <c r="V36" i="37"/>
  <c r="P81" i="24"/>
  <c r="P45" i="24" s="1"/>
  <c r="J137" i="24"/>
  <c r="J141" i="24" s="1"/>
  <c r="J146" i="24" s="1"/>
  <c r="J35" i="11" s="1"/>
  <c r="K90" i="24"/>
  <c r="K43" i="24"/>
  <c r="Q114" i="24"/>
  <c r="Q115" i="24" s="1"/>
  <c r="Q104" i="24" s="1"/>
  <c r="Q112" i="24"/>
  <c r="Q81" i="24" s="1"/>
  <c r="S23" i="24"/>
  <c r="T22" i="24"/>
  <c r="J52" i="24"/>
  <c r="J62" i="24" s="1"/>
  <c r="J118" i="24"/>
  <c r="Q161" i="37" s="1"/>
  <c r="J120" i="24"/>
  <c r="K80" i="24"/>
  <c r="R32" i="37" s="1"/>
  <c r="K42" i="24"/>
  <c r="K89" i="24"/>
  <c r="P116" i="24"/>
  <c r="P144" i="24" s="1"/>
  <c r="P140" i="24"/>
  <c r="R108" i="24"/>
  <c r="R84" i="24"/>
  <c r="R113" i="24"/>
  <c r="R86" i="24"/>
  <c r="R110" i="24"/>
  <c r="R29" i="24"/>
  <c r="R85" i="24"/>
  <c r="K91" i="24"/>
  <c r="K44" i="24"/>
  <c r="J146" i="30"/>
  <c r="J38" i="11" s="1"/>
  <c r="P140" i="30"/>
  <c r="P116" i="30"/>
  <c r="P144" i="30" s="1"/>
  <c r="Q140" i="26"/>
  <c r="Q116" i="26"/>
  <c r="Q144" i="26" s="1"/>
  <c r="P140" i="26"/>
  <c r="P116" i="26"/>
  <c r="P144" i="26" s="1"/>
  <c r="Q140" i="25"/>
  <c r="Q116" i="25"/>
  <c r="Q144" i="25" s="1"/>
  <c r="Q140" i="23"/>
  <c r="Q116" i="23"/>
  <c r="Q144" i="23" s="1"/>
  <c r="Q139" i="22"/>
  <c r="Q115" i="22"/>
  <c r="Q143" i="22" s="1"/>
  <c r="R113" i="26"/>
  <c r="R114" i="26" s="1"/>
  <c r="R115" i="26" s="1"/>
  <c r="Q128" i="37"/>
  <c r="P140" i="21"/>
  <c r="Q127" i="37"/>
  <c r="V9" i="37"/>
  <c r="P112" i="21"/>
  <c r="P81" i="21" s="1"/>
  <c r="Q104" i="26"/>
  <c r="Q112" i="26" s="1"/>
  <c r="Q81" i="26" s="1"/>
  <c r="K91" i="26"/>
  <c r="K44" i="26"/>
  <c r="K43" i="26"/>
  <c r="K90" i="26"/>
  <c r="J137" i="26"/>
  <c r="J141" i="26" s="1"/>
  <c r="J146" i="26" s="1"/>
  <c r="S23" i="26"/>
  <c r="T22" i="26"/>
  <c r="J120" i="26"/>
  <c r="J118" i="26"/>
  <c r="K89" i="26"/>
  <c r="K42" i="26"/>
  <c r="K80" i="26"/>
  <c r="R50" i="37" s="1"/>
  <c r="R110" i="26"/>
  <c r="R84" i="26"/>
  <c r="R108" i="26"/>
  <c r="R85" i="26"/>
  <c r="R29" i="26"/>
  <c r="R86" i="26"/>
  <c r="W36" i="37"/>
  <c r="S29" i="23"/>
  <c r="Q45" i="24"/>
  <c r="P45" i="26"/>
  <c r="P80" i="22"/>
  <c r="P45" i="22" s="1"/>
  <c r="P81" i="25"/>
  <c r="O45" i="25"/>
  <c r="V27" i="37"/>
  <c r="P45" i="23"/>
  <c r="Q111" i="22"/>
  <c r="W54" i="37"/>
  <c r="Q112" i="25"/>
  <c r="Q112" i="23"/>
  <c r="Q81" i="23" s="1"/>
  <c r="O45" i="30"/>
  <c r="V63" i="37"/>
  <c r="R15" i="37"/>
  <c r="R22" i="37"/>
  <c r="O45" i="21"/>
  <c r="J34" i="11"/>
  <c r="J21" i="11"/>
  <c r="K98" i="25"/>
  <c r="K134" i="25" s="1"/>
  <c r="K101" i="25"/>
  <c r="K117" i="25" s="1"/>
  <c r="K99" i="25"/>
  <c r="K135" i="25" s="1"/>
  <c r="R75" i="37"/>
  <c r="Q162" i="37"/>
  <c r="K92" i="22"/>
  <c r="K93" i="22" s="1"/>
  <c r="K94" i="22" s="1"/>
  <c r="J62" i="30"/>
  <c r="J25" i="11" s="1"/>
  <c r="Q188" i="37"/>
  <c r="R62" i="37"/>
  <c r="R60" i="37"/>
  <c r="R61" i="37"/>
  <c r="R86" i="37"/>
  <c r="Q166" i="37"/>
  <c r="R85" i="37"/>
  <c r="R84" i="37"/>
  <c r="R73" i="37"/>
  <c r="Q148" i="37"/>
  <c r="K44" i="21"/>
  <c r="K80" i="21"/>
  <c r="R5" i="37" s="1"/>
  <c r="R13" i="37" s="1"/>
  <c r="R21" i="37"/>
  <c r="R17" i="37"/>
  <c r="R16" i="37"/>
  <c r="J20" i="11"/>
  <c r="Q136" i="37"/>
  <c r="Q137" i="37"/>
  <c r="Q138" i="37"/>
  <c r="Q140" i="37"/>
  <c r="Q141" i="37"/>
  <c r="Q142" i="37"/>
  <c r="J137" i="21"/>
  <c r="J141" i="21" s="1"/>
  <c r="K43" i="21"/>
  <c r="K90" i="21"/>
  <c r="K93" i="21" s="1"/>
  <c r="K94" i="21" s="1"/>
  <c r="Q144" i="37"/>
  <c r="R113" i="22"/>
  <c r="R114" i="22" s="1"/>
  <c r="R103" i="22"/>
  <c r="L43" i="25"/>
  <c r="L90" i="25"/>
  <c r="R104" i="26"/>
  <c r="U22" i="25"/>
  <c r="S74" i="21"/>
  <c r="S106" i="21" s="1"/>
  <c r="T22" i="21"/>
  <c r="T23" i="21" s="1"/>
  <c r="R104" i="23"/>
  <c r="R114" i="23"/>
  <c r="R115" i="23" s="1"/>
  <c r="L89" i="25"/>
  <c r="L80" i="25"/>
  <c r="S41" i="37" s="1"/>
  <c r="S49" i="37" s="1"/>
  <c r="L42" i="25"/>
  <c r="S110" i="25"/>
  <c r="S113" i="25"/>
  <c r="S104" i="25" s="1"/>
  <c r="S29" i="25"/>
  <c r="S84" i="25"/>
  <c r="S86" i="25"/>
  <c r="S85" i="25"/>
  <c r="S109" i="22"/>
  <c r="S107" i="22"/>
  <c r="S29" i="22"/>
  <c r="S112" i="22"/>
  <c r="S83" i="22"/>
  <c r="S84" i="22"/>
  <c r="S85" i="22"/>
  <c r="Q81" i="30"/>
  <c r="Q114" i="30"/>
  <c r="Q115" i="30" s="1"/>
  <c r="K46" i="30"/>
  <c r="S110" i="23"/>
  <c r="S113" i="23"/>
  <c r="S108" i="23"/>
  <c r="S85" i="23"/>
  <c r="S86" i="23"/>
  <c r="S84" i="23"/>
  <c r="R110" i="30"/>
  <c r="R108" i="30"/>
  <c r="R113" i="30"/>
  <c r="R29" i="30"/>
  <c r="R84" i="30"/>
  <c r="R85" i="30"/>
  <c r="R86" i="30"/>
  <c r="K97" i="23"/>
  <c r="K133" i="23" s="1"/>
  <c r="K101" i="23"/>
  <c r="K117" i="23" s="1"/>
  <c r="K52" i="23" s="1"/>
  <c r="K99" i="23"/>
  <c r="K135" i="23" s="1"/>
  <c r="K98" i="23"/>
  <c r="K134" i="23" s="1"/>
  <c r="T22" i="30"/>
  <c r="T23" i="30" s="1"/>
  <c r="S74" i="30"/>
  <c r="U22" i="22"/>
  <c r="U23" i="22" s="1"/>
  <c r="L77" i="23"/>
  <c r="L79" i="23"/>
  <c r="K102" i="23"/>
  <c r="L78" i="23"/>
  <c r="L44" i="25"/>
  <c r="L91" i="25"/>
  <c r="R114" i="25"/>
  <c r="R115" i="25" s="1"/>
  <c r="Q114" i="21"/>
  <c r="Q115" i="21" s="1"/>
  <c r="Q116" i="21" s="1"/>
  <c r="Q144" i="21" s="1"/>
  <c r="K93" i="30"/>
  <c r="K94" i="30" s="1"/>
  <c r="R108" i="21"/>
  <c r="R110" i="21"/>
  <c r="R113" i="21"/>
  <c r="R104" i="21" s="1"/>
  <c r="R29" i="21"/>
  <c r="R85" i="21"/>
  <c r="R84" i="21"/>
  <c r="R86" i="21"/>
  <c r="U22" i="23"/>
  <c r="U23" i="23" s="1"/>
  <c r="V49" i="22"/>
  <c r="V49" i="26"/>
  <c r="V49" i="23"/>
  <c r="V49" i="24"/>
  <c r="V49" i="25"/>
  <c r="V49" i="30"/>
  <c r="V49" i="21"/>
  <c r="U23" i="25" l="1"/>
  <c r="U108" i="25" s="1"/>
  <c r="U74" i="25"/>
  <c r="X36" i="37"/>
  <c r="J147" i="24"/>
  <c r="K46" i="24"/>
  <c r="Q140" i="24"/>
  <c r="Q116" i="24"/>
  <c r="Q144" i="24" s="1"/>
  <c r="R40" i="37"/>
  <c r="R35" i="37"/>
  <c r="R33" i="37"/>
  <c r="R34" i="37"/>
  <c r="T23" i="24"/>
  <c r="U22" i="24"/>
  <c r="K93" i="24"/>
  <c r="K94" i="24" s="1"/>
  <c r="Q154" i="37"/>
  <c r="Q160" i="37"/>
  <c r="Q156" i="37"/>
  <c r="Q159" i="37"/>
  <c r="Q155" i="37"/>
  <c r="Q158" i="37"/>
  <c r="J22" i="11"/>
  <c r="R114" i="24"/>
  <c r="R115" i="24" s="1"/>
  <c r="R104" i="24" s="1"/>
  <c r="R112" i="24" s="1"/>
  <c r="R81" i="24" s="1"/>
  <c r="R45" i="24" s="1"/>
  <c r="S110" i="24"/>
  <c r="S85" i="24"/>
  <c r="S29" i="24"/>
  <c r="S86" i="24"/>
  <c r="S113" i="24"/>
  <c r="S84" i="24"/>
  <c r="S108" i="24"/>
  <c r="K118" i="25"/>
  <c r="R170" i="37" s="1"/>
  <c r="K52" i="25"/>
  <c r="W9" i="37"/>
  <c r="S113" i="26"/>
  <c r="S104" i="26" s="1"/>
  <c r="J147" i="30"/>
  <c r="Q140" i="30"/>
  <c r="Q116" i="30"/>
  <c r="Q144" i="30" s="1"/>
  <c r="R140" i="26"/>
  <c r="R116" i="26"/>
  <c r="R144" i="26" s="1"/>
  <c r="R140" i="25"/>
  <c r="R116" i="25"/>
  <c r="R144" i="25" s="1"/>
  <c r="R140" i="23"/>
  <c r="R116" i="23"/>
  <c r="R144" i="23" s="1"/>
  <c r="Q126" i="37"/>
  <c r="R139" i="22"/>
  <c r="R115" i="22"/>
  <c r="R143" i="22" s="1"/>
  <c r="Q140" i="21"/>
  <c r="Q112" i="21"/>
  <c r="Q81" i="21" s="1"/>
  <c r="X9" i="37" s="1"/>
  <c r="J146" i="21"/>
  <c r="J32" i="11" s="1"/>
  <c r="K93" i="26"/>
  <c r="K94" i="26" s="1"/>
  <c r="K95" i="26" s="1"/>
  <c r="R52" i="37"/>
  <c r="R53" i="37"/>
  <c r="R51" i="37"/>
  <c r="R58" i="37"/>
  <c r="T23" i="26"/>
  <c r="U22" i="26"/>
  <c r="S29" i="26"/>
  <c r="S85" i="26"/>
  <c r="S110" i="26"/>
  <c r="S86" i="26"/>
  <c r="S108" i="26"/>
  <c r="S84" i="26"/>
  <c r="K46" i="26"/>
  <c r="Q179" i="37"/>
  <c r="J62" i="26"/>
  <c r="J24" i="11" s="1"/>
  <c r="J37" i="11"/>
  <c r="W18" i="37"/>
  <c r="T29" i="23"/>
  <c r="Q81" i="25"/>
  <c r="X45" i="37" s="1"/>
  <c r="P45" i="25"/>
  <c r="W45" i="37"/>
  <c r="Q80" i="22"/>
  <c r="Q45" i="22" s="1"/>
  <c r="R111" i="22"/>
  <c r="R80" i="22" s="1"/>
  <c r="Q45" i="26"/>
  <c r="W27" i="37"/>
  <c r="W29" i="37" s="1"/>
  <c r="R112" i="23"/>
  <c r="R81" i="23" s="1"/>
  <c r="Q45" i="23"/>
  <c r="R112" i="26"/>
  <c r="R81" i="26" s="1"/>
  <c r="X54" i="37"/>
  <c r="R112" i="25"/>
  <c r="P45" i="30"/>
  <c r="W63" i="37"/>
  <c r="J19" i="11"/>
  <c r="K137" i="25"/>
  <c r="K141" i="25" s="1"/>
  <c r="K146" i="25" s="1"/>
  <c r="K120" i="25"/>
  <c r="K95" i="22"/>
  <c r="K101" i="22" s="1"/>
  <c r="R19" i="37"/>
  <c r="R98" i="37"/>
  <c r="R77" i="37"/>
  <c r="Q186" i="37"/>
  <c r="Q183" i="37"/>
  <c r="Q187" i="37"/>
  <c r="Q181" i="37"/>
  <c r="Q182" i="37"/>
  <c r="Q185" i="37"/>
  <c r="K62" i="25"/>
  <c r="S44" i="37"/>
  <c r="S43" i="37"/>
  <c r="S42" i="37"/>
  <c r="R20" i="37"/>
  <c r="R72" i="37" s="1"/>
  <c r="K46" i="21"/>
  <c r="R93" i="37"/>
  <c r="Q135" i="37"/>
  <c r="Q139" i="37"/>
  <c r="K137" i="23"/>
  <c r="K141" i="23" s="1"/>
  <c r="K146" i="23" s="1"/>
  <c r="R114" i="21"/>
  <c r="R115" i="21" s="1"/>
  <c r="R116" i="21" s="1"/>
  <c r="R144" i="21" s="1"/>
  <c r="K100" i="22"/>
  <c r="K116" i="22" s="1"/>
  <c r="K52" i="22" s="1"/>
  <c r="K98" i="22"/>
  <c r="K134" i="22" s="1"/>
  <c r="K96" i="22"/>
  <c r="K132" i="22" s="1"/>
  <c r="K97" i="22"/>
  <c r="K133" i="22" s="1"/>
  <c r="T110" i="23"/>
  <c r="T108" i="23"/>
  <c r="T113" i="23"/>
  <c r="T86" i="23"/>
  <c r="T84" i="23"/>
  <c r="T85" i="23"/>
  <c r="L43" i="23"/>
  <c r="L90" i="23"/>
  <c r="T109" i="22"/>
  <c r="T107" i="22"/>
  <c r="T29" i="22"/>
  <c r="T112" i="22"/>
  <c r="T83" i="22"/>
  <c r="T84" i="22"/>
  <c r="T85" i="22"/>
  <c r="S110" i="30"/>
  <c r="S108" i="30"/>
  <c r="S29" i="30"/>
  <c r="S113" i="30"/>
  <c r="S86" i="30"/>
  <c r="S85" i="30"/>
  <c r="S84" i="30"/>
  <c r="S114" i="23"/>
  <c r="S115" i="23" s="1"/>
  <c r="S104" i="23"/>
  <c r="S114" i="25"/>
  <c r="S115" i="25" s="1"/>
  <c r="T110" i="25"/>
  <c r="T29" i="25"/>
  <c r="T113" i="25"/>
  <c r="T104" i="25" s="1"/>
  <c r="T85" i="25"/>
  <c r="T84" i="25"/>
  <c r="T86" i="25"/>
  <c r="L42" i="23"/>
  <c r="L89" i="23"/>
  <c r="L80" i="23"/>
  <c r="S23" i="37" s="1"/>
  <c r="V22" i="22"/>
  <c r="V23" i="22" s="1"/>
  <c r="S113" i="22"/>
  <c r="S114" i="22" s="1"/>
  <c r="S103" i="22"/>
  <c r="L46" i="25"/>
  <c r="S108" i="21"/>
  <c r="S110" i="21"/>
  <c r="S29" i="21"/>
  <c r="S113" i="21"/>
  <c r="S104" i="21" s="1"/>
  <c r="S84" i="21"/>
  <c r="S85" i="21"/>
  <c r="S86" i="21"/>
  <c r="T74" i="30"/>
  <c r="U22" i="30"/>
  <c r="U23" i="30" s="1"/>
  <c r="L93" i="25"/>
  <c r="L94" i="25" s="1"/>
  <c r="V22" i="25"/>
  <c r="V22" i="23"/>
  <c r="V23" i="23" s="1"/>
  <c r="K95" i="30"/>
  <c r="K96" i="30"/>
  <c r="K118" i="23"/>
  <c r="K120" i="23"/>
  <c r="P45" i="21"/>
  <c r="L91" i="23"/>
  <c r="L44" i="23"/>
  <c r="R81" i="30"/>
  <c r="R114" i="30"/>
  <c r="R115" i="30" s="1"/>
  <c r="U22" i="21"/>
  <c r="U23" i="21" s="1"/>
  <c r="T74" i="21"/>
  <c r="T106" i="21" s="1"/>
  <c r="K95" i="21"/>
  <c r="K96" i="21"/>
  <c r="L78" i="21" s="1"/>
  <c r="W49" i="21"/>
  <c r="W49" i="30"/>
  <c r="W49" i="25"/>
  <c r="W49" i="24"/>
  <c r="W49" i="23"/>
  <c r="W49" i="26"/>
  <c r="W49" i="22"/>
  <c r="S114" i="26" l="1"/>
  <c r="S115" i="26" s="1"/>
  <c r="V23" i="25"/>
  <c r="V108" i="25" s="1"/>
  <c r="V74" i="25"/>
  <c r="Y36" i="37"/>
  <c r="R140" i="24"/>
  <c r="R116" i="24"/>
  <c r="R144" i="24" s="1"/>
  <c r="K96" i="24"/>
  <c r="K95" i="24"/>
  <c r="U23" i="24"/>
  <c r="V22" i="24"/>
  <c r="S114" i="24"/>
  <c r="S115" i="24" s="1"/>
  <c r="S104" i="24" s="1"/>
  <c r="S112" i="24" s="1"/>
  <c r="S81" i="24" s="1"/>
  <c r="S45" i="24" s="1"/>
  <c r="Q157" i="37"/>
  <c r="T29" i="24"/>
  <c r="T85" i="24"/>
  <c r="T108" i="24"/>
  <c r="T84" i="24"/>
  <c r="T113" i="24"/>
  <c r="T110" i="24"/>
  <c r="T86" i="24"/>
  <c r="R68" i="37"/>
  <c r="Q153" i="37"/>
  <c r="R95" i="37"/>
  <c r="R74" i="37"/>
  <c r="T113" i="26"/>
  <c r="T114" i="26" s="1"/>
  <c r="T115" i="26" s="1"/>
  <c r="K147" i="25"/>
  <c r="J147" i="26"/>
  <c r="R140" i="30"/>
  <c r="R116" i="30"/>
  <c r="R144" i="30" s="1"/>
  <c r="S140" i="26"/>
  <c r="S116" i="26"/>
  <c r="S144" i="26" s="1"/>
  <c r="S140" i="25"/>
  <c r="S116" i="25"/>
  <c r="S144" i="25" s="1"/>
  <c r="S140" i="23"/>
  <c r="S116" i="23"/>
  <c r="S144" i="23" s="1"/>
  <c r="S139" i="22"/>
  <c r="S115" i="22"/>
  <c r="S143" i="22" s="1"/>
  <c r="Q45" i="21"/>
  <c r="R112" i="21"/>
  <c r="R81" i="21" s="1"/>
  <c r="R45" i="21" s="1"/>
  <c r="K96" i="26"/>
  <c r="L78" i="26" s="1"/>
  <c r="J147" i="21"/>
  <c r="R140" i="21"/>
  <c r="J40" i="11"/>
  <c r="U23" i="26"/>
  <c r="V22" i="26"/>
  <c r="T29" i="26"/>
  <c r="T84" i="26"/>
  <c r="T108" i="26"/>
  <c r="T86" i="26"/>
  <c r="T110" i="26"/>
  <c r="T85" i="26"/>
  <c r="J27" i="11"/>
  <c r="Q176" i="37"/>
  <c r="Q172" i="37"/>
  <c r="Q177" i="37"/>
  <c r="Q174" i="37"/>
  <c r="Q178" i="37"/>
  <c r="Q173" i="37"/>
  <c r="Q189" i="37"/>
  <c r="K97" i="26"/>
  <c r="K133" i="26" s="1"/>
  <c r="K99" i="26"/>
  <c r="K135" i="26" s="1"/>
  <c r="K98" i="26"/>
  <c r="K134" i="26" s="1"/>
  <c r="K101" i="26"/>
  <c r="K117" i="26" s="1"/>
  <c r="K52" i="26" s="1"/>
  <c r="R97" i="37"/>
  <c r="R76" i="37"/>
  <c r="U29" i="23"/>
  <c r="R45" i="26"/>
  <c r="R45" i="22"/>
  <c r="Y18" i="37"/>
  <c r="S111" i="22"/>
  <c r="S80" i="22" s="1"/>
  <c r="Z18" i="37" s="1"/>
  <c r="X18" i="37"/>
  <c r="R81" i="25"/>
  <c r="Y45" i="37" s="1"/>
  <c r="Q45" i="25"/>
  <c r="X27" i="37"/>
  <c r="R45" i="23"/>
  <c r="S112" i="26"/>
  <c r="S81" i="26" s="1"/>
  <c r="Y54" i="37"/>
  <c r="S112" i="25"/>
  <c r="S112" i="23"/>
  <c r="S81" i="23" s="1"/>
  <c r="Q45" i="30"/>
  <c r="X63" i="37"/>
  <c r="K36" i="11"/>
  <c r="L76" i="22"/>
  <c r="L88" i="22" s="1"/>
  <c r="K23" i="11"/>
  <c r="L78" i="22"/>
  <c r="L44" i="22" s="1"/>
  <c r="L77" i="22"/>
  <c r="L43" i="22" s="1"/>
  <c r="R83" i="37"/>
  <c r="Q184" i="37"/>
  <c r="Q180" i="37"/>
  <c r="S96" i="37"/>
  <c r="S48" i="37"/>
  <c r="S46" i="37"/>
  <c r="S47" i="37"/>
  <c r="R164" i="37"/>
  <c r="R165" i="37"/>
  <c r="R163" i="37"/>
  <c r="R168" i="37"/>
  <c r="R169" i="37"/>
  <c r="R167" i="37"/>
  <c r="S26" i="37"/>
  <c r="S24" i="37"/>
  <c r="S25" i="37"/>
  <c r="K62" i="23"/>
  <c r="K147" i="23" s="1"/>
  <c r="R152" i="37"/>
  <c r="S55" i="37"/>
  <c r="S56" i="37"/>
  <c r="S57" i="37"/>
  <c r="K34" i="11"/>
  <c r="K136" i="22"/>
  <c r="K140" i="22" s="1"/>
  <c r="K145" i="22" s="1"/>
  <c r="W22" i="25"/>
  <c r="W22" i="22"/>
  <c r="W23" i="22" s="1"/>
  <c r="T104" i="23"/>
  <c r="T114" i="23"/>
  <c r="T115" i="23" s="1"/>
  <c r="V22" i="21"/>
  <c r="V23" i="21" s="1"/>
  <c r="U74" i="21"/>
  <c r="U106" i="21" s="1"/>
  <c r="U110" i="25"/>
  <c r="U113" i="25"/>
  <c r="U104" i="25" s="1"/>
  <c r="U29" i="25"/>
  <c r="U85" i="25"/>
  <c r="U84" i="25"/>
  <c r="U86" i="25"/>
  <c r="S114" i="21"/>
  <c r="S115" i="21" s="1"/>
  <c r="S116" i="21" s="1"/>
  <c r="S144" i="21" s="1"/>
  <c r="T103" i="22"/>
  <c r="T113" i="22"/>
  <c r="T114" i="22" s="1"/>
  <c r="K102" i="21"/>
  <c r="L79" i="21"/>
  <c r="L77" i="21"/>
  <c r="T108" i="21"/>
  <c r="T110" i="21"/>
  <c r="T113" i="21"/>
  <c r="T104" i="21" s="1"/>
  <c r="T29" i="21"/>
  <c r="T85" i="21"/>
  <c r="T86" i="21"/>
  <c r="T84" i="21"/>
  <c r="W22" i="23"/>
  <c r="W23" i="23" s="1"/>
  <c r="U74" i="30"/>
  <c r="V22" i="30"/>
  <c r="V23" i="30" s="1"/>
  <c r="L93" i="23"/>
  <c r="L94" i="23" s="1"/>
  <c r="K117" i="22"/>
  <c r="K119" i="22"/>
  <c r="K98" i="30"/>
  <c r="K134" i="30" s="1"/>
  <c r="K99" i="30"/>
  <c r="K135" i="30" s="1"/>
  <c r="K101" i="30"/>
  <c r="K117" i="30" s="1"/>
  <c r="K52" i="30" s="1"/>
  <c r="K97" i="30"/>
  <c r="K133" i="30" s="1"/>
  <c r="T110" i="30"/>
  <c r="T108" i="30"/>
  <c r="T29" i="30"/>
  <c r="T113" i="30"/>
  <c r="T84" i="30"/>
  <c r="T86" i="30"/>
  <c r="T85" i="30"/>
  <c r="K99" i="21"/>
  <c r="K101" i="21"/>
  <c r="K117" i="21" s="1"/>
  <c r="K98" i="21"/>
  <c r="K97" i="21"/>
  <c r="K102" i="30"/>
  <c r="L77" i="30"/>
  <c r="L79" i="30"/>
  <c r="L78" i="30"/>
  <c r="U110" i="23"/>
  <c r="U108" i="23"/>
  <c r="U113" i="23"/>
  <c r="U86" i="23"/>
  <c r="U84" i="23"/>
  <c r="U85" i="23"/>
  <c r="L95" i="25"/>
  <c r="L96" i="25"/>
  <c r="U109" i="22"/>
  <c r="U29" i="22"/>
  <c r="U112" i="22"/>
  <c r="U107" i="22"/>
  <c r="U83" i="22"/>
  <c r="U84" i="22"/>
  <c r="U85" i="22"/>
  <c r="L46" i="23"/>
  <c r="T114" i="25"/>
  <c r="T115" i="25" s="1"/>
  <c r="S81" i="30"/>
  <c r="S114" i="30"/>
  <c r="S115" i="30" s="1"/>
  <c r="X49" i="24"/>
  <c r="X49" i="22"/>
  <c r="X49" i="25"/>
  <c r="X49" i="30"/>
  <c r="X49" i="26"/>
  <c r="X49" i="23"/>
  <c r="X49" i="21"/>
  <c r="L79" i="26" l="1"/>
  <c r="L91" i="26" s="1"/>
  <c r="U113" i="26"/>
  <c r="T104" i="26"/>
  <c r="T112" i="26" s="1"/>
  <c r="T81" i="26" s="1"/>
  <c r="W23" i="25"/>
  <c r="W108" i="25" s="1"/>
  <c r="W74" i="25"/>
  <c r="V23" i="24"/>
  <c r="W22" i="24"/>
  <c r="Z36" i="37"/>
  <c r="S140" i="24"/>
  <c r="S116" i="24"/>
  <c r="S144" i="24" s="1"/>
  <c r="K99" i="24"/>
  <c r="K135" i="24" s="1"/>
  <c r="K101" i="24"/>
  <c r="K117" i="24" s="1"/>
  <c r="K98" i="24"/>
  <c r="K134" i="24" s="1"/>
  <c r="K97" i="24"/>
  <c r="K133" i="24" s="1"/>
  <c r="L78" i="24"/>
  <c r="K102" i="24"/>
  <c r="L77" i="24"/>
  <c r="L79" i="24"/>
  <c r="T114" i="24"/>
  <c r="T115" i="24" s="1"/>
  <c r="T104" i="24" s="1"/>
  <c r="T112" i="24" s="1"/>
  <c r="T81" i="24" s="1"/>
  <c r="T45" i="24" s="1"/>
  <c r="U29" i="24"/>
  <c r="U84" i="24"/>
  <c r="U86" i="24"/>
  <c r="U108" i="24"/>
  <c r="U85" i="24"/>
  <c r="U113" i="24"/>
  <c r="U110" i="24"/>
  <c r="K118" i="21"/>
  <c r="R134" i="37" s="1"/>
  <c r="K52" i="21"/>
  <c r="K62" i="21" s="1"/>
  <c r="Y9" i="37"/>
  <c r="S140" i="30"/>
  <c r="S116" i="30"/>
  <c r="S144" i="30" s="1"/>
  <c r="T140" i="26"/>
  <c r="T116" i="26"/>
  <c r="T144" i="26" s="1"/>
  <c r="T140" i="25"/>
  <c r="T116" i="25"/>
  <c r="T144" i="25" s="1"/>
  <c r="T140" i="23"/>
  <c r="T116" i="23"/>
  <c r="T144" i="23" s="1"/>
  <c r="T139" i="22"/>
  <c r="T115" i="22"/>
  <c r="T143" i="22" s="1"/>
  <c r="S112" i="21"/>
  <c r="S81" i="21" s="1"/>
  <c r="Z9" i="37" s="1"/>
  <c r="K102" i="26"/>
  <c r="L77" i="26"/>
  <c r="L42" i="26" s="1"/>
  <c r="S140" i="21"/>
  <c r="J42" i="11"/>
  <c r="K118" i="26"/>
  <c r="K120" i="26"/>
  <c r="Q171" i="37"/>
  <c r="Q190" i="37" s="1"/>
  <c r="Q175" i="37"/>
  <c r="L43" i="26"/>
  <c r="L90" i="26"/>
  <c r="V23" i="26"/>
  <c r="W22" i="26"/>
  <c r="K137" i="26"/>
  <c r="K141" i="26" s="1"/>
  <c r="K146" i="26" s="1"/>
  <c r="U29" i="26"/>
  <c r="U86" i="26"/>
  <c r="U110" i="26"/>
  <c r="U84" i="26"/>
  <c r="U108" i="26"/>
  <c r="U85" i="26"/>
  <c r="V29" i="23"/>
  <c r="S45" i="26"/>
  <c r="S81" i="25"/>
  <c r="Z45" i="37" s="1"/>
  <c r="R45" i="25"/>
  <c r="S45" i="22"/>
  <c r="S45" i="23"/>
  <c r="Y27" i="37"/>
  <c r="Z54" i="37"/>
  <c r="T112" i="25"/>
  <c r="T112" i="23"/>
  <c r="T81" i="23" s="1"/>
  <c r="T111" i="22"/>
  <c r="T80" i="22" s="1"/>
  <c r="R45" i="30"/>
  <c r="Y63" i="37"/>
  <c r="R146" i="37"/>
  <c r="R147" i="37"/>
  <c r="R145" i="37"/>
  <c r="L42" i="22"/>
  <c r="L46" i="22" s="1"/>
  <c r="K21" i="11"/>
  <c r="L89" i="22"/>
  <c r="L79" i="22"/>
  <c r="S14" i="37" s="1"/>
  <c r="L90" i="22"/>
  <c r="R166" i="37"/>
  <c r="S75" i="37"/>
  <c r="S86" i="37"/>
  <c r="R162" i="37"/>
  <c r="S37" i="37"/>
  <c r="S38" i="37"/>
  <c r="S39" i="37"/>
  <c r="S28" i="37"/>
  <c r="S29" i="37"/>
  <c r="S30" i="37"/>
  <c r="R149" i="37"/>
  <c r="R150" i="37"/>
  <c r="R151" i="37"/>
  <c r="S94" i="37"/>
  <c r="K62" i="22"/>
  <c r="K146" i="22" s="1"/>
  <c r="R143" i="37"/>
  <c r="K135" i="21"/>
  <c r="K133" i="21"/>
  <c r="K134" i="21"/>
  <c r="S87" i="37"/>
  <c r="K33" i="11"/>
  <c r="K137" i="30"/>
  <c r="K141" i="30" s="1"/>
  <c r="L42" i="21"/>
  <c r="L80" i="21"/>
  <c r="S5" i="37" s="1"/>
  <c r="S13" i="37" s="1"/>
  <c r="L89" i="21"/>
  <c r="X22" i="25"/>
  <c r="U114" i="23"/>
  <c r="U115" i="23" s="1"/>
  <c r="U104" i="23"/>
  <c r="K118" i="30"/>
  <c r="K120" i="30"/>
  <c r="V74" i="30"/>
  <c r="W22" i="30"/>
  <c r="W23" i="30" s="1"/>
  <c r="V110" i="23"/>
  <c r="V108" i="23"/>
  <c r="V113" i="23"/>
  <c r="V86" i="23"/>
  <c r="V84" i="23"/>
  <c r="V85" i="23"/>
  <c r="L44" i="21"/>
  <c r="L91" i="21"/>
  <c r="V110" i="25"/>
  <c r="V29" i="25"/>
  <c r="V113" i="25"/>
  <c r="V104" i="25" s="1"/>
  <c r="V86" i="25"/>
  <c r="V85" i="25"/>
  <c r="V84" i="25"/>
  <c r="L89" i="30"/>
  <c r="L42" i="30"/>
  <c r="L80" i="30"/>
  <c r="S59" i="37" s="1"/>
  <c r="S67" i="37" s="1"/>
  <c r="U104" i="26"/>
  <c r="U114" i="26"/>
  <c r="U115" i="26" s="1"/>
  <c r="U103" i="22"/>
  <c r="U113" i="22"/>
  <c r="U114" i="22" s="1"/>
  <c r="M79" i="25"/>
  <c r="L102" i="25"/>
  <c r="M78" i="25"/>
  <c r="M77" i="25"/>
  <c r="L90" i="30"/>
  <c r="L43" i="30"/>
  <c r="L95" i="23"/>
  <c r="L96" i="23"/>
  <c r="X22" i="23"/>
  <c r="X23" i="23" s="1"/>
  <c r="T114" i="21"/>
  <c r="T115" i="21" s="1"/>
  <c r="T116" i="21" s="1"/>
  <c r="T144" i="21" s="1"/>
  <c r="L43" i="21"/>
  <c r="L90" i="21"/>
  <c r="V109" i="22"/>
  <c r="V29" i="22"/>
  <c r="V107" i="22"/>
  <c r="V112" i="22"/>
  <c r="V83" i="22"/>
  <c r="V85" i="22"/>
  <c r="V84" i="22"/>
  <c r="W22" i="21"/>
  <c r="W23" i="21" s="1"/>
  <c r="V74" i="21"/>
  <c r="V106" i="21" s="1"/>
  <c r="L98" i="25"/>
  <c r="L134" i="25" s="1"/>
  <c r="L101" i="25"/>
  <c r="L117" i="25" s="1"/>
  <c r="L52" i="25" s="1"/>
  <c r="L99" i="25"/>
  <c r="L135" i="25" s="1"/>
  <c r="L97" i="25"/>
  <c r="L133" i="25" s="1"/>
  <c r="L44" i="30"/>
  <c r="L91" i="30"/>
  <c r="T81" i="30"/>
  <c r="T114" i="30"/>
  <c r="T115" i="30" s="1"/>
  <c r="U110" i="30"/>
  <c r="U108" i="30"/>
  <c r="U29" i="30"/>
  <c r="U113" i="30"/>
  <c r="U86" i="30"/>
  <c r="U85" i="30"/>
  <c r="U84" i="30"/>
  <c r="U114" i="25"/>
  <c r="U115" i="25" s="1"/>
  <c r="U108" i="21"/>
  <c r="U110" i="21"/>
  <c r="U29" i="21"/>
  <c r="U113" i="21"/>
  <c r="U104" i="21" s="1"/>
  <c r="U85" i="21"/>
  <c r="U84" i="21"/>
  <c r="U86" i="21"/>
  <c r="X22" i="22"/>
  <c r="X23" i="22" s="1"/>
  <c r="L44" i="26" l="1"/>
  <c r="L46" i="26" s="1"/>
  <c r="X23" i="25"/>
  <c r="X108" i="25" s="1"/>
  <c r="X74" i="25"/>
  <c r="L80" i="24"/>
  <c r="S32" i="37" s="1"/>
  <c r="L89" i="24"/>
  <c r="L42" i="24"/>
  <c r="K52" i="24"/>
  <c r="K62" i="24" s="1"/>
  <c r="K118" i="24"/>
  <c r="R161" i="37" s="1"/>
  <c r="K120" i="24"/>
  <c r="T140" i="24"/>
  <c r="T116" i="24"/>
  <c r="T144" i="24" s="1"/>
  <c r="L90" i="24"/>
  <c r="L43" i="24"/>
  <c r="W23" i="24"/>
  <c r="X22" i="24"/>
  <c r="X23" i="24" s="1"/>
  <c r="AA36" i="37"/>
  <c r="U114" i="24"/>
  <c r="U115" i="24" s="1"/>
  <c r="U104" i="24" s="1"/>
  <c r="U112" i="24" s="1"/>
  <c r="U81" i="24" s="1"/>
  <c r="U45" i="24" s="1"/>
  <c r="L91" i="24"/>
  <c r="L44" i="24"/>
  <c r="K137" i="24"/>
  <c r="K141" i="24" s="1"/>
  <c r="K146" i="24" s="1"/>
  <c r="K35" i="11" s="1"/>
  <c r="V110" i="24"/>
  <c r="V86" i="24"/>
  <c r="V29" i="24"/>
  <c r="V84" i="24"/>
  <c r="V113" i="24"/>
  <c r="V85" i="24"/>
  <c r="V108" i="24"/>
  <c r="S45" i="21"/>
  <c r="K146" i="30"/>
  <c r="T140" i="30"/>
  <c r="T116" i="30"/>
  <c r="T144" i="30" s="1"/>
  <c r="U140" i="26"/>
  <c r="U116" i="26"/>
  <c r="U144" i="26" s="1"/>
  <c r="U140" i="25"/>
  <c r="U116" i="25"/>
  <c r="U144" i="25" s="1"/>
  <c r="L80" i="26"/>
  <c r="S50" i="37" s="1"/>
  <c r="S51" i="37" s="1"/>
  <c r="U140" i="23"/>
  <c r="U116" i="23"/>
  <c r="U144" i="23" s="1"/>
  <c r="T112" i="21"/>
  <c r="T81" i="21" s="1"/>
  <c r="T45" i="21" s="1"/>
  <c r="U139" i="22"/>
  <c r="U115" i="22"/>
  <c r="U143" i="22" s="1"/>
  <c r="L89" i="26"/>
  <c r="L93" i="26" s="1"/>
  <c r="L94" i="26" s="1"/>
  <c r="T140" i="21"/>
  <c r="W23" i="26"/>
  <c r="X22" i="26"/>
  <c r="X23" i="26" s="1"/>
  <c r="V29" i="26"/>
  <c r="V84" i="26"/>
  <c r="V110" i="26"/>
  <c r="V85" i="26"/>
  <c r="V108" i="26"/>
  <c r="V86" i="26"/>
  <c r="V113" i="26"/>
  <c r="V114" i="26" s="1"/>
  <c r="V115" i="26" s="1"/>
  <c r="K37" i="11"/>
  <c r="R179" i="37"/>
  <c r="K62" i="26"/>
  <c r="K24" i="11" s="1"/>
  <c r="W29" i="23"/>
  <c r="T45" i="26"/>
  <c r="T81" i="25"/>
  <c r="AA45" i="37" s="1"/>
  <c r="S45" i="25"/>
  <c r="Z27" i="37"/>
  <c r="U112" i="23"/>
  <c r="U81" i="23" s="1"/>
  <c r="T45" i="23"/>
  <c r="T45" i="22"/>
  <c r="U112" i="26"/>
  <c r="U81" i="26" s="1"/>
  <c r="U45" i="26" s="1"/>
  <c r="AA54" i="37"/>
  <c r="U112" i="25"/>
  <c r="AA27" i="37"/>
  <c r="U111" i="22"/>
  <c r="U80" i="22" s="1"/>
  <c r="S45" i="30"/>
  <c r="Z63" i="37"/>
  <c r="S15" i="37"/>
  <c r="S22" i="37"/>
  <c r="S19" i="37"/>
  <c r="L92" i="22"/>
  <c r="L93" i="22" s="1"/>
  <c r="L95" i="22" s="1"/>
  <c r="S16" i="37"/>
  <c r="S17" i="37"/>
  <c r="S73" i="37"/>
  <c r="S61" i="37"/>
  <c r="S60" i="37"/>
  <c r="S62" i="37"/>
  <c r="K62" i="30"/>
  <c r="K25" i="11" s="1"/>
  <c r="R188" i="37"/>
  <c r="S85" i="37"/>
  <c r="R148" i="37"/>
  <c r="S84" i="37"/>
  <c r="R136" i="37"/>
  <c r="R138" i="37"/>
  <c r="R137" i="37"/>
  <c r="R140" i="37"/>
  <c r="R141" i="37"/>
  <c r="R142" i="37"/>
  <c r="R128" i="37"/>
  <c r="R127" i="37"/>
  <c r="R129" i="37"/>
  <c r="K137" i="21"/>
  <c r="K141" i="21" s="1"/>
  <c r="L46" i="21"/>
  <c r="L98" i="23"/>
  <c r="L134" i="23" s="1"/>
  <c r="L99" i="23"/>
  <c r="L135" i="23" s="1"/>
  <c r="L97" i="23"/>
  <c r="L133" i="23" s="1"/>
  <c r="L101" i="23"/>
  <c r="L117" i="23" s="1"/>
  <c r="L52" i="23" s="1"/>
  <c r="L137" i="25"/>
  <c r="L141" i="25" s="1"/>
  <c r="L146" i="25" s="1"/>
  <c r="V103" i="22"/>
  <c r="V113" i="22"/>
  <c r="V114" i="22" s="1"/>
  <c r="M79" i="23"/>
  <c r="L102" i="23"/>
  <c r="M78" i="23"/>
  <c r="M77" i="23"/>
  <c r="M90" i="25"/>
  <c r="M43" i="25"/>
  <c r="L93" i="30"/>
  <c r="L94" i="30" s="1"/>
  <c r="V110" i="30"/>
  <c r="V29" i="30"/>
  <c r="V113" i="30"/>
  <c r="V108" i="30"/>
  <c r="V84" i="30"/>
  <c r="V85" i="30"/>
  <c r="V86" i="30"/>
  <c r="W110" i="25"/>
  <c r="W29" i="25"/>
  <c r="W113" i="25"/>
  <c r="W104" i="25" s="1"/>
  <c r="W86" i="25"/>
  <c r="W84" i="25"/>
  <c r="W85" i="25"/>
  <c r="U114" i="21"/>
  <c r="U115" i="21" s="1"/>
  <c r="U116" i="21" s="1"/>
  <c r="U144" i="21" s="1"/>
  <c r="U114" i="30"/>
  <c r="U115" i="30" s="1"/>
  <c r="U81" i="30"/>
  <c r="L118" i="25"/>
  <c r="L120" i="25"/>
  <c r="W110" i="23"/>
  <c r="W108" i="23"/>
  <c r="W113" i="23"/>
  <c r="W85" i="23"/>
  <c r="W84" i="23"/>
  <c r="W86" i="23"/>
  <c r="M91" i="25"/>
  <c r="M44" i="25"/>
  <c r="V114" i="23"/>
  <c r="V115" i="23" s="1"/>
  <c r="V104" i="23"/>
  <c r="X22" i="30"/>
  <c r="X23" i="30" s="1"/>
  <c r="W74" i="30"/>
  <c r="W29" i="22"/>
  <c r="W109" i="22"/>
  <c r="W107" i="22"/>
  <c r="W112" i="22"/>
  <c r="W85" i="22"/>
  <c r="W84" i="22"/>
  <c r="W83" i="22"/>
  <c r="W74" i="21"/>
  <c r="W106" i="21" s="1"/>
  <c r="X22" i="21"/>
  <c r="X23" i="21" s="1"/>
  <c r="V108" i="21"/>
  <c r="V110" i="21"/>
  <c r="V29" i="21"/>
  <c r="V113" i="21"/>
  <c r="V104" i="21" s="1"/>
  <c r="V84" i="21"/>
  <c r="V85" i="21"/>
  <c r="V86" i="21"/>
  <c r="M89" i="25"/>
  <c r="M80" i="25"/>
  <c r="T41" i="37" s="1"/>
  <c r="T49" i="37" s="1"/>
  <c r="M42" i="25"/>
  <c r="L46" i="30"/>
  <c r="V114" i="25"/>
  <c r="V115" i="25" s="1"/>
  <c r="L93" i="21"/>
  <c r="L94" i="21" s="1"/>
  <c r="L95" i="21" s="1"/>
  <c r="X29" i="24" l="1"/>
  <c r="X84" i="24"/>
  <c r="X108" i="24"/>
  <c r="X85" i="24"/>
  <c r="X110" i="24"/>
  <c r="X86" i="24"/>
  <c r="K147" i="24"/>
  <c r="K22" i="11"/>
  <c r="V114" i="24"/>
  <c r="V115" i="24" s="1"/>
  <c r="V104" i="24" s="1"/>
  <c r="V112" i="24" s="1"/>
  <c r="U140" i="24"/>
  <c r="U116" i="24"/>
  <c r="U144" i="24" s="1"/>
  <c r="W108" i="24"/>
  <c r="W86" i="24"/>
  <c r="W29" i="24"/>
  <c r="W84" i="24"/>
  <c r="W113" i="24"/>
  <c r="W110" i="24"/>
  <c r="W85" i="24"/>
  <c r="L46" i="24"/>
  <c r="L93" i="24"/>
  <c r="L94" i="24" s="1"/>
  <c r="AB36" i="37"/>
  <c r="R154" i="37"/>
  <c r="R160" i="37"/>
  <c r="R155" i="37"/>
  <c r="R158" i="37"/>
  <c r="R156" i="37"/>
  <c r="R159" i="37"/>
  <c r="S40" i="37"/>
  <c r="S35" i="37"/>
  <c r="S34" i="37"/>
  <c r="S33" i="37"/>
  <c r="AA9" i="37"/>
  <c r="V104" i="26"/>
  <c r="V112" i="26" s="1"/>
  <c r="V81" i="26" s="1"/>
  <c r="U112" i="21"/>
  <c r="U81" i="21" s="1"/>
  <c r="U45" i="21" s="1"/>
  <c r="S58" i="37"/>
  <c r="S53" i="37"/>
  <c r="K147" i="30"/>
  <c r="S52" i="37"/>
  <c r="K38" i="11"/>
  <c r="R189" i="37"/>
  <c r="K147" i="26"/>
  <c r="U140" i="30"/>
  <c r="U116" i="30"/>
  <c r="U144" i="30" s="1"/>
  <c r="V140" i="26"/>
  <c r="V116" i="26"/>
  <c r="V144" i="26" s="1"/>
  <c r="V140" i="25"/>
  <c r="V116" i="25"/>
  <c r="V144" i="25" s="1"/>
  <c r="V140" i="23"/>
  <c r="V116" i="23"/>
  <c r="V144" i="23" s="1"/>
  <c r="V139" i="22"/>
  <c r="V115" i="22"/>
  <c r="V143" i="22" s="1"/>
  <c r="W113" i="26"/>
  <c r="W114" i="26" s="1"/>
  <c r="W115" i="26" s="1"/>
  <c r="U140" i="21"/>
  <c r="K146" i="21"/>
  <c r="K147" i="21" s="1"/>
  <c r="R174" i="37"/>
  <c r="R178" i="37"/>
  <c r="R173" i="37"/>
  <c r="R177" i="37"/>
  <c r="R172" i="37"/>
  <c r="R176" i="37"/>
  <c r="L96" i="26"/>
  <c r="L95" i="26"/>
  <c r="X108" i="26"/>
  <c r="X84" i="26"/>
  <c r="X29" i="26"/>
  <c r="X85" i="26"/>
  <c r="X110" i="26"/>
  <c r="X86" i="26"/>
  <c r="W110" i="26"/>
  <c r="W86" i="26"/>
  <c r="W29" i="26"/>
  <c r="W85" i="26"/>
  <c r="W108" i="26"/>
  <c r="W84" i="26"/>
  <c r="X29" i="23"/>
  <c r="V112" i="21"/>
  <c r="V81" i="21" s="1"/>
  <c r="U81" i="25"/>
  <c r="AB45" i="37" s="1"/>
  <c r="T45" i="25"/>
  <c r="U45" i="23"/>
  <c r="AB18" i="37"/>
  <c r="U45" i="22"/>
  <c r="AA18" i="37"/>
  <c r="AB54" i="37"/>
  <c r="V112" i="25"/>
  <c r="V112" i="23"/>
  <c r="V81" i="23" s="1"/>
  <c r="V111" i="22"/>
  <c r="V80" i="22" s="1"/>
  <c r="T45" i="30"/>
  <c r="AA63" i="37"/>
  <c r="K19" i="11"/>
  <c r="K20" i="11"/>
  <c r="S20" i="37"/>
  <c r="S21" i="37"/>
  <c r="L94" i="22"/>
  <c r="L98" i="22" s="1"/>
  <c r="L134" i="22" s="1"/>
  <c r="S93" i="37"/>
  <c r="R181" i="37"/>
  <c r="R182" i="37"/>
  <c r="R183" i="37"/>
  <c r="R185" i="37"/>
  <c r="R186" i="37"/>
  <c r="R187" i="37"/>
  <c r="S98" i="37"/>
  <c r="S77" i="37"/>
  <c r="M46" i="25"/>
  <c r="T44" i="37"/>
  <c r="T43" i="37"/>
  <c r="T42" i="37"/>
  <c r="M93" i="25"/>
  <c r="M94" i="25" s="1"/>
  <c r="M96" i="25" s="1"/>
  <c r="L62" i="25"/>
  <c r="L147" i="25" s="1"/>
  <c r="S170" i="37"/>
  <c r="R135" i="37"/>
  <c r="R139" i="37"/>
  <c r="R126" i="37"/>
  <c r="R144" i="37"/>
  <c r="L137" i="23"/>
  <c r="L141" i="23" s="1"/>
  <c r="L146" i="23" s="1"/>
  <c r="X74" i="21"/>
  <c r="X106" i="21" s="1"/>
  <c r="M77" i="22"/>
  <c r="L101" i="22"/>
  <c r="M76" i="22"/>
  <c r="M78" i="22"/>
  <c r="X110" i="23"/>
  <c r="X108" i="23"/>
  <c r="X113" i="23"/>
  <c r="X85" i="23"/>
  <c r="X84" i="23"/>
  <c r="X86" i="23"/>
  <c r="X29" i="25"/>
  <c r="X110" i="25"/>
  <c r="X113" i="25"/>
  <c r="X104" i="25" s="1"/>
  <c r="X86" i="25"/>
  <c r="X85" i="25"/>
  <c r="X84" i="25"/>
  <c r="W114" i="25"/>
  <c r="W115" i="25" s="1"/>
  <c r="M43" i="23"/>
  <c r="M90" i="23"/>
  <c r="X109" i="22"/>
  <c r="X29" i="22"/>
  <c r="X107" i="22"/>
  <c r="X112" i="22"/>
  <c r="X85" i="22"/>
  <c r="X84" i="22"/>
  <c r="X83" i="22"/>
  <c r="L96" i="21"/>
  <c r="W113" i="22"/>
  <c r="W114" i="22" s="1"/>
  <c r="W103" i="22"/>
  <c r="W110" i="30"/>
  <c r="W108" i="30"/>
  <c r="W113" i="30"/>
  <c r="W29" i="30"/>
  <c r="W84" i="30"/>
  <c r="W86" i="30"/>
  <c r="W85" i="30"/>
  <c r="W104" i="23"/>
  <c r="W114" i="23"/>
  <c r="W115" i="23" s="1"/>
  <c r="L96" i="30"/>
  <c r="L95" i="30"/>
  <c r="L118" i="23"/>
  <c r="L120" i="23"/>
  <c r="X74" i="30"/>
  <c r="V81" i="30"/>
  <c r="V114" i="30"/>
  <c r="V115" i="30" s="1"/>
  <c r="M44" i="23"/>
  <c r="M91" i="23"/>
  <c r="V114" i="21"/>
  <c r="V115" i="21" s="1"/>
  <c r="V116" i="21" s="1"/>
  <c r="V144" i="21" s="1"/>
  <c r="W108" i="21"/>
  <c r="W110" i="21"/>
  <c r="W29" i="21"/>
  <c r="W113" i="21"/>
  <c r="W104" i="21" s="1"/>
  <c r="W85" i="21"/>
  <c r="W84" i="21"/>
  <c r="W86" i="21"/>
  <c r="M80" i="23"/>
  <c r="T23" i="37" s="1"/>
  <c r="M42" i="23"/>
  <c r="M89" i="23"/>
  <c r="L36" i="11"/>
  <c r="V81" i="24" l="1"/>
  <c r="V45" i="24" s="1"/>
  <c r="AC36" i="37"/>
  <c r="L95" i="24"/>
  <c r="L96" i="24"/>
  <c r="W114" i="24"/>
  <c r="W115" i="24" s="1"/>
  <c r="W104" i="24" s="1"/>
  <c r="W112" i="24" s="1"/>
  <c r="W81" i="24" s="1"/>
  <c r="W45" i="24" s="1"/>
  <c r="S68" i="37"/>
  <c r="S95" i="37"/>
  <c r="S74" i="37"/>
  <c r="R153" i="37"/>
  <c r="R157" i="37"/>
  <c r="V140" i="24"/>
  <c r="V116" i="24"/>
  <c r="V144" i="24" s="1"/>
  <c r="X113" i="24"/>
  <c r="W104" i="26"/>
  <c r="W112" i="26" s="1"/>
  <c r="W81" i="26" s="1"/>
  <c r="X113" i="26"/>
  <c r="X114" i="26" s="1"/>
  <c r="X115" i="26" s="1"/>
  <c r="X116" i="26" s="1"/>
  <c r="X144" i="26" s="1"/>
  <c r="S97" i="37"/>
  <c r="AB9" i="37"/>
  <c r="S76" i="37"/>
  <c r="V140" i="30"/>
  <c r="V116" i="30"/>
  <c r="V144" i="30" s="1"/>
  <c r="W140" i="26"/>
  <c r="W116" i="26"/>
  <c r="W144" i="26" s="1"/>
  <c r="W140" i="25"/>
  <c r="W116" i="25"/>
  <c r="W144" i="25" s="1"/>
  <c r="W140" i="23"/>
  <c r="W116" i="23"/>
  <c r="W144" i="23" s="1"/>
  <c r="W139" i="22"/>
  <c r="W115" i="22"/>
  <c r="W143" i="22" s="1"/>
  <c r="R171" i="37"/>
  <c r="R175" i="37"/>
  <c r="K32" i="11"/>
  <c r="K40" i="11" s="1"/>
  <c r="V140" i="21"/>
  <c r="L97" i="26"/>
  <c r="L133" i="26" s="1"/>
  <c r="L99" i="26"/>
  <c r="L135" i="26" s="1"/>
  <c r="L101" i="26"/>
  <c r="L117" i="26" s="1"/>
  <c r="L52" i="26" s="1"/>
  <c r="L98" i="26"/>
  <c r="L134" i="26" s="1"/>
  <c r="M78" i="26"/>
  <c r="M79" i="26"/>
  <c r="M77" i="26"/>
  <c r="L102" i="26"/>
  <c r="K27" i="11"/>
  <c r="V45" i="26"/>
  <c r="W112" i="21"/>
  <c r="W81" i="21" s="1"/>
  <c r="AD9" i="37" s="1"/>
  <c r="V81" i="25"/>
  <c r="AC45" i="37" s="1"/>
  <c r="U45" i="25"/>
  <c r="V45" i="30"/>
  <c r="V45" i="22"/>
  <c r="AB27" i="37"/>
  <c r="AC54" i="37"/>
  <c r="W112" i="25"/>
  <c r="W112" i="23"/>
  <c r="W81" i="23" s="1"/>
  <c r="W111" i="22"/>
  <c r="W80" i="22" s="1"/>
  <c r="U45" i="30"/>
  <c r="AB63" i="37"/>
  <c r="V45" i="21"/>
  <c r="AC9" i="37"/>
  <c r="S83" i="37"/>
  <c r="S72" i="37"/>
  <c r="L100" i="22"/>
  <c r="L116" i="22" s="1"/>
  <c r="L97" i="22"/>
  <c r="L133" i="22" s="1"/>
  <c r="L96" i="22"/>
  <c r="L132" i="22" s="1"/>
  <c r="M95" i="25"/>
  <c r="M99" i="25" s="1"/>
  <c r="M135" i="25" s="1"/>
  <c r="R180" i="37"/>
  <c r="R184" i="37"/>
  <c r="T48" i="37"/>
  <c r="T47" i="37"/>
  <c r="T46" i="37"/>
  <c r="S165" i="37"/>
  <c r="S164" i="37"/>
  <c r="S163" i="37"/>
  <c r="S168" i="37"/>
  <c r="S167" i="37"/>
  <c r="S169" i="37"/>
  <c r="T96" i="37"/>
  <c r="M46" i="23"/>
  <c r="M93" i="23"/>
  <c r="M94" i="23" s="1"/>
  <c r="M96" i="23" s="1"/>
  <c r="T24" i="37"/>
  <c r="T25" i="37"/>
  <c r="T26" i="37"/>
  <c r="L62" i="23"/>
  <c r="L147" i="23" s="1"/>
  <c r="S152" i="37"/>
  <c r="T55" i="37"/>
  <c r="T56" i="37"/>
  <c r="T57" i="37"/>
  <c r="L34" i="11"/>
  <c r="M79" i="30"/>
  <c r="M77" i="30"/>
  <c r="L102" i="30"/>
  <c r="M78" i="30"/>
  <c r="X114" i="25"/>
  <c r="X115" i="25" s="1"/>
  <c r="M44" i="22"/>
  <c r="M90" i="22"/>
  <c r="N79" i="25"/>
  <c r="N78" i="25"/>
  <c r="N77" i="25"/>
  <c r="M102" i="25"/>
  <c r="W114" i="30"/>
  <c r="W115" i="30" s="1"/>
  <c r="W81" i="30"/>
  <c r="L102" i="21"/>
  <c r="M77" i="21"/>
  <c r="M78" i="21"/>
  <c r="M79" i="21"/>
  <c r="X113" i="22"/>
  <c r="X114" i="22" s="1"/>
  <c r="X115" i="22" s="1"/>
  <c r="X143" i="22" s="1"/>
  <c r="X103" i="22"/>
  <c r="M79" i="22"/>
  <c r="T14" i="37" s="1"/>
  <c r="T22" i="37" s="1"/>
  <c r="M42" i="22"/>
  <c r="M88" i="22"/>
  <c r="X110" i="30"/>
  <c r="X29" i="30"/>
  <c r="X113" i="30"/>
  <c r="X108" i="30"/>
  <c r="X84" i="30"/>
  <c r="X85" i="30"/>
  <c r="X86" i="30"/>
  <c r="M43" i="22"/>
  <c r="M89" i="22"/>
  <c r="W114" i="21"/>
  <c r="W115" i="21" s="1"/>
  <c r="W116" i="21" s="1"/>
  <c r="W144" i="21" s="1"/>
  <c r="X104" i="23"/>
  <c r="X114" i="23"/>
  <c r="X115" i="23" s="1"/>
  <c r="X116" i="23" s="1"/>
  <c r="X144" i="23" s="1"/>
  <c r="L99" i="30"/>
  <c r="L135" i="30" s="1"/>
  <c r="L97" i="30"/>
  <c r="L133" i="30" s="1"/>
  <c r="L98" i="30"/>
  <c r="L134" i="30" s="1"/>
  <c r="L101" i="30"/>
  <c r="L117" i="30" s="1"/>
  <c r="L52" i="30" s="1"/>
  <c r="L97" i="21"/>
  <c r="L133" i="21" s="1"/>
  <c r="L101" i="21"/>
  <c r="L117" i="21" s="1"/>
  <c r="L98" i="21"/>
  <c r="L99" i="21"/>
  <c r="X29" i="21"/>
  <c r="X110" i="21"/>
  <c r="X108" i="21"/>
  <c r="X113" i="21"/>
  <c r="X104" i="21" s="1"/>
  <c r="X85" i="21"/>
  <c r="X86" i="21"/>
  <c r="X84" i="21"/>
  <c r="X116" i="25" l="1"/>
  <c r="X144" i="25" s="1"/>
  <c r="X114" i="24"/>
  <c r="X115" i="24" s="1"/>
  <c r="X104" i="24" s="1"/>
  <c r="X112" i="24" s="1"/>
  <c r="W140" i="24"/>
  <c r="W116" i="24"/>
  <c r="W144" i="24" s="1"/>
  <c r="L102" i="24"/>
  <c r="M79" i="24"/>
  <c r="M77" i="24"/>
  <c r="M78" i="24"/>
  <c r="AD36" i="37"/>
  <c r="L97" i="24"/>
  <c r="L133" i="24" s="1"/>
  <c r="L98" i="24"/>
  <c r="L134" i="24" s="1"/>
  <c r="L99" i="24"/>
  <c r="L135" i="24" s="1"/>
  <c r="L101" i="24"/>
  <c r="L117" i="24" s="1"/>
  <c r="L117" i="22"/>
  <c r="S143" i="37" s="1"/>
  <c r="L52" i="22"/>
  <c r="L62" i="22" s="1"/>
  <c r="L118" i="21"/>
  <c r="S134" i="37" s="1"/>
  <c r="L52" i="21"/>
  <c r="L62" i="21" s="1"/>
  <c r="X104" i="26"/>
  <c r="X112" i="26" s="1"/>
  <c r="X81" i="26" s="1"/>
  <c r="X45" i="26" s="1"/>
  <c r="R190" i="37"/>
  <c r="W140" i="30"/>
  <c r="W116" i="30"/>
  <c r="W144" i="30" s="1"/>
  <c r="K42" i="11"/>
  <c r="W140" i="21"/>
  <c r="M80" i="26"/>
  <c r="T50" i="37" s="1"/>
  <c r="M89" i="26"/>
  <c r="M42" i="26"/>
  <c r="L120" i="26"/>
  <c r="L118" i="26"/>
  <c r="M44" i="26"/>
  <c r="M91" i="26"/>
  <c r="M90" i="26"/>
  <c r="M43" i="26"/>
  <c r="L137" i="26"/>
  <c r="L141" i="26" s="1"/>
  <c r="M49" i="11"/>
  <c r="X139" i="22"/>
  <c r="M53" i="11"/>
  <c r="X140" i="26"/>
  <c r="M50" i="11"/>
  <c r="X140" i="23"/>
  <c r="M52" i="11"/>
  <c r="X140" i="25"/>
  <c r="W45" i="26"/>
  <c r="X112" i="21"/>
  <c r="X81" i="21" s="1"/>
  <c r="AE9" i="37" s="1"/>
  <c r="W81" i="25"/>
  <c r="AD45" i="37" s="1"/>
  <c r="V45" i="25"/>
  <c r="AC18" i="37"/>
  <c r="W45" i="21"/>
  <c r="W45" i="30"/>
  <c r="AC63" i="37"/>
  <c r="W45" i="23"/>
  <c r="AD27" i="37"/>
  <c r="V45" i="23"/>
  <c r="AC27" i="37"/>
  <c r="W45" i="22"/>
  <c r="AD18" i="37"/>
  <c r="AD54" i="37"/>
  <c r="X112" i="25"/>
  <c r="X112" i="23"/>
  <c r="X81" i="23" s="1"/>
  <c r="X45" i="23" s="1"/>
  <c r="X111" i="22"/>
  <c r="X80" i="22" s="1"/>
  <c r="X45" i="22" s="1"/>
  <c r="S145" i="37"/>
  <c r="S146" i="37"/>
  <c r="S147" i="37"/>
  <c r="L23" i="11"/>
  <c r="M98" i="25"/>
  <c r="M134" i="25" s="1"/>
  <c r="L119" i="22"/>
  <c r="L136" i="22"/>
  <c r="L140" i="22" s="1"/>
  <c r="L145" i="22" s="1"/>
  <c r="M97" i="25"/>
  <c r="M133" i="25" s="1"/>
  <c r="M101" i="25"/>
  <c r="M117" i="25" s="1"/>
  <c r="T86" i="37"/>
  <c r="T75" i="37"/>
  <c r="S166" i="37"/>
  <c r="S162" i="37"/>
  <c r="T39" i="37"/>
  <c r="T37" i="37"/>
  <c r="T38" i="37"/>
  <c r="M95" i="23"/>
  <c r="M97" i="23" s="1"/>
  <c r="M133" i="23" s="1"/>
  <c r="T28" i="37"/>
  <c r="T29" i="37"/>
  <c r="T30" i="37"/>
  <c r="S150" i="37"/>
  <c r="S149" i="37"/>
  <c r="S151" i="37"/>
  <c r="T94" i="37"/>
  <c r="T17" i="37"/>
  <c r="T16" i="37"/>
  <c r="T15" i="37"/>
  <c r="L135" i="21"/>
  <c r="L134" i="21"/>
  <c r="T87" i="37"/>
  <c r="M80" i="21"/>
  <c r="T5" i="37" s="1"/>
  <c r="T13" i="37" s="1"/>
  <c r="L137" i="30"/>
  <c r="L141" i="30" s="1"/>
  <c r="L118" i="30"/>
  <c r="L120" i="30"/>
  <c r="M44" i="30"/>
  <c r="M91" i="30"/>
  <c r="M92" i="22"/>
  <c r="M93" i="22" s="1"/>
  <c r="M91" i="21"/>
  <c r="M44" i="21"/>
  <c r="N90" i="25"/>
  <c r="N43" i="25"/>
  <c r="M43" i="30"/>
  <c r="M90" i="30"/>
  <c r="N80" i="25"/>
  <c r="U41" i="37" s="1"/>
  <c r="U49" i="37" s="1"/>
  <c r="N89" i="25"/>
  <c r="N42" i="25"/>
  <c r="N77" i="23"/>
  <c r="N79" i="23"/>
  <c r="M102" i="23"/>
  <c r="N78" i="23"/>
  <c r="X81" i="30"/>
  <c r="X114" i="30"/>
  <c r="X115" i="30" s="1"/>
  <c r="M46" i="22"/>
  <c r="M90" i="21"/>
  <c r="M43" i="21"/>
  <c r="N44" i="25"/>
  <c r="N91" i="25"/>
  <c r="X114" i="21"/>
  <c r="X115" i="21" s="1"/>
  <c r="X116" i="21" s="1"/>
  <c r="X144" i="21" s="1"/>
  <c r="M89" i="21"/>
  <c r="M42" i="21"/>
  <c r="M80" i="30"/>
  <c r="T59" i="37" s="1"/>
  <c r="T67" i="37" s="1"/>
  <c r="M89" i="30"/>
  <c r="M42" i="30"/>
  <c r="X81" i="24" l="1"/>
  <c r="X45" i="24" s="1"/>
  <c r="AE36" i="37"/>
  <c r="M90" i="24"/>
  <c r="M43" i="24"/>
  <c r="M89" i="24"/>
  <c r="M42" i="24"/>
  <c r="M80" i="24"/>
  <c r="T32" i="37" s="1"/>
  <c r="L137" i="24"/>
  <c r="L141" i="24" s="1"/>
  <c r="L146" i="24" s="1"/>
  <c r="L35" i="11" s="1"/>
  <c r="M91" i="24"/>
  <c r="M44" i="24"/>
  <c r="L52" i="24"/>
  <c r="L62" i="24" s="1"/>
  <c r="L118" i="24"/>
  <c r="S161" i="37" s="1"/>
  <c r="L120" i="24"/>
  <c r="X116" i="24"/>
  <c r="X144" i="24" s="1"/>
  <c r="M51" i="11"/>
  <c r="X140" i="24"/>
  <c r="M120" i="25"/>
  <c r="M52" i="25"/>
  <c r="L146" i="30"/>
  <c r="L146" i="26"/>
  <c r="X140" i="30"/>
  <c r="X116" i="30"/>
  <c r="X144" i="30" s="1"/>
  <c r="M46" i="26"/>
  <c r="M93" i="26"/>
  <c r="M94" i="26" s="1"/>
  <c r="L62" i="26"/>
  <c r="S179" i="37"/>
  <c r="T58" i="37"/>
  <c r="T52" i="37"/>
  <c r="T53" i="37"/>
  <c r="T51" i="37"/>
  <c r="L146" i="22"/>
  <c r="M48" i="11"/>
  <c r="X140" i="21"/>
  <c r="X81" i="25"/>
  <c r="X45" i="25" s="1"/>
  <c r="W45" i="25"/>
  <c r="AE27" i="37"/>
  <c r="AD63" i="37"/>
  <c r="X45" i="30"/>
  <c r="AE18" i="37"/>
  <c r="X45" i="21"/>
  <c r="AE54" i="37"/>
  <c r="L33" i="11"/>
  <c r="L21" i="11"/>
  <c r="L20" i="11"/>
  <c r="M137" i="25"/>
  <c r="M141" i="25" s="1"/>
  <c r="M146" i="25" s="1"/>
  <c r="M118" i="25"/>
  <c r="T170" i="37" s="1"/>
  <c r="M98" i="23"/>
  <c r="M134" i="23" s="1"/>
  <c r="M99" i="23"/>
  <c r="M135" i="23" s="1"/>
  <c r="M101" i="23"/>
  <c r="M117" i="23" s="1"/>
  <c r="T73" i="37"/>
  <c r="M93" i="30"/>
  <c r="M94" i="30" s="1"/>
  <c r="M96" i="30" s="1"/>
  <c r="T61" i="37"/>
  <c r="T62" i="37"/>
  <c r="T60" i="37"/>
  <c r="L62" i="30"/>
  <c r="L25" i="11" s="1"/>
  <c r="S188" i="37"/>
  <c r="M46" i="30"/>
  <c r="U44" i="37"/>
  <c r="U42" i="37"/>
  <c r="U43" i="37"/>
  <c r="N93" i="25"/>
  <c r="N94" i="25" s="1"/>
  <c r="N95" i="25" s="1"/>
  <c r="T85" i="37"/>
  <c r="S148" i="37"/>
  <c r="T84" i="37"/>
  <c r="T19" i="37"/>
  <c r="T20" i="37"/>
  <c r="T21" i="37"/>
  <c r="S136" i="37"/>
  <c r="S137" i="37"/>
  <c r="S138" i="37"/>
  <c r="S141" i="37"/>
  <c r="S140" i="37"/>
  <c r="S142" i="37"/>
  <c r="T93" i="37"/>
  <c r="L137" i="21"/>
  <c r="L141" i="21" s="1"/>
  <c r="L146" i="21" s="1"/>
  <c r="S129" i="37"/>
  <c r="S127" i="37"/>
  <c r="S128" i="37"/>
  <c r="M93" i="21"/>
  <c r="M94" i="21" s="1"/>
  <c r="M95" i="21" s="1"/>
  <c r="N44" i="23"/>
  <c r="N91" i="23"/>
  <c r="N80" i="23"/>
  <c r="U23" i="37" s="1"/>
  <c r="N89" i="23"/>
  <c r="N42" i="23"/>
  <c r="M95" i="22"/>
  <c r="M94" i="22"/>
  <c r="M46" i="21"/>
  <c r="N90" i="23"/>
  <c r="N43" i="23"/>
  <c r="N46" i="25"/>
  <c r="S156" i="37" l="1"/>
  <c r="S160" i="37"/>
  <c r="S155" i="37"/>
  <c r="S158" i="37"/>
  <c r="S159" i="37"/>
  <c r="S154" i="37"/>
  <c r="L147" i="24"/>
  <c r="L22" i="11"/>
  <c r="T40" i="37"/>
  <c r="T68" i="37" s="1"/>
  <c r="T35" i="37"/>
  <c r="T34" i="37"/>
  <c r="T33" i="37"/>
  <c r="M54" i="11"/>
  <c r="M46" i="24"/>
  <c r="M93" i="24"/>
  <c r="M94" i="24" s="1"/>
  <c r="M118" i="23"/>
  <c r="T152" i="37" s="1"/>
  <c r="M52" i="23"/>
  <c r="M62" i="23" s="1"/>
  <c r="L147" i="26"/>
  <c r="L147" i="30"/>
  <c r="L37" i="11"/>
  <c r="S189" i="37"/>
  <c r="L38" i="11"/>
  <c r="L147" i="21"/>
  <c r="S172" i="37"/>
  <c r="S177" i="37"/>
  <c r="S173" i="37"/>
  <c r="S178" i="37"/>
  <c r="S174" i="37"/>
  <c r="S176" i="37"/>
  <c r="L24" i="11"/>
  <c r="T97" i="37"/>
  <c r="T76" i="37"/>
  <c r="M96" i="26"/>
  <c r="M95" i="26"/>
  <c r="AE45" i="37"/>
  <c r="AE63" i="37"/>
  <c r="M36" i="11"/>
  <c r="L19" i="11"/>
  <c r="M62" i="25"/>
  <c r="M147" i="25" s="1"/>
  <c r="N96" i="25"/>
  <c r="N102" i="25" s="1"/>
  <c r="M95" i="30"/>
  <c r="M97" i="30" s="1"/>
  <c r="M133" i="30" s="1"/>
  <c r="M137" i="23"/>
  <c r="M141" i="23" s="1"/>
  <c r="M146" i="23" s="1"/>
  <c r="M120" i="23"/>
  <c r="S187" i="37"/>
  <c r="S181" i="37"/>
  <c r="S185" i="37"/>
  <c r="S182" i="37"/>
  <c r="S183" i="37"/>
  <c r="S186" i="37"/>
  <c r="T98" i="37"/>
  <c r="T77" i="37"/>
  <c r="T165" i="37"/>
  <c r="T164" i="37"/>
  <c r="T163" i="37"/>
  <c r="T168" i="37"/>
  <c r="T167" i="37"/>
  <c r="T169" i="37"/>
  <c r="U48" i="37"/>
  <c r="U47" i="37"/>
  <c r="U46" i="37"/>
  <c r="U96" i="37"/>
  <c r="T72" i="37"/>
  <c r="U26" i="37"/>
  <c r="U24" i="37"/>
  <c r="U25" i="37"/>
  <c r="M96" i="21"/>
  <c r="N79" i="21" s="1"/>
  <c r="S139" i="37"/>
  <c r="S135" i="37"/>
  <c r="T83" i="37"/>
  <c r="L32" i="11"/>
  <c r="S144" i="37"/>
  <c r="S126" i="37"/>
  <c r="M99" i="21"/>
  <c r="M101" i="21"/>
  <c r="M117" i="21" s="1"/>
  <c r="M97" i="21"/>
  <c r="M98" i="21"/>
  <c r="M100" i="22"/>
  <c r="M116" i="22" s="1"/>
  <c r="M52" i="22" s="1"/>
  <c r="M96" i="22"/>
  <c r="M132" i="22" s="1"/>
  <c r="M98" i="22"/>
  <c r="M134" i="22" s="1"/>
  <c r="M97" i="22"/>
  <c r="M133" i="22" s="1"/>
  <c r="M101" i="22"/>
  <c r="N78" i="22"/>
  <c r="N77" i="22"/>
  <c r="N76" i="22"/>
  <c r="N46" i="23"/>
  <c r="N93" i="23"/>
  <c r="N94" i="23" s="1"/>
  <c r="N98" i="25"/>
  <c r="N134" i="25" s="1"/>
  <c r="N99" i="25"/>
  <c r="N135" i="25" s="1"/>
  <c r="N97" i="25"/>
  <c r="N133" i="25" s="1"/>
  <c r="N101" i="25"/>
  <c r="N117" i="25" s="1"/>
  <c r="N52" i="25" s="1"/>
  <c r="N78" i="30"/>
  <c r="M102" i="30"/>
  <c r="N79" i="30"/>
  <c r="N77" i="30"/>
  <c r="S153" i="37" l="1"/>
  <c r="M95" i="24"/>
  <c r="M96" i="24"/>
  <c r="S157" i="37"/>
  <c r="T95" i="37"/>
  <c r="T74" i="37"/>
  <c r="M118" i="21"/>
  <c r="T134" i="37" s="1"/>
  <c r="M52" i="21"/>
  <c r="M62" i="21" s="1"/>
  <c r="M147" i="23"/>
  <c r="L40" i="11"/>
  <c r="L27" i="11"/>
  <c r="M101" i="26"/>
  <c r="M117" i="26" s="1"/>
  <c r="M52" i="26" s="1"/>
  <c r="M97" i="26"/>
  <c r="M133" i="26" s="1"/>
  <c r="M99" i="26"/>
  <c r="M135" i="26" s="1"/>
  <c r="M98" i="26"/>
  <c r="M134" i="26" s="1"/>
  <c r="M102" i="26"/>
  <c r="N79" i="26"/>
  <c r="N77" i="26"/>
  <c r="N78" i="26"/>
  <c r="S175" i="37"/>
  <c r="S171" i="37"/>
  <c r="T145" i="37"/>
  <c r="T146" i="37"/>
  <c r="T147" i="37"/>
  <c r="M34" i="11"/>
  <c r="M101" i="30"/>
  <c r="M117" i="30" s="1"/>
  <c r="O78" i="25"/>
  <c r="O43" i="25" s="1"/>
  <c r="O79" i="25"/>
  <c r="O91" i="25" s="1"/>
  <c r="O77" i="25"/>
  <c r="M99" i="30"/>
  <c r="M135" i="30" s="1"/>
  <c r="M98" i="30"/>
  <c r="M134" i="30" s="1"/>
  <c r="U75" i="37"/>
  <c r="U86" i="37"/>
  <c r="S180" i="37"/>
  <c r="S184" i="37"/>
  <c r="T166" i="37"/>
  <c r="T162" i="37"/>
  <c r="U28" i="37"/>
  <c r="U29" i="37"/>
  <c r="U30" i="37"/>
  <c r="T150" i="37"/>
  <c r="T149" i="37"/>
  <c r="T151" i="37"/>
  <c r="U94" i="37"/>
  <c r="M102" i="21"/>
  <c r="N77" i="21"/>
  <c r="N42" i="21" s="1"/>
  <c r="N78" i="21"/>
  <c r="N90" i="21" s="1"/>
  <c r="M135" i="21"/>
  <c r="M134" i="21"/>
  <c r="M133" i="21"/>
  <c r="U55" i="37"/>
  <c r="U57" i="37"/>
  <c r="U56" i="37"/>
  <c r="N42" i="30"/>
  <c r="N89" i="30"/>
  <c r="N80" i="30"/>
  <c r="U59" i="37" s="1"/>
  <c r="U67" i="37" s="1"/>
  <c r="N44" i="30"/>
  <c r="N91" i="30"/>
  <c r="N118" i="25"/>
  <c r="N120" i="25"/>
  <c r="N95" i="23"/>
  <c r="N96" i="23"/>
  <c r="N42" i="22"/>
  <c r="N79" i="22"/>
  <c r="U14" i="37" s="1"/>
  <c r="U22" i="37" s="1"/>
  <c r="N88" i="22"/>
  <c r="N137" i="25"/>
  <c r="N141" i="25" s="1"/>
  <c r="N146" i="25" s="1"/>
  <c r="N89" i="22"/>
  <c r="N43" i="22"/>
  <c r="N44" i="21"/>
  <c r="N91" i="21"/>
  <c r="M136" i="22"/>
  <c r="M140" i="22" s="1"/>
  <c r="M145" i="22" s="1"/>
  <c r="N90" i="30"/>
  <c r="N43" i="30"/>
  <c r="N44" i="22"/>
  <c r="N90" i="22"/>
  <c r="M117" i="22"/>
  <c r="M119" i="22"/>
  <c r="N78" i="24" l="1"/>
  <c r="N77" i="24"/>
  <c r="N79" i="24"/>
  <c r="M102" i="24"/>
  <c r="M101" i="24"/>
  <c r="M117" i="24" s="1"/>
  <c r="M99" i="24"/>
  <c r="M135" i="24" s="1"/>
  <c r="M98" i="24"/>
  <c r="M134" i="24" s="1"/>
  <c r="M97" i="24"/>
  <c r="M133" i="24" s="1"/>
  <c r="M118" i="30"/>
  <c r="T188" i="37" s="1"/>
  <c r="M52" i="30"/>
  <c r="M62" i="30" s="1"/>
  <c r="M25" i="11" s="1"/>
  <c r="L42" i="11"/>
  <c r="S190" i="37"/>
  <c r="N90" i="26"/>
  <c r="N43" i="26"/>
  <c r="N42" i="26"/>
  <c r="N89" i="26"/>
  <c r="N80" i="26"/>
  <c r="U50" i="37" s="1"/>
  <c r="N44" i="26"/>
  <c r="N91" i="26"/>
  <c r="M137" i="26"/>
  <c r="M141" i="26" s="1"/>
  <c r="M146" i="26" s="1"/>
  <c r="M118" i="26"/>
  <c r="M120" i="26"/>
  <c r="M21" i="11"/>
  <c r="M23" i="11"/>
  <c r="O90" i="25"/>
  <c r="M120" i="30"/>
  <c r="O44" i="25"/>
  <c r="O80" i="25"/>
  <c r="V41" i="37" s="1"/>
  <c r="O89" i="25"/>
  <c r="O42" i="25"/>
  <c r="M137" i="30"/>
  <c r="M141" i="30" s="1"/>
  <c r="N89" i="21"/>
  <c r="N93" i="21" s="1"/>
  <c r="N94" i="21" s="1"/>
  <c r="U73" i="37"/>
  <c r="U62" i="37"/>
  <c r="U60" i="37"/>
  <c r="U61" i="37"/>
  <c r="N62" i="25"/>
  <c r="N147" i="25" s="1"/>
  <c r="U170" i="37"/>
  <c r="U38" i="37"/>
  <c r="U39" i="37"/>
  <c r="U37" i="37"/>
  <c r="T148" i="37"/>
  <c r="U84" i="37"/>
  <c r="N43" i="21"/>
  <c r="N46" i="21" s="1"/>
  <c r="N80" i="21"/>
  <c r="U5" i="37" s="1"/>
  <c r="U13" i="37" s="1"/>
  <c r="N92" i="22"/>
  <c r="N93" i="22" s="1"/>
  <c r="N94" i="22" s="1"/>
  <c r="U16" i="37"/>
  <c r="U15" i="37"/>
  <c r="U17" i="37"/>
  <c r="M62" i="22"/>
  <c r="M146" i="22" s="1"/>
  <c r="T143" i="37"/>
  <c r="M137" i="21"/>
  <c r="M141" i="21" s="1"/>
  <c r="M146" i="21" s="1"/>
  <c r="M19" i="11"/>
  <c r="T129" i="37"/>
  <c r="T127" i="37"/>
  <c r="T128" i="37"/>
  <c r="U87" i="37"/>
  <c r="N36" i="11"/>
  <c r="N102" i="23"/>
  <c r="O77" i="23"/>
  <c r="O78" i="23"/>
  <c r="O79" i="23"/>
  <c r="N98" i="23"/>
  <c r="N134" i="23" s="1"/>
  <c r="N99" i="23"/>
  <c r="N135" i="23" s="1"/>
  <c r="N97" i="23"/>
  <c r="N133" i="23" s="1"/>
  <c r="N101" i="23"/>
  <c r="N117" i="23" s="1"/>
  <c r="N52" i="23" s="1"/>
  <c r="N93" i="30"/>
  <c r="N94" i="30" s="1"/>
  <c r="M33" i="11"/>
  <c r="N46" i="22"/>
  <c r="N46" i="30"/>
  <c r="M137" i="24" l="1"/>
  <c r="M141" i="24" s="1"/>
  <c r="M146" i="24" s="1"/>
  <c r="M35" i="11" s="1"/>
  <c r="N44" i="24"/>
  <c r="N91" i="24"/>
  <c r="N89" i="24"/>
  <c r="N42" i="24"/>
  <c r="N80" i="24"/>
  <c r="U32" i="37" s="1"/>
  <c r="M52" i="24"/>
  <c r="M62" i="24" s="1"/>
  <c r="M118" i="24"/>
  <c r="T161" i="37" s="1"/>
  <c r="M120" i="24"/>
  <c r="N43" i="24"/>
  <c r="N90" i="24"/>
  <c r="M146" i="30"/>
  <c r="M147" i="30" s="1"/>
  <c r="M147" i="21"/>
  <c r="N93" i="26"/>
  <c r="N94" i="26" s="1"/>
  <c r="N95" i="26" s="1"/>
  <c r="N46" i="26"/>
  <c r="M37" i="11"/>
  <c r="M62" i="26"/>
  <c r="M24" i="11" s="1"/>
  <c r="T179" i="37"/>
  <c r="U58" i="37"/>
  <c r="U52" i="37"/>
  <c r="U51" i="37"/>
  <c r="U53" i="37"/>
  <c r="O93" i="25"/>
  <c r="O94" i="25" s="1"/>
  <c r="O95" i="25" s="1"/>
  <c r="V44" i="37"/>
  <c r="V49" i="37"/>
  <c r="M20" i="11"/>
  <c r="V48" i="37"/>
  <c r="V43" i="37"/>
  <c r="V42" i="37"/>
  <c r="O46" i="25"/>
  <c r="N95" i="22"/>
  <c r="O78" i="22" s="1"/>
  <c r="T185" i="37"/>
  <c r="T186" i="37"/>
  <c r="T181" i="37"/>
  <c r="T183" i="37"/>
  <c r="T187" i="37"/>
  <c r="T182" i="37"/>
  <c r="U98" i="37"/>
  <c r="U77" i="37"/>
  <c r="U164" i="37"/>
  <c r="U165" i="37"/>
  <c r="U163" i="37"/>
  <c r="U169" i="37"/>
  <c r="U168" i="37"/>
  <c r="U167" i="37"/>
  <c r="U85" i="37"/>
  <c r="U93" i="37"/>
  <c r="U19" i="37"/>
  <c r="U21" i="37"/>
  <c r="U20" i="37"/>
  <c r="T138" i="37"/>
  <c r="T137" i="37"/>
  <c r="T136" i="37"/>
  <c r="T140" i="37"/>
  <c r="T141" i="37"/>
  <c r="T142" i="37"/>
  <c r="M32" i="11"/>
  <c r="T126" i="37"/>
  <c r="T144" i="37"/>
  <c r="N118" i="23"/>
  <c r="N120" i="23"/>
  <c r="N96" i="21"/>
  <c r="O77" i="21" s="1"/>
  <c r="N95" i="21"/>
  <c r="N137" i="23"/>
  <c r="N141" i="23" s="1"/>
  <c r="N146" i="23" s="1"/>
  <c r="O44" i="23"/>
  <c r="O91" i="23"/>
  <c r="N97" i="22"/>
  <c r="N133" i="22" s="1"/>
  <c r="N100" i="22"/>
  <c r="N116" i="22" s="1"/>
  <c r="N52" i="22" s="1"/>
  <c r="N98" i="22"/>
  <c r="N134" i="22" s="1"/>
  <c r="N96" i="22"/>
  <c r="N132" i="22" s="1"/>
  <c r="N95" i="30"/>
  <c r="N96" i="30"/>
  <c r="O89" i="23"/>
  <c r="O80" i="23"/>
  <c r="V23" i="37" s="1"/>
  <c r="O42" i="23"/>
  <c r="D140" i="26"/>
  <c r="O90" i="23"/>
  <c r="O43" i="23"/>
  <c r="M147" i="24" l="1"/>
  <c r="N93" i="24"/>
  <c r="N94" i="24" s="1"/>
  <c r="N96" i="24" s="1"/>
  <c r="N46" i="24"/>
  <c r="T156" i="37"/>
  <c r="T158" i="37"/>
  <c r="T155" i="37"/>
  <c r="T160" i="37"/>
  <c r="T154" i="37"/>
  <c r="T159" i="37"/>
  <c r="T189" i="37"/>
  <c r="M22" i="11"/>
  <c r="M27" i="11" s="1"/>
  <c r="U40" i="37"/>
  <c r="U68" i="37" s="1"/>
  <c r="U35" i="37"/>
  <c r="U33" i="37"/>
  <c r="U34" i="37"/>
  <c r="M38" i="11"/>
  <c r="M40" i="11" s="1"/>
  <c r="M147" i="26"/>
  <c r="N96" i="26"/>
  <c r="N102" i="26" s="1"/>
  <c r="T173" i="37"/>
  <c r="T176" i="37"/>
  <c r="T172" i="37"/>
  <c r="T174" i="37"/>
  <c r="T177" i="37"/>
  <c r="T178" i="37"/>
  <c r="U97" i="37"/>
  <c r="U76" i="37"/>
  <c r="N101" i="26"/>
  <c r="N117" i="26" s="1"/>
  <c r="N52" i="26" s="1"/>
  <c r="N98" i="26"/>
  <c r="N134" i="26" s="1"/>
  <c r="N97" i="26"/>
  <c r="N133" i="26" s="1"/>
  <c r="N99" i="26"/>
  <c r="N135" i="26" s="1"/>
  <c r="O96" i="25"/>
  <c r="P77" i="25" s="1"/>
  <c r="V96" i="37"/>
  <c r="N23" i="11"/>
  <c r="V46" i="37"/>
  <c r="V47" i="37"/>
  <c r="V75" i="37" s="1"/>
  <c r="N101" i="22"/>
  <c r="V55" i="37"/>
  <c r="O76" i="22"/>
  <c r="O88" i="22" s="1"/>
  <c r="O77" i="22"/>
  <c r="U83" i="37"/>
  <c r="U162" i="37"/>
  <c r="T184" i="37"/>
  <c r="T180" i="37"/>
  <c r="U166" i="37"/>
  <c r="V25" i="37"/>
  <c r="V24" i="37"/>
  <c r="V26" i="37"/>
  <c r="N62" i="23"/>
  <c r="N147" i="23" s="1"/>
  <c r="U152" i="37"/>
  <c r="T139" i="37"/>
  <c r="T135" i="37"/>
  <c r="U72" i="37"/>
  <c r="N34" i="11"/>
  <c r="O93" i="23"/>
  <c r="O94" i="23" s="1"/>
  <c r="N98" i="21"/>
  <c r="N101" i="21"/>
  <c r="N117" i="21" s="1"/>
  <c r="N99" i="21"/>
  <c r="N97" i="21"/>
  <c r="O98" i="25"/>
  <c r="O134" i="25" s="1"/>
  <c r="O97" i="25"/>
  <c r="O133" i="25" s="1"/>
  <c r="O99" i="25"/>
  <c r="O135" i="25" s="1"/>
  <c r="O101" i="25"/>
  <c r="O117" i="25" s="1"/>
  <c r="O52" i="25" s="1"/>
  <c r="D84" i="26"/>
  <c r="D86" i="26"/>
  <c r="D141" i="26"/>
  <c r="D29" i="26"/>
  <c r="D77" i="26"/>
  <c r="E42" i="26" s="1"/>
  <c r="D78" i="26"/>
  <c r="E43" i="26" s="1"/>
  <c r="D85" i="26"/>
  <c r="D79" i="26"/>
  <c r="E44" i="26" s="1"/>
  <c r="O78" i="30"/>
  <c r="O79" i="30"/>
  <c r="O77" i="30"/>
  <c r="N102" i="30"/>
  <c r="N117" i="22"/>
  <c r="N119" i="22"/>
  <c r="O78" i="21"/>
  <c r="N102" i="21"/>
  <c r="O79" i="21"/>
  <c r="O46" i="23"/>
  <c r="N101" i="30"/>
  <c r="N117" i="30" s="1"/>
  <c r="N52" i="30" s="1"/>
  <c r="N97" i="30"/>
  <c r="N133" i="30" s="1"/>
  <c r="N99" i="30"/>
  <c r="N135" i="30" s="1"/>
  <c r="N98" i="30"/>
  <c r="N134" i="30" s="1"/>
  <c r="D140" i="24"/>
  <c r="N136" i="22"/>
  <c r="N140" i="22" s="1"/>
  <c r="N145" i="22" s="1"/>
  <c r="O44" i="22"/>
  <c r="O90" i="22"/>
  <c r="N95" i="24" l="1"/>
  <c r="N98" i="24" s="1"/>
  <c r="N134" i="24" s="1"/>
  <c r="U95" i="37"/>
  <c r="U74" i="37"/>
  <c r="T157" i="37"/>
  <c r="T153" i="37"/>
  <c r="O77" i="24"/>
  <c r="O79" i="24"/>
  <c r="O78" i="24"/>
  <c r="N102" i="24"/>
  <c r="N118" i="21"/>
  <c r="U134" i="37" s="1"/>
  <c r="N52" i="21"/>
  <c r="N62" i="21" s="1"/>
  <c r="D146" i="26"/>
  <c r="D37" i="11" s="1"/>
  <c r="O78" i="26"/>
  <c r="O43" i="26" s="1"/>
  <c r="O79" i="26"/>
  <c r="O44" i="26" s="1"/>
  <c r="O77" i="26"/>
  <c r="O89" i="26" s="1"/>
  <c r="P78" i="25"/>
  <c r="P43" i="25" s="1"/>
  <c r="M42" i="11"/>
  <c r="P79" i="25"/>
  <c r="P44" i="25" s="1"/>
  <c r="O102" i="25"/>
  <c r="N120" i="26"/>
  <c r="N118" i="26"/>
  <c r="T171" i="37"/>
  <c r="T175" i="37"/>
  <c r="N137" i="26"/>
  <c r="N141" i="26" s="1"/>
  <c r="V86" i="37"/>
  <c r="U146" i="37"/>
  <c r="U147" i="37"/>
  <c r="U145" i="37"/>
  <c r="D139" i="22"/>
  <c r="D140" i="22" s="1"/>
  <c r="V56" i="37"/>
  <c r="V57" i="37"/>
  <c r="O43" i="22"/>
  <c r="O89" i="22"/>
  <c r="O92" i="22" s="1"/>
  <c r="O93" i="22" s="1"/>
  <c r="O79" i="22"/>
  <c r="V14" i="37" s="1"/>
  <c r="O42" i="22"/>
  <c r="V28" i="37"/>
  <c r="V29" i="37"/>
  <c r="V30" i="37"/>
  <c r="U149" i="37"/>
  <c r="U151" i="37"/>
  <c r="U150" i="37"/>
  <c r="V94" i="37"/>
  <c r="N62" i="22"/>
  <c r="N146" i="22" s="1"/>
  <c r="U143" i="37"/>
  <c r="N133" i="21"/>
  <c r="N135" i="21"/>
  <c r="N134" i="21"/>
  <c r="N137" i="30"/>
  <c r="N141" i="30" s="1"/>
  <c r="D140" i="25"/>
  <c r="O42" i="21"/>
  <c r="O80" i="21"/>
  <c r="V5" i="37" s="1"/>
  <c r="V13" i="37" s="1"/>
  <c r="O89" i="21"/>
  <c r="O42" i="30"/>
  <c r="O80" i="30"/>
  <c r="V59" i="37" s="1"/>
  <c r="V67" i="37" s="1"/>
  <c r="O89" i="30"/>
  <c r="D90" i="26"/>
  <c r="O137" i="25"/>
  <c r="O141" i="25" s="1"/>
  <c r="O146" i="25" s="1"/>
  <c r="O90" i="30"/>
  <c r="O43" i="30"/>
  <c r="N33" i="11"/>
  <c r="P89" i="25"/>
  <c r="P42" i="25"/>
  <c r="O44" i="21"/>
  <c r="O91" i="21"/>
  <c r="O44" i="30"/>
  <c r="O91" i="30"/>
  <c r="D42" i="26"/>
  <c r="D46" i="26" s="1"/>
  <c r="D62" i="26" s="1"/>
  <c r="D89" i="26"/>
  <c r="O95" i="23"/>
  <c r="O96" i="23"/>
  <c r="D91" i="26"/>
  <c r="O118" i="25"/>
  <c r="O120" i="25"/>
  <c r="D141" i="24"/>
  <c r="D146" i="24" s="1"/>
  <c r="D29" i="24"/>
  <c r="D77" i="24"/>
  <c r="E42" i="24" s="1"/>
  <c r="D85" i="24"/>
  <c r="D84" i="24"/>
  <c r="D78" i="24"/>
  <c r="E43" i="24" s="1"/>
  <c r="D79" i="24"/>
  <c r="E44" i="24" s="1"/>
  <c r="D86" i="24"/>
  <c r="N118" i="30"/>
  <c r="N120" i="30"/>
  <c r="O43" i="21"/>
  <c r="O90" i="21"/>
  <c r="N97" i="24" l="1"/>
  <c r="N133" i="24" s="1"/>
  <c r="N101" i="24"/>
  <c r="N117" i="24" s="1"/>
  <c r="N52" i="24" s="1"/>
  <c r="N62" i="24" s="1"/>
  <c r="N99" i="24"/>
  <c r="N135" i="24" s="1"/>
  <c r="T190" i="37"/>
  <c r="O43" i="24"/>
  <c r="O90" i="24"/>
  <c r="O44" i="24"/>
  <c r="O91" i="24"/>
  <c r="O42" i="24"/>
  <c r="O80" i="24"/>
  <c r="V32" i="37" s="1"/>
  <c r="O89" i="24"/>
  <c r="P90" i="25"/>
  <c r="O90" i="26"/>
  <c r="O91" i="26"/>
  <c r="O80" i="26"/>
  <c r="V50" i="37" s="1"/>
  <c r="V51" i="37" s="1"/>
  <c r="O42" i="26"/>
  <c r="O46" i="26" s="1"/>
  <c r="P80" i="25"/>
  <c r="W41" i="37" s="1"/>
  <c r="W49" i="37" s="1"/>
  <c r="D24" i="11"/>
  <c r="D147" i="26"/>
  <c r="N146" i="30"/>
  <c r="N146" i="26"/>
  <c r="P91" i="25"/>
  <c r="N62" i="26"/>
  <c r="U179" i="37"/>
  <c r="D29" i="23"/>
  <c r="D140" i="23"/>
  <c r="D141" i="23" s="1"/>
  <c r="D146" i="23" s="1"/>
  <c r="V16" i="37"/>
  <c r="V22" i="37"/>
  <c r="V17" i="37"/>
  <c r="N21" i="11"/>
  <c r="N20" i="11"/>
  <c r="V87" i="37"/>
  <c r="V15" i="37"/>
  <c r="O46" i="22"/>
  <c r="V19" i="37"/>
  <c r="V73" i="37"/>
  <c r="V62" i="37"/>
  <c r="V60" i="37"/>
  <c r="V61" i="37"/>
  <c r="N62" i="30"/>
  <c r="N25" i="11" s="1"/>
  <c r="U188" i="37"/>
  <c r="O62" i="25"/>
  <c r="O147" i="25" s="1"/>
  <c r="V170" i="37"/>
  <c r="P46" i="25"/>
  <c r="V38" i="37"/>
  <c r="V37" i="37"/>
  <c r="V39" i="37"/>
  <c r="U148" i="37"/>
  <c r="V84" i="37"/>
  <c r="N19" i="11"/>
  <c r="U136" i="37"/>
  <c r="U137" i="37"/>
  <c r="U138" i="37"/>
  <c r="U140" i="37"/>
  <c r="U142" i="37"/>
  <c r="U141" i="37"/>
  <c r="N137" i="21"/>
  <c r="N141" i="21" s="1"/>
  <c r="U127" i="37"/>
  <c r="U129" i="37"/>
  <c r="U128" i="37"/>
  <c r="D90" i="24"/>
  <c r="D35" i="11"/>
  <c r="O95" i="22"/>
  <c r="O94" i="22"/>
  <c r="O46" i="30"/>
  <c r="O102" i="23"/>
  <c r="P78" i="23"/>
  <c r="P79" i="23"/>
  <c r="P77" i="23"/>
  <c r="D93" i="26"/>
  <c r="D77" i="23"/>
  <c r="E42" i="23" s="1"/>
  <c r="D78" i="23"/>
  <c r="E43" i="23" s="1"/>
  <c r="D86" i="23"/>
  <c r="D85" i="23"/>
  <c r="D84" i="23"/>
  <c r="D79" i="23"/>
  <c r="E44" i="23" s="1"/>
  <c r="E46" i="26"/>
  <c r="E62" i="26" s="1"/>
  <c r="E147" i="26" s="1"/>
  <c r="O93" i="21"/>
  <c r="O94" i="21" s="1"/>
  <c r="D91" i="24"/>
  <c r="D89" i="24"/>
  <c r="D42" i="24"/>
  <c r="D46" i="24" s="1"/>
  <c r="D62" i="24" s="1"/>
  <c r="D147" i="24" s="1"/>
  <c r="O97" i="23"/>
  <c r="O133" i="23" s="1"/>
  <c r="O99" i="23"/>
  <c r="O135" i="23" s="1"/>
  <c r="O101" i="23"/>
  <c r="O117" i="23" s="1"/>
  <c r="O52" i="23" s="1"/>
  <c r="O98" i="23"/>
  <c r="O134" i="23" s="1"/>
  <c r="D83" i="22"/>
  <c r="D145" i="22"/>
  <c r="D84" i="22"/>
  <c r="D85" i="22"/>
  <c r="D78" i="22"/>
  <c r="E44" i="22" s="1"/>
  <c r="D77" i="22"/>
  <c r="E43" i="22" s="1"/>
  <c r="D29" i="22"/>
  <c r="D76" i="22"/>
  <c r="E42" i="22" s="1"/>
  <c r="O36" i="11"/>
  <c r="O93" i="30"/>
  <c r="O94" i="30" s="1"/>
  <c r="O46" i="21"/>
  <c r="D141" i="25"/>
  <c r="D146" i="25" s="1"/>
  <c r="D29" i="25"/>
  <c r="D78" i="25"/>
  <c r="E43" i="25" s="1"/>
  <c r="D85" i="25"/>
  <c r="D86" i="25"/>
  <c r="D84" i="25"/>
  <c r="D79" i="25"/>
  <c r="E44" i="25" s="1"/>
  <c r="D77" i="25"/>
  <c r="E42" i="25" s="1"/>
  <c r="N137" i="24" l="1"/>
  <c r="N141" i="24" s="1"/>
  <c r="N146" i="24" s="1"/>
  <c r="N35" i="11" s="1"/>
  <c r="N120" i="24"/>
  <c r="N118" i="24"/>
  <c r="U161" i="37" s="1"/>
  <c r="U160" i="37" s="1"/>
  <c r="N22" i="11"/>
  <c r="O93" i="24"/>
  <c r="O94" i="24" s="1"/>
  <c r="O96" i="24" s="1"/>
  <c r="P77" i="24" s="1"/>
  <c r="V40" i="37"/>
  <c r="V35" i="37"/>
  <c r="V33" i="37"/>
  <c r="V34" i="37"/>
  <c r="O46" i="24"/>
  <c r="V53" i="37"/>
  <c r="O93" i="26"/>
  <c r="O94" i="26" s="1"/>
  <c r="O96" i="26" s="1"/>
  <c r="P93" i="25"/>
  <c r="P94" i="25" s="1"/>
  <c r="P95" i="25" s="1"/>
  <c r="P98" i="25" s="1"/>
  <c r="P134" i="25" s="1"/>
  <c r="V52" i="37"/>
  <c r="V58" i="37"/>
  <c r="W42" i="37"/>
  <c r="W44" i="37"/>
  <c r="W43" i="37"/>
  <c r="N147" i="30"/>
  <c r="N147" i="26"/>
  <c r="N38" i="11"/>
  <c r="N37" i="11"/>
  <c r="N146" i="21"/>
  <c r="N147" i="21" s="1"/>
  <c r="U172" i="37"/>
  <c r="U178" i="37"/>
  <c r="U176" i="37"/>
  <c r="U173" i="37"/>
  <c r="U174" i="37"/>
  <c r="U177" i="37"/>
  <c r="N24" i="11"/>
  <c r="V93" i="37"/>
  <c r="O23" i="11"/>
  <c r="V21" i="37"/>
  <c r="V20" i="37"/>
  <c r="U185" i="37"/>
  <c r="U187" i="37"/>
  <c r="U183" i="37"/>
  <c r="U186" i="37"/>
  <c r="U181" i="37"/>
  <c r="U182" i="37"/>
  <c r="V98" i="37"/>
  <c r="V77" i="37"/>
  <c r="V164" i="37"/>
  <c r="V165" i="37"/>
  <c r="V163" i="37"/>
  <c r="V169" i="37"/>
  <c r="V168" i="37"/>
  <c r="V167" i="37"/>
  <c r="W48" i="37"/>
  <c r="W46" i="37"/>
  <c r="W47" i="37"/>
  <c r="D93" i="24"/>
  <c r="V85" i="37"/>
  <c r="U135" i="37"/>
  <c r="U139" i="37"/>
  <c r="U144" i="37"/>
  <c r="U126" i="37"/>
  <c r="D90" i="22"/>
  <c r="O96" i="21"/>
  <c r="O95" i="21"/>
  <c r="E24" i="11"/>
  <c r="D89" i="23"/>
  <c r="D42" i="23"/>
  <c r="D46" i="23" s="1"/>
  <c r="D62" i="23" s="1"/>
  <c r="D147" i="23" s="1"/>
  <c r="P90" i="23"/>
  <c r="P43" i="23"/>
  <c r="D88" i="22"/>
  <c r="D42" i="22"/>
  <c r="D46" i="22" s="1"/>
  <c r="D62" i="22" s="1"/>
  <c r="D146" i="22" s="1"/>
  <c r="O137" i="23"/>
  <c r="O141" i="23" s="1"/>
  <c r="O146" i="23" s="1"/>
  <c r="D91" i="23"/>
  <c r="D34" i="11"/>
  <c r="D140" i="30"/>
  <c r="O96" i="22"/>
  <c r="O132" i="22" s="1"/>
  <c r="O100" i="22"/>
  <c r="O116" i="22" s="1"/>
  <c r="O52" i="22" s="1"/>
  <c r="O98" i="22"/>
  <c r="O134" i="22" s="1"/>
  <c r="O97" i="22"/>
  <c r="O133" i="22" s="1"/>
  <c r="E46" i="24"/>
  <c r="E62" i="24" s="1"/>
  <c r="E147" i="24" s="1"/>
  <c r="D42" i="25"/>
  <c r="D46" i="25" s="1"/>
  <c r="D62" i="25" s="1"/>
  <c r="D147" i="25" s="1"/>
  <c r="D89" i="25"/>
  <c r="D36" i="11"/>
  <c r="O96" i="30"/>
  <c r="O95" i="30"/>
  <c r="P89" i="23"/>
  <c r="P80" i="23"/>
  <c r="W23" i="37" s="1"/>
  <c r="W31" i="37" s="1"/>
  <c r="P42" i="23"/>
  <c r="D22" i="11"/>
  <c r="P78" i="22"/>
  <c r="O101" i="22"/>
  <c r="P77" i="22"/>
  <c r="P76" i="22"/>
  <c r="D91" i="25"/>
  <c r="D90" i="25"/>
  <c r="D89" i="22"/>
  <c r="D33" i="11"/>
  <c r="O118" i="23"/>
  <c r="O120" i="23"/>
  <c r="D90" i="23"/>
  <c r="P91" i="23"/>
  <c r="P44" i="23"/>
  <c r="N147" i="24" l="1"/>
  <c r="U158" i="37"/>
  <c r="U154" i="37"/>
  <c r="U189" i="37"/>
  <c r="U159" i="37"/>
  <c r="N27" i="11"/>
  <c r="U155" i="37"/>
  <c r="O95" i="26"/>
  <c r="O99" i="26" s="1"/>
  <c r="O135" i="26" s="1"/>
  <c r="U156" i="37"/>
  <c r="P79" i="24"/>
  <c r="P91" i="24" s="1"/>
  <c r="O102" i="24"/>
  <c r="P78" i="24"/>
  <c r="P90" i="24" s="1"/>
  <c r="O95" i="24"/>
  <c r="O101" i="24" s="1"/>
  <c r="O117" i="24" s="1"/>
  <c r="V68" i="37"/>
  <c r="V95" i="37"/>
  <c r="V74" i="37"/>
  <c r="P96" i="25"/>
  <c r="P102" i="25" s="1"/>
  <c r="V97" i="37"/>
  <c r="V76" i="37"/>
  <c r="P99" i="25"/>
  <c r="P135" i="25" s="1"/>
  <c r="P101" i="25"/>
  <c r="P117" i="25" s="1"/>
  <c r="P97" i="25"/>
  <c r="P133" i="25" s="1"/>
  <c r="W96" i="37"/>
  <c r="N32" i="11"/>
  <c r="N40" i="11" s="1"/>
  <c r="U175" i="37"/>
  <c r="O102" i="26"/>
  <c r="P77" i="26"/>
  <c r="P79" i="26"/>
  <c r="P78" i="26"/>
  <c r="U171" i="37"/>
  <c r="D77" i="21"/>
  <c r="E42" i="21" s="1"/>
  <c r="D140" i="21"/>
  <c r="D141" i="21" s="1"/>
  <c r="D146" i="21" s="1"/>
  <c r="W57" i="37"/>
  <c r="V83" i="37"/>
  <c r="V72" i="37"/>
  <c r="W86" i="37"/>
  <c r="V166" i="37"/>
  <c r="U180" i="37"/>
  <c r="U184" i="37"/>
  <c r="W75" i="37"/>
  <c r="V162" i="37"/>
  <c r="O62" i="23"/>
  <c r="O147" i="23" s="1"/>
  <c r="V152" i="37"/>
  <c r="P93" i="23"/>
  <c r="P94" i="23" s="1"/>
  <c r="P96" i="23" s="1"/>
  <c r="W26" i="37"/>
  <c r="W24" i="37"/>
  <c r="W25" i="37"/>
  <c r="D92" i="22"/>
  <c r="O136" i="22"/>
  <c r="O140" i="22" s="1"/>
  <c r="O145" i="22" s="1"/>
  <c r="D21" i="11"/>
  <c r="D29" i="21"/>
  <c r="D84" i="21"/>
  <c r="D85" i="21"/>
  <c r="D79" i="21"/>
  <c r="E44" i="21" s="1"/>
  <c r="D86" i="21"/>
  <c r="D78" i="21"/>
  <c r="E43" i="21" s="1"/>
  <c r="P90" i="22"/>
  <c r="P44" i="22"/>
  <c r="P46" i="23"/>
  <c r="O97" i="30"/>
  <c r="O133" i="30" s="1"/>
  <c r="O99" i="30"/>
  <c r="O135" i="30" s="1"/>
  <c r="O101" i="30"/>
  <c r="O117" i="30" s="1"/>
  <c r="O52" i="30" s="1"/>
  <c r="O98" i="30"/>
  <c r="O134" i="30" s="1"/>
  <c r="O98" i="21"/>
  <c r="O97" i="21"/>
  <c r="O101" i="21"/>
  <c r="O117" i="21" s="1"/>
  <c r="O99" i="21"/>
  <c r="E46" i="22"/>
  <c r="E62" i="22" s="1"/>
  <c r="P42" i="22"/>
  <c r="P79" i="22"/>
  <c r="W14" i="37" s="1"/>
  <c r="W22" i="37" s="1"/>
  <c r="P88" i="22"/>
  <c r="P79" i="30"/>
  <c r="P77" i="30"/>
  <c r="O102" i="30"/>
  <c r="P78" i="30"/>
  <c r="E22" i="11"/>
  <c r="O117" i="22"/>
  <c r="O119" i="22"/>
  <c r="P78" i="21"/>
  <c r="O102" i="21"/>
  <c r="P77" i="21"/>
  <c r="P79" i="21"/>
  <c r="P42" i="24"/>
  <c r="P89" i="24"/>
  <c r="P43" i="22"/>
  <c r="P89" i="22"/>
  <c r="D93" i="25"/>
  <c r="E46" i="23"/>
  <c r="E62" i="23" s="1"/>
  <c r="E147" i="23" s="1"/>
  <c r="E46" i="25"/>
  <c r="E62" i="25" s="1"/>
  <c r="E147" i="25" s="1"/>
  <c r="D78" i="30"/>
  <c r="E43" i="30" s="1"/>
  <c r="D86" i="30"/>
  <c r="D141" i="30"/>
  <c r="D85" i="30"/>
  <c r="D84" i="30"/>
  <c r="D29" i="30"/>
  <c r="D77" i="30"/>
  <c r="E42" i="30" s="1"/>
  <c r="D79" i="30"/>
  <c r="E44" i="30" s="1"/>
  <c r="O34" i="11"/>
  <c r="D93" i="23"/>
  <c r="U157" i="37" l="1"/>
  <c r="P44" i="24"/>
  <c r="U153" i="37"/>
  <c r="U190" i="37" s="1"/>
  <c r="N42" i="11"/>
  <c r="P80" i="24"/>
  <c r="W32" i="37" s="1"/>
  <c r="W40" i="37" s="1"/>
  <c r="P43" i="24"/>
  <c r="O101" i="26"/>
  <c r="O117" i="26" s="1"/>
  <c r="O52" i="26" s="1"/>
  <c r="O97" i="26"/>
  <c r="O133" i="26" s="1"/>
  <c r="O98" i="26"/>
  <c r="O134" i="26" s="1"/>
  <c r="O52" i="24"/>
  <c r="O62" i="24" s="1"/>
  <c r="O120" i="24"/>
  <c r="O118" i="24"/>
  <c r="V161" i="37" s="1"/>
  <c r="O99" i="24"/>
  <c r="O135" i="24" s="1"/>
  <c r="O97" i="24"/>
  <c r="O133" i="24" s="1"/>
  <c r="O98" i="24"/>
  <c r="O134" i="24" s="1"/>
  <c r="Q78" i="25"/>
  <c r="Q90" i="25" s="1"/>
  <c r="Q79" i="25"/>
  <c r="Q91" i="25" s="1"/>
  <c r="Q77" i="25"/>
  <c r="Q89" i="25" s="1"/>
  <c r="O118" i="21"/>
  <c r="V134" i="37" s="1"/>
  <c r="O52" i="21"/>
  <c r="O62" i="21" s="1"/>
  <c r="P118" i="25"/>
  <c r="W170" i="37" s="1"/>
  <c r="P52" i="25"/>
  <c r="P62" i="25" s="1"/>
  <c r="P137" i="25"/>
  <c r="P141" i="25" s="1"/>
  <c r="P146" i="25" s="1"/>
  <c r="P36" i="11" s="1"/>
  <c r="P120" i="25"/>
  <c r="D146" i="30"/>
  <c r="D38" i="11" s="1"/>
  <c r="E146" i="22"/>
  <c r="P89" i="26"/>
  <c r="P80" i="26"/>
  <c r="W50" i="37" s="1"/>
  <c r="P42" i="26"/>
  <c r="P91" i="26"/>
  <c r="P44" i="26"/>
  <c r="P90" i="26"/>
  <c r="P43" i="26"/>
  <c r="V145" i="37"/>
  <c r="V146" i="37"/>
  <c r="V147" i="37"/>
  <c r="D23" i="11"/>
  <c r="O21" i="11"/>
  <c r="D20" i="11"/>
  <c r="E20" i="11"/>
  <c r="W55" i="37"/>
  <c r="W56" i="37"/>
  <c r="W87" i="37" s="1"/>
  <c r="W28" i="37"/>
  <c r="W30" i="37"/>
  <c r="P95" i="23"/>
  <c r="P99" i="23" s="1"/>
  <c r="P135" i="23" s="1"/>
  <c r="W94" i="37"/>
  <c r="V150" i="37"/>
  <c r="V149" i="37"/>
  <c r="V151" i="37"/>
  <c r="P46" i="22"/>
  <c r="O62" i="22"/>
  <c r="O146" i="22" s="1"/>
  <c r="V143" i="37"/>
  <c r="W17" i="37"/>
  <c r="W16" i="37"/>
  <c r="W15" i="37"/>
  <c r="O134" i="21"/>
  <c r="O135" i="21"/>
  <c r="O133" i="21"/>
  <c r="O33" i="11"/>
  <c r="D91" i="21"/>
  <c r="D42" i="30"/>
  <c r="D46" i="30" s="1"/>
  <c r="D62" i="30" s="1"/>
  <c r="D89" i="30"/>
  <c r="E23" i="11"/>
  <c r="P89" i="21"/>
  <c r="P42" i="21"/>
  <c r="P80" i="21"/>
  <c r="W5" i="37" s="1"/>
  <c r="W13" i="37" s="1"/>
  <c r="O118" i="30"/>
  <c r="O120" i="30"/>
  <c r="D89" i="21"/>
  <c r="D42" i="21"/>
  <c r="D46" i="21" s="1"/>
  <c r="D62" i="21" s="1"/>
  <c r="D147" i="21" s="1"/>
  <c r="D91" i="30"/>
  <c r="D90" i="30"/>
  <c r="P90" i="30"/>
  <c r="P43" i="30"/>
  <c r="Q78" i="23"/>
  <c r="Q77" i="23"/>
  <c r="P102" i="23"/>
  <c r="Q79" i="23"/>
  <c r="P93" i="24"/>
  <c r="P94" i="24" s="1"/>
  <c r="P89" i="30"/>
  <c r="P80" i="30"/>
  <c r="W59" i="37" s="1"/>
  <c r="W67" i="37" s="1"/>
  <c r="P42" i="30"/>
  <c r="P92" i="22"/>
  <c r="P93" i="22" s="1"/>
  <c r="D90" i="21"/>
  <c r="D32" i="11"/>
  <c r="P91" i="21"/>
  <c r="P44" i="21"/>
  <c r="E21" i="11"/>
  <c r="P90" i="21"/>
  <c r="P43" i="21"/>
  <c r="P44" i="30"/>
  <c r="P91" i="30"/>
  <c r="O137" i="30"/>
  <c r="O141" i="30" s="1"/>
  <c r="P46" i="24" l="1"/>
  <c r="W33" i="37"/>
  <c r="W35" i="37"/>
  <c r="W34" i="37"/>
  <c r="O120" i="26"/>
  <c r="O118" i="26"/>
  <c r="V179" i="37" s="1"/>
  <c r="O137" i="26"/>
  <c r="O141" i="26" s="1"/>
  <c r="O146" i="26" s="1"/>
  <c r="O37" i="11" s="1"/>
  <c r="O137" i="24"/>
  <c r="O141" i="24" s="1"/>
  <c r="O146" i="24" s="1"/>
  <c r="O35" i="11" s="1"/>
  <c r="Q44" i="25"/>
  <c r="Q43" i="25"/>
  <c r="Q42" i="25"/>
  <c r="Q93" i="25"/>
  <c r="Q94" i="25" s="1"/>
  <c r="Q96" i="25" s="1"/>
  <c r="Q80" i="25"/>
  <c r="X41" i="37" s="1"/>
  <c r="X44" i="37" s="1"/>
  <c r="P147" i="25"/>
  <c r="D40" i="11"/>
  <c r="D25" i="11"/>
  <c r="D147" i="30"/>
  <c r="O146" i="30"/>
  <c r="P93" i="26"/>
  <c r="P94" i="26" s="1"/>
  <c r="P95" i="26" s="1"/>
  <c r="W52" i="37"/>
  <c r="W53" i="37"/>
  <c r="W51" i="37"/>
  <c r="W58" i="37"/>
  <c r="W68" i="37" s="1"/>
  <c r="O62" i="26"/>
  <c r="P46" i="26"/>
  <c r="X48" i="37"/>
  <c r="P98" i="23"/>
  <c r="P134" i="23" s="1"/>
  <c r="P101" i="23"/>
  <c r="P117" i="23" s="1"/>
  <c r="P97" i="23"/>
  <c r="P133" i="23" s="1"/>
  <c r="W84" i="37"/>
  <c r="O62" i="30"/>
  <c r="O25" i="11" s="1"/>
  <c r="V188" i="37"/>
  <c r="W62" i="37"/>
  <c r="W61" i="37"/>
  <c r="W60" i="37"/>
  <c r="W164" i="37"/>
  <c r="W165" i="37"/>
  <c r="W163" i="37"/>
  <c r="W168" i="37"/>
  <c r="W167" i="37"/>
  <c r="W169" i="37"/>
  <c r="V154" i="37"/>
  <c r="V155" i="37"/>
  <c r="V156" i="37"/>
  <c r="V159" i="37"/>
  <c r="V158" i="37"/>
  <c r="V160" i="37"/>
  <c r="W37" i="37"/>
  <c r="W38" i="37"/>
  <c r="W39" i="37"/>
  <c r="V148" i="37"/>
  <c r="W73" i="37"/>
  <c r="W19" i="37"/>
  <c r="W21" i="37"/>
  <c r="W20" i="37"/>
  <c r="V137" i="37"/>
  <c r="V138" i="37"/>
  <c r="V136" i="37"/>
  <c r="V142" i="37"/>
  <c r="V141" i="37"/>
  <c r="V140" i="37"/>
  <c r="W93" i="37"/>
  <c r="O137" i="21"/>
  <c r="O141" i="21" s="1"/>
  <c r="O146" i="21" s="1"/>
  <c r="V129" i="37"/>
  <c r="V128" i="37"/>
  <c r="V127" i="37"/>
  <c r="E46" i="21"/>
  <c r="E62" i="21" s="1"/>
  <c r="X55" i="37"/>
  <c r="X57" i="37"/>
  <c r="X56" i="37"/>
  <c r="P46" i="21"/>
  <c r="E46" i="30"/>
  <c r="E62" i="30" s="1"/>
  <c r="E147" i="30" s="1"/>
  <c r="P93" i="21"/>
  <c r="P94" i="21" s="1"/>
  <c r="D93" i="30"/>
  <c r="D19" i="11"/>
  <c r="P95" i="22"/>
  <c r="P94" i="22"/>
  <c r="P96" i="24"/>
  <c r="P95" i="24"/>
  <c r="Q91" i="23"/>
  <c r="Q44" i="23"/>
  <c r="Q89" i="23"/>
  <c r="Q80" i="23"/>
  <c r="X23" i="37" s="1"/>
  <c r="X31" i="37" s="1"/>
  <c r="Q42" i="23"/>
  <c r="P93" i="30"/>
  <c r="P94" i="30" s="1"/>
  <c r="Q43" i="23"/>
  <c r="Q90" i="23"/>
  <c r="P46" i="30"/>
  <c r="D93" i="21"/>
  <c r="W95" i="37" l="1"/>
  <c r="Q95" i="25"/>
  <c r="Q99" i="25" s="1"/>
  <c r="Q135" i="25" s="1"/>
  <c r="O147" i="24"/>
  <c r="Q46" i="25"/>
  <c r="X43" i="37"/>
  <c r="X96" i="37" s="1"/>
  <c r="X49" i="37"/>
  <c r="X42" i="37"/>
  <c r="P118" i="23"/>
  <c r="W152" i="37" s="1"/>
  <c r="P52" i="23"/>
  <c r="P62" i="23" s="1"/>
  <c r="O147" i="30"/>
  <c r="O38" i="11"/>
  <c r="O147" i="26"/>
  <c r="O147" i="21"/>
  <c r="P96" i="26"/>
  <c r="Q79" i="26" s="1"/>
  <c r="E25" i="11"/>
  <c r="E147" i="21"/>
  <c r="W97" i="37"/>
  <c r="V189" i="37"/>
  <c r="V174" i="37"/>
  <c r="V177" i="37"/>
  <c r="V176" i="37"/>
  <c r="V173" i="37"/>
  <c r="V172" i="37"/>
  <c r="V178" i="37"/>
  <c r="O24" i="11"/>
  <c r="W76" i="37"/>
  <c r="P97" i="26"/>
  <c r="P133" i="26" s="1"/>
  <c r="P98" i="26"/>
  <c r="P134" i="26" s="1"/>
  <c r="P101" i="26"/>
  <c r="P117" i="26" s="1"/>
  <c r="P52" i="26" s="1"/>
  <c r="P99" i="26"/>
  <c r="P135" i="26" s="1"/>
  <c r="D27" i="11"/>
  <c r="D42" i="11" s="1"/>
  <c r="O19" i="11"/>
  <c r="P23" i="11"/>
  <c r="O22" i="11"/>
  <c r="O20" i="11"/>
  <c r="X47" i="37"/>
  <c r="X86" i="37" s="1"/>
  <c r="X46" i="37"/>
  <c r="P137" i="23"/>
  <c r="P141" i="23" s="1"/>
  <c r="P146" i="23" s="1"/>
  <c r="P120" i="23"/>
  <c r="W74" i="37"/>
  <c r="Q46" i="23"/>
  <c r="V183" i="37"/>
  <c r="V182" i="37"/>
  <c r="V185" i="37"/>
  <c r="V187" i="37"/>
  <c r="V181" i="37"/>
  <c r="V186" i="37"/>
  <c r="W98" i="37"/>
  <c r="W77" i="37"/>
  <c r="W166" i="37"/>
  <c r="W162" i="37"/>
  <c r="W85" i="37"/>
  <c r="V157" i="37"/>
  <c r="V153" i="37"/>
  <c r="X24" i="37"/>
  <c r="X25" i="37"/>
  <c r="X26" i="37"/>
  <c r="E19" i="11"/>
  <c r="O32" i="11"/>
  <c r="V135" i="37"/>
  <c r="W72" i="37"/>
  <c r="V139" i="37"/>
  <c r="W83" i="37"/>
  <c r="V126" i="37"/>
  <c r="V144" i="37"/>
  <c r="X87" i="37"/>
  <c r="R77" i="25"/>
  <c r="Q102" i="25"/>
  <c r="R79" i="25"/>
  <c r="R78" i="25"/>
  <c r="P97" i="24"/>
  <c r="P133" i="24" s="1"/>
  <c r="P98" i="24"/>
  <c r="P134" i="24" s="1"/>
  <c r="P101" i="24"/>
  <c r="P117" i="24" s="1"/>
  <c r="P52" i="24" s="1"/>
  <c r="P99" i="24"/>
  <c r="P135" i="24" s="1"/>
  <c r="P95" i="21"/>
  <c r="P96" i="21"/>
  <c r="P102" i="24"/>
  <c r="Q77" i="24"/>
  <c r="Q79" i="24"/>
  <c r="Q78" i="24"/>
  <c r="P95" i="30"/>
  <c r="P96" i="30"/>
  <c r="Q93" i="23"/>
  <c r="Q94" i="23" s="1"/>
  <c r="P100" i="22"/>
  <c r="P116" i="22" s="1"/>
  <c r="P52" i="22" s="1"/>
  <c r="P96" i="22"/>
  <c r="P132" i="22" s="1"/>
  <c r="P97" i="22"/>
  <c r="P133" i="22" s="1"/>
  <c r="P98" i="22"/>
  <c r="P134" i="22" s="1"/>
  <c r="Q76" i="22"/>
  <c r="Q77" i="22"/>
  <c r="Q78" i="22"/>
  <c r="P101" i="22"/>
  <c r="Q101" i="25" l="1"/>
  <c r="Q117" i="25" s="1"/>
  <c r="Q52" i="25" s="1"/>
  <c r="Q97" i="25"/>
  <c r="Q133" i="25" s="1"/>
  <c r="Q98" i="25"/>
  <c r="Q134" i="25" s="1"/>
  <c r="O40" i="11"/>
  <c r="P147" i="23"/>
  <c r="Q77" i="26"/>
  <c r="Q89" i="26" s="1"/>
  <c r="P102" i="26"/>
  <c r="Q78" i="26"/>
  <c r="Q43" i="26" s="1"/>
  <c r="P137" i="26"/>
  <c r="P141" i="26" s="1"/>
  <c r="P120" i="26"/>
  <c r="P118" i="26"/>
  <c r="V175" i="37"/>
  <c r="Q91" i="26"/>
  <c r="Q44" i="26"/>
  <c r="V171" i="37"/>
  <c r="E27" i="11"/>
  <c r="E42" i="11" s="1"/>
  <c r="O27" i="11"/>
  <c r="W147" i="37"/>
  <c r="W145" i="37"/>
  <c r="W146" i="37"/>
  <c r="P34" i="11"/>
  <c r="P21" i="11"/>
  <c r="X75" i="37"/>
  <c r="V180" i="37"/>
  <c r="V184" i="37"/>
  <c r="X94" i="37"/>
  <c r="X28" i="37"/>
  <c r="X29" i="37"/>
  <c r="X30" i="37"/>
  <c r="W149" i="37"/>
  <c r="W151" i="37"/>
  <c r="W150" i="37"/>
  <c r="Q90" i="24"/>
  <c r="Q43" i="24"/>
  <c r="Q44" i="22"/>
  <c r="Q90" i="22"/>
  <c r="Q44" i="24"/>
  <c r="Q91" i="24"/>
  <c r="P102" i="21"/>
  <c r="Q78" i="21"/>
  <c r="Q79" i="21"/>
  <c r="Q77" i="21"/>
  <c r="P137" i="24"/>
  <c r="P141" i="24" s="1"/>
  <c r="P146" i="24" s="1"/>
  <c r="R89" i="25"/>
  <c r="R80" i="25"/>
  <c r="Y41" i="37" s="1"/>
  <c r="Y49" i="37" s="1"/>
  <c r="R42" i="25"/>
  <c r="P99" i="30"/>
  <c r="P135" i="30" s="1"/>
  <c r="P97" i="30"/>
  <c r="P133" i="30" s="1"/>
  <c r="P98" i="30"/>
  <c r="P134" i="30" s="1"/>
  <c r="P101" i="30"/>
  <c r="P117" i="30" s="1"/>
  <c r="P52" i="30" s="1"/>
  <c r="Q43" i="22"/>
  <c r="Q89" i="22"/>
  <c r="P136" i="22"/>
  <c r="P140" i="22" s="1"/>
  <c r="P145" i="22" s="1"/>
  <c r="Q96" i="23"/>
  <c r="Q95" i="23"/>
  <c r="Q89" i="24"/>
  <c r="Q80" i="24"/>
  <c r="X32" i="37" s="1"/>
  <c r="X40" i="37" s="1"/>
  <c r="Q42" i="24"/>
  <c r="P98" i="21"/>
  <c r="P101" i="21"/>
  <c r="P117" i="21" s="1"/>
  <c r="P99" i="21"/>
  <c r="P97" i="21"/>
  <c r="R43" i="25"/>
  <c r="R90" i="25"/>
  <c r="Q88" i="22"/>
  <c r="Q42" i="22"/>
  <c r="Q79" i="22"/>
  <c r="X14" i="37" s="1"/>
  <c r="X22" i="37" s="1"/>
  <c r="P117" i="22"/>
  <c r="P119" i="22"/>
  <c r="Q77" i="30"/>
  <c r="Q79" i="30"/>
  <c r="Q78" i="30"/>
  <c r="P102" i="30"/>
  <c r="P118" i="24"/>
  <c r="P120" i="24"/>
  <c r="R91" i="25"/>
  <c r="R44" i="25"/>
  <c r="Q118" i="25" l="1"/>
  <c r="X170" i="37" s="1"/>
  <c r="Q120" i="25"/>
  <c r="Q137" i="25"/>
  <c r="Q141" i="25" s="1"/>
  <c r="Q146" i="25" s="1"/>
  <c r="Q36" i="11" s="1"/>
  <c r="P118" i="21"/>
  <c r="W134" i="37" s="1"/>
  <c r="P52" i="21"/>
  <c r="P62" i="21" s="1"/>
  <c r="O42" i="11"/>
  <c r="Q42" i="26"/>
  <c r="Q46" i="26" s="1"/>
  <c r="P146" i="26"/>
  <c r="Q90" i="26"/>
  <c r="Q93" i="26" s="1"/>
  <c r="Q94" i="26" s="1"/>
  <c r="Q80" i="26"/>
  <c r="X50" i="37" s="1"/>
  <c r="X53" i="37" s="1"/>
  <c r="V190" i="37"/>
  <c r="W179" i="37"/>
  <c r="P62" i="26"/>
  <c r="Y57" i="37"/>
  <c r="X73" i="37"/>
  <c r="Q93" i="24"/>
  <c r="Q94" i="24" s="1"/>
  <c r="Q96" i="24" s="1"/>
  <c r="R93" i="25"/>
  <c r="R94" i="25" s="1"/>
  <c r="R96" i="25" s="1"/>
  <c r="Q62" i="25"/>
  <c r="Y44" i="37"/>
  <c r="Y42" i="37"/>
  <c r="Y43" i="37"/>
  <c r="P62" i="24"/>
  <c r="P147" i="24" s="1"/>
  <c r="W161" i="37"/>
  <c r="X34" i="37"/>
  <c r="X33" i="37"/>
  <c r="X35" i="37"/>
  <c r="W148" i="37"/>
  <c r="X84" i="37"/>
  <c r="P62" i="22"/>
  <c r="W143" i="37"/>
  <c r="Q46" i="22"/>
  <c r="X16" i="37"/>
  <c r="X17" i="37"/>
  <c r="X15" i="37"/>
  <c r="Q92" i="22"/>
  <c r="Q93" i="22" s="1"/>
  <c r="Q95" i="22" s="1"/>
  <c r="P135" i="21"/>
  <c r="P134" i="21"/>
  <c r="P133" i="21"/>
  <c r="Q90" i="30"/>
  <c r="Q43" i="30"/>
  <c r="Q46" i="24"/>
  <c r="R79" i="23"/>
  <c r="R77" i="23"/>
  <c r="R78" i="23"/>
  <c r="Q102" i="23"/>
  <c r="P118" i="30"/>
  <c r="P120" i="30"/>
  <c r="R46" i="25"/>
  <c r="Q42" i="21"/>
  <c r="Q80" i="21"/>
  <c r="X5" i="37" s="1"/>
  <c r="X13" i="37" s="1"/>
  <c r="Q89" i="21"/>
  <c r="Q80" i="30"/>
  <c r="X59" i="37" s="1"/>
  <c r="X67" i="37" s="1"/>
  <c r="Q89" i="30"/>
  <c r="Q42" i="30"/>
  <c r="Q99" i="23"/>
  <c r="Q135" i="23" s="1"/>
  <c r="Q101" i="23"/>
  <c r="Q117" i="23" s="1"/>
  <c r="Q52" i="23" s="1"/>
  <c r="Q98" i="23"/>
  <c r="Q134" i="23" s="1"/>
  <c r="Q97" i="23"/>
  <c r="Q133" i="23" s="1"/>
  <c r="P35" i="11"/>
  <c r="Q44" i="30"/>
  <c r="Q91" i="30"/>
  <c r="P33" i="11"/>
  <c r="Q91" i="21"/>
  <c r="Q44" i="21"/>
  <c r="P137" i="30"/>
  <c r="P141" i="30" s="1"/>
  <c r="Q43" i="21"/>
  <c r="Q90" i="21"/>
  <c r="Q147" i="25" l="1"/>
  <c r="X52" i="37"/>
  <c r="X97" i="37" s="1"/>
  <c r="Q95" i="26"/>
  <c r="Q98" i="26" s="1"/>
  <c r="Q134" i="26" s="1"/>
  <c r="Q96" i="26"/>
  <c r="R79" i="26" s="1"/>
  <c r="X58" i="37"/>
  <c r="X68" i="37" s="1"/>
  <c r="P147" i="26"/>
  <c r="P37" i="11"/>
  <c r="P146" i="30"/>
  <c r="X51" i="37"/>
  <c r="P146" i="22"/>
  <c r="W174" i="37"/>
  <c r="W172" i="37"/>
  <c r="W176" i="37"/>
  <c r="W173" i="37"/>
  <c r="W177" i="37"/>
  <c r="W178" i="37"/>
  <c r="P24" i="11"/>
  <c r="Y55" i="37"/>
  <c r="Q23" i="11"/>
  <c r="P20" i="11"/>
  <c r="R95" i="25"/>
  <c r="R99" i="25" s="1"/>
  <c r="R135" i="25" s="1"/>
  <c r="Y56" i="37"/>
  <c r="Q95" i="24"/>
  <c r="Q98" i="24" s="1"/>
  <c r="Q134" i="24" s="1"/>
  <c r="Q93" i="30"/>
  <c r="Q94" i="30" s="1"/>
  <c r="Q95" i="30" s="1"/>
  <c r="P62" i="30"/>
  <c r="W188" i="37"/>
  <c r="W189" i="37" s="1"/>
  <c r="X62" i="37"/>
  <c r="X60" i="37"/>
  <c r="X61" i="37"/>
  <c r="Y48" i="37"/>
  <c r="Y46" i="37"/>
  <c r="Y47" i="37"/>
  <c r="X165" i="37"/>
  <c r="X164" i="37"/>
  <c r="X163" i="37"/>
  <c r="X168" i="37"/>
  <c r="X167" i="37"/>
  <c r="X169" i="37"/>
  <c r="Y96" i="37"/>
  <c r="X39" i="37"/>
  <c r="X37" i="37"/>
  <c r="X38" i="37"/>
  <c r="W155" i="37"/>
  <c r="W154" i="37"/>
  <c r="W156" i="37"/>
  <c r="W160" i="37"/>
  <c r="W158" i="37"/>
  <c r="W159" i="37"/>
  <c r="P22" i="11"/>
  <c r="X95" i="37"/>
  <c r="Q94" i="22"/>
  <c r="Q97" i="22" s="1"/>
  <c r="Q133" i="22" s="1"/>
  <c r="W138" i="37"/>
  <c r="W136" i="37"/>
  <c r="W137" i="37"/>
  <c r="W140" i="37"/>
  <c r="W141" i="37"/>
  <c r="W142" i="37"/>
  <c r="X93" i="37"/>
  <c r="X19" i="37"/>
  <c r="X20" i="37"/>
  <c r="X21" i="37"/>
  <c r="P137" i="21"/>
  <c r="P141" i="21" s="1"/>
  <c r="P146" i="21" s="1"/>
  <c r="W127" i="37"/>
  <c r="W129" i="37"/>
  <c r="W128" i="37"/>
  <c r="Q93" i="21"/>
  <c r="Q94" i="21" s="1"/>
  <c r="R43" i="23"/>
  <c r="R90" i="23"/>
  <c r="S78" i="25"/>
  <c r="S77" i="25"/>
  <c r="R102" i="25"/>
  <c r="S79" i="25"/>
  <c r="Q102" i="24"/>
  <c r="R77" i="24"/>
  <c r="R78" i="24"/>
  <c r="R79" i="24"/>
  <c r="Q137" i="23"/>
  <c r="Q141" i="23" s="1"/>
  <c r="Q146" i="23" s="1"/>
  <c r="Q46" i="30"/>
  <c r="R42" i="23"/>
  <c r="R80" i="23"/>
  <c r="Y23" i="37" s="1"/>
  <c r="Y31" i="37" s="1"/>
  <c r="R89" i="23"/>
  <c r="R77" i="22"/>
  <c r="R78" i="22"/>
  <c r="R76" i="22"/>
  <c r="Q101" i="22"/>
  <c r="Q46" i="21"/>
  <c r="R44" i="23"/>
  <c r="R91" i="23"/>
  <c r="Q118" i="23"/>
  <c r="Q120" i="23"/>
  <c r="X76" i="37" l="1"/>
  <c r="R77" i="26"/>
  <c r="R89" i="26" s="1"/>
  <c r="Q101" i="26"/>
  <c r="Q117" i="26" s="1"/>
  <c r="Q52" i="26" s="1"/>
  <c r="Q97" i="26"/>
  <c r="Q133" i="26" s="1"/>
  <c r="Q102" i="26"/>
  <c r="Q99" i="26"/>
  <c r="Q135" i="26" s="1"/>
  <c r="P147" i="30"/>
  <c r="R78" i="26"/>
  <c r="R90" i="26" s="1"/>
  <c r="P38" i="11"/>
  <c r="P147" i="21"/>
  <c r="P25" i="11"/>
  <c r="W175" i="37"/>
  <c r="W171" i="37"/>
  <c r="R91" i="26"/>
  <c r="R44" i="26"/>
  <c r="P19" i="11"/>
  <c r="R98" i="25"/>
  <c r="R134" i="25" s="1"/>
  <c r="R97" i="25"/>
  <c r="R133" i="25" s="1"/>
  <c r="R101" i="25"/>
  <c r="R117" i="25" s="1"/>
  <c r="Y87" i="37"/>
  <c r="X74" i="37"/>
  <c r="Q96" i="30"/>
  <c r="Q102" i="30" s="1"/>
  <c r="P32" i="11"/>
  <c r="Q99" i="24"/>
  <c r="Q135" i="24" s="1"/>
  <c r="Q101" i="24"/>
  <c r="Q117" i="24" s="1"/>
  <c r="Q97" i="24"/>
  <c r="Q133" i="24" s="1"/>
  <c r="X162" i="37"/>
  <c r="Y75" i="37"/>
  <c r="X98" i="37"/>
  <c r="X77" i="37"/>
  <c r="W181" i="37"/>
  <c r="W187" i="37"/>
  <c r="W185" i="37"/>
  <c r="W183" i="37"/>
  <c r="W186" i="37"/>
  <c r="W182" i="37"/>
  <c r="X166" i="37"/>
  <c r="Y86" i="37"/>
  <c r="W153" i="37"/>
  <c r="W157" i="37"/>
  <c r="X85" i="37"/>
  <c r="R46" i="23"/>
  <c r="Y24" i="37"/>
  <c r="Y26" i="37"/>
  <c r="Y25" i="37"/>
  <c r="Q62" i="23"/>
  <c r="Q147" i="23" s="1"/>
  <c r="X152" i="37"/>
  <c r="Q100" i="22"/>
  <c r="Q116" i="22" s="1"/>
  <c r="Q96" i="22"/>
  <c r="Q132" i="22" s="1"/>
  <c r="Q98" i="22"/>
  <c r="Q134" i="22" s="1"/>
  <c r="W135" i="37"/>
  <c r="X83" i="37"/>
  <c r="X72" i="37"/>
  <c r="W139" i="37"/>
  <c r="W144" i="37"/>
  <c r="W126" i="37"/>
  <c r="R42" i="22"/>
  <c r="R88" i="22"/>
  <c r="R79" i="22"/>
  <c r="Y14" i="37" s="1"/>
  <c r="Y22" i="37" s="1"/>
  <c r="R43" i="24"/>
  <c r="R90" i="24"/>
  <c r="Q96" i="21"/>
  <c r="Q95" i="21"/>
  <c r="Q101" i="30"/>
  <c r="Q117" i="30" s="1"/>
  <c r="Q52" i="30" s="1"/>
  <c r="Q98" i="30"/>
  <c r="Q134" i="30" s="1"/>
  <c r="Q99" i="30"/>
  <c r="Q135" i="30" s="1"/>
  <c r="Q97" i="30"/>
  <c r="Q133" i="30" s="1"/>
  <c r="R44" i="22"/>
  <c r="R90" i="22"/>
  <c r="Q34" i="11"/>
  <c r="R80" i="24"/>
  <c r="Y32" i="37" s="1"/>
  <c r="Y40" i="37" s="1"/>
  <c r="R42" i="24"/>
  <c r="R89" i="24"/>
  <c r="S89" i="25"/>
  <c r="S80" i="25"/>
  <c r="Z41" i="37" s="1"/>
  <c r="Z49" i="37" s="1"/>
  <c r="S42" i="25"/>
  <c r="R43" i="22"/>
  <c r="R89" i="22"/>
  <c r="R93" i="23"/>
  <c r="R94" i="23" s="1"/>
  <c r="S43" i="25"/>
  <c r="S90" i="25"/>
  <c r="R44" i="24"/>
  <c r="R91" i="24"/>
  <c r="S44" i="25"/>
  <c r="S91" i="25"/>
  <c r="R42" i="26" l="1"/>
  <c r="Q120" i="26"/>
  <c r="Q118" i="24"/>
  <c r="X161" i="37" s="1"/>
  <c r="Q52" i="24"/>
  <c r="Q62" i="24" s="1"/>
  <c r="Q119" i="22"/>
  <c r="Q52" i="22"/>
  <c r="Q118" i="26"/>
  <c r="X179" i="37" s="1"/>
  <c r="R120" i="25"/>
  <c r="R52" i="25"/>
  <c r="Q137" i="26"/>
  <c r="Q141" i="26" s="1"/>
  <c r="Q146" i="26" s="1"/>
  <c r="Q37" i="11" s="1"/>
  <c r="R43" i="26"/>
  <c r="R80" i="26"/>
  <c r="Y50" i="37" s="1"/>
  <c r="Y58" i="37" s="1"/>
  <c r="P40" i="11"/>
  <c r="P27" i="11"/>
  <c r="R93" i="26"/>
  <c r="R94" i="26" s="1"/>
  <c r="Q62" i="26"/>
  <c r="X145" i="37"/>
  <c r="X146" i="37"/>
  <c r="X147" i="37"/>
  <c r="R137" i="25"/>
  <c r="R141" i="25" s="1"/>
  <c r="R146" i="25" s="1"/>
  <c r="Q21" i="11"/>
  <c r="R118" i="25"/>
  <c r="R79" i="30"/>
  <c r="R91" i="30" s="1"/>
  <c r="R78" i="30"/>
  <c r="R90" i="30" s="1"/>
  <c r="R77" i="30"/>
  <c r="Q137" i="24"/>
  <c r="Q141" i="24" s="1"/>
  <c r="Q146" i="24" s="1"/>
  <c r="Q117" i="22"/>
  <c r="Q120" i="24"/>
  <c r="S46" i="25"/>
  <c r="W180" i="37"/>
  <c r="W190" i="37" s="1"/>
  <c r="W184" i="37"/>
  <c r="Z44" i="37"/>
  <c r="Z42" i="37"/>
  <c r="Z43" i="37"/>
  <c r="Y33" i="37"/>
  <c r="Y34" i="37"/>
  <c r="Y35" i="37"/>
  <c r="Y94" i="37"/>
  <c r="Y28" i="37"/>
  <c r="Y30" i="37"/>
  <c r="Y29" i="37"/>
  <c r="X149" i="37"/>
  <c r="X150" i="37"/>
  <c r="X151" i="37"/>
  <c r="Q136" i="22"/>
  <c r="Q140" i="22" s="1"/>
  <c r="Q145" i="22" s="1"/>
  <c r="Y15" i="37"/>
  <c r="Y16" i="37"/>
  <c r="Y17" i="37"/>
  <c r="R46" i="24"/>
  <c r="Q118" i="30"/>
  <c r="Q120" i="30"/>
  <c r="R46" i="22"/>
  <c r="S93" i="25"/>
  <c r="S94" i="25" s="1"/>
  <c r="Q137" i="30"/>
  <c r="Q141" i="30" s="1"/>
  <c r="Q98" i="21"/>
  <c r="Q101" i="21"/>
  <c r="Q117" i="21" s="1"/>
  <c r="Q99" i="21"/>
  <c r="Q97" i="21"/>
  <c r="R92" i="22"/>
  <c r="R93" i="22" s="1"/>
  <c r="R95" i="23"/>
  <c r="R96" i="23"/>
  <c r="R93" i="24"/>
  <c r="R94" i="24" s="1"/>
  <c r="Q102" i="21"/>
  <c r="R77" i="21"/>
  <c r="R78" i="21"/>
  <c r="R79" i="21"/>
  <c r="R46" i="26" l="1"/>
  <c r="Q62" i="22"/>
  <c r="Q146" i="22" s="1"/>
  <c r="Y51" i="37"/>
  <c r="Q118" i="21"/>
  <c r="X134" i="37" s="1"/>
  <c r="Q52" i="21"/>
  <c r="Q62" i="21" s="1"/>
  <c r="Y53" i="37"/>
  <c r="Y52" i="37"/>
  <c r="P42" i="11"/>
  <c r="Q146" i="30"/>
  <c r="Q147" i="26"/>
  <c r="Q147" i="24"/>
  <c r="Q24" i="11"/>
  <c r="X172" i="37"/>
  <c r="X176" i="37"/>
  <c r="X173" i="37"/>
  <c r="X174" i="37"/>
  <c r="X178" i="37"/>
  <c r="X177" i="37"/>
  <c r="R96" i="26"/>
  <c r="R95" i="26"/>
  <c r="R62" i="25"/>
  <c r="R147" i="25" s="1"/>
  <c r="Y170" i="37"/>
  <c r="Y164" i="37" s="1"/>
  <c r="Q33" i="11"/>
  <c r="R36" i="11"/>
  <c r="R44" i="30"/>
  <c r="R80" i="30"/>
  <c r="Y59" i="37" s="1"/>
  <c r="R42" i="30"/>
  <c r="R89" i="30"/>
  <c r="R93" i="30" s="1"/>
  <c r="R94" i="30" s="1"/>
  <c r="R96" i="30" s="1"/>
  <c r="R43" i="30"/>
  <c r="X143" i="37"/>
  <c r="X138" i="37" s="1"/>
  <c r="Q62" i="30"/>
  <c r="X188" i="37"/>
  <c r="Z48" i="37"/>
  <c r="Z46" i="37"/>
  <c r="Z47" i="37"/>
  <c r="Z96" i="37"/>
  <c r="X154" i="37"/>
  <c r="X156" i="37"/>
  <c r="X155" i="37"/>
  <c r="X158" i="37"/>
  <c r="X160" i="37"/>
  <c r="X159" i="37"/>
  <c r="Y95" i="37"/>
  <c r="Y39" i="37"/>
  <c r="Y37" i="37"/>
  <c r="Y38" i="37"/>
  <c r="Y73" i="37"/>
  <c r="X148" i="37"/>
  <c r="Y84" i="37"/>
  <c r="Y19" i="37"/>
  <c r="Y21" i="37"/>
  <c r="Y20" i="37"/>
  <c r="Y93" i="37"/>
  <c r="Q134" i="21"/>
  <c r="Q133" i="21"/>
  <c r="Q135" i="21"/>
  <c r="Z55" i="37"/>
  <c r="Z57" i="37"/>
  <c r="Z56" i="37"/>
  <c r="R80" i="21"/>
  <c r="Y5" i="37" s="1"/>
  <c r="Y13" i="37" s="1"/>
  <c r="R42" i="21"/>
  <c r="R89" i="21"/>
  <c r="S78" i="23"/>
  <c r="S79" i="23"/>
  <c r="R102" i="23"/>
  <c r="S77" i="23"/>
  <c r="R95" i="22"/>
  <c r="R94" i="22"/>
  <c r="R44" i="21"/>
  <c r="R91" i="21"/>
  <c r="R101" i="23"/>
  <c r="R117" i="23" s="1"/>
  <c r="R52" i="23" s="1"/>
  <c r="R97" i="23"/>
  <c r="R133" i="23" s="1"/>
  <c r="R98" i="23"/>
  <c r="R134" i="23" s="1"/>
  <c r="R99" i="23"/>
  <c r="R135" i="23" s="1"/>
  <c r="R95" i="24"/>
  <c r="R96" i="24"/>
  <c r="R90" i="21"/>
  <c r="R43" i="21"/>
  <c r="S95" i="25"/>
  <c r="S96" i="25"/>
  <c r="Q20" i="11" l="1"/>
  <c r="Y76" i="37"/>
  <c r="Y97" i="37"/>
  <c r="Q147" i="30"/>
  <c r="Q38" i="11"/>
  <c r="Q25" i="11"/>
  <c r="R102" i="26"/>
  <c r="S78" i="26"/>
  <c r="S79" i="26"/>
  <c r="S77" i="26"/>
  <c r="X171" i="37"/>
  <c r="R98" i="26"/>
  <c r="R134" i="26" s="1"/>
  <c r="R101" i="26"/>
  <c r="R117" i="26" s="1"/>
  <c r="R52" i="26" s="1"/>
  <c r="R97" i="26"/>
  <c r="R133" i="26" s="1"/>
  <c r="R99" i="26"/>
  <c r="R135" i="26" s="1"/>
  <c r="X175" i="37"/>
  <c r="Y62" i="37"/>
  <c r="Y67" i="37"/>
  <c r="Y68" i="37" s="1"/>
  <c r="X189" i="37"/>
  <c r="Q35" i="11"/>
  <c r="R23" i="11"/>
  <c r="Q22" i="11"/>
  <c r="Y163" i="37"/>
  <c r="Y165" i="37"/>
  <c r="Y169" i="37"/>
  <c r="Y168" i="37"/>
  <c r="Y167" i="37"/>
  <c r="Y61" i="37"/>
  <c r="Y60" i="37"/>
  <c r="R46" i="30"/>
  <c r="X141" i="37"/>
  <c r="X136" i="37"/>
  <c r="X140" i="37"/>
  <c r="X137" i="37"/>
  <c r="X142" i="37"/>
  <c r="Z75" i="37"/>
  <c r="R95" i="30"/>
  <c r="R99" i="30" s="1"/>
  <c r="R135" i="30" s="1"/>
  <c r="X181" i="37"/>
  <c r="X182" i="37"/>
  <c r="X185" i="37"/>
  <c r="X186" i="37"/>
  <c r="X183" i="37"/>
  <c r="X187" i="37"/>
  <c r="Z86" i="37"/>
  <c r="X153" i="37"/>
  <c r="Y85" i="37"/>
  <c r="Y74" i="37"/>
  <c r="X157" i="37"/>
  <c r="Y72" i="37"/>
  <c r="Y83" i="37"/>
  <c r="Q137" i="21"/>
  <c r="Q141" i="21" s="1"/>
  <c r="X129" i="37"/>
  <c r="X128" i="37"/>
  <c r="X127" i="37"/>
  <c r="Z87" i="37"/>
  <c r="R93" i="21"/>
  <c r="R94" i="21" s="1"/>
  <c r="R95" i="21" s="1"/>
  <c r="S102" i="25"/>
  <c r="T77" i="25"/>
  <c r="T79" i="25"/>
  <c r="T78" i="25"/>
  <c r="R97" i="24"/>
  <c r="R133" i="24" s="1"/>
  <c r="R101" i="24"/>
  <c r="R117" i="24" s="1"/>
  <c r="R52" i="24" s="1"/>
  <c r="R98" i="24"/>
  <c r="R134" i="24" s="1"/>
  <c r="R99" i="24"/>
  <c r="R135" i="24" s="1"/>
  <c r="R118" i="23"/>
  <c r="Y152" i="37" s="1"/>
  <c r="R120" i="23"/>
  <c r="R100" i="22"/>
  <c r="R116" i="22" s="1"/>
  <c r="R52" i="22" s="1"/>
  <c r="R96" i="22"/>
  <c r="R132" i="22" s="1"/>
  <c r="R97" i="22"/>
  <c r="R133" i="22" s="1"/>
  <c r="R98" i="22"/>
  <c r="R134" i="22" s="1"/>
  <c r="S78" i="22"/>
  <c r="S77" i="22"/>
  <c r="S76" i="22"/>
  <c r="R101" i="22"/>
  <c r="S90" i="23"/>
  <c r="S43" i="23"/>
  <c r="R46" i="21"/>
  <c r="R102" i="30"/>
  <c r="S79" i="30"/>
  <c r="S78" i="30"/>
  <c r="S77" i="30"/>
  <c r="S101" i="25"/>
  <c r="S117" i="25" s="1"/>
  <c r="S52" i="25" s="1"/>
  <c r="S97" i="25"/>
  <c r="S133" i="25" s="1"/>
  <c r="S98" i="25"/>
  <c r="S134" i="25" s="1"/>
  <c r="S99" i="25"/>
  <c r="S135" i="25" s="1"/>
  <c r="S91" i="23"/>
  <c r="S44" i="23"/>
  <c r="S78" i="24"/>
  <c r="S79" i="24"/>
  <c r="S77" i="24"/>
  <c r="R102" i="24"/>
  <c r="R137" i="23"/>
  <c r="R141" i="23" s="1"/>
  <c r="R146" i="23" s="1"/>
  <c r="S80" i="23"/>
  <c r="Z23" i="37" s="1"/>
  <c r="Z31" i="37" s="1"/>
  <c r="S89" i="23"/>
  <c r="S42" i="23"/>
  <c r="Q146" i="21" l="1"/>
  <c r="Q147" i="21" s="1"/>
  <c r="S91" i="26"/>
  <c r="S44" i="26"/>
  <c r="S90" i="26"/>
  <c r="S43" i="26"/>
  <c r="R137" i="26"/>
  <c r="R141" i="26" s="1"/>
  <c r="R146" i="26" s="1"/>
  <c r="S42" i="26"/>
  <c r="S80" i="26"/>
  <c r="Z50" i="37" s="1"/>
  <c r="S89" i="26"/>
  <c r="R118" i="26"/>
  <c r="R120" i="26"/>
  <c r="Y98" i="37"/>
  <c r="Y77" i="37"/>
  <c r="Y146" i="37"/>
  <c r="Y147" i="37"/>
  <c r="Y145" i="37"/>
  <c r="Q19" i="11"/>
  <c r="Q27" i="11" s="1"/>
  <c r="Y162" i="37"/>
  <c r="Y166" i="37"/>
  <c r="R97" i="30"/>
  <c r="R133" i="30" s="1"/>
  <c r="X139" i="37"/>
  <c r="X135" i="37"/>
  <c r="R98" i="30"/>
  <c r="R134" i="30" s="1"/>
  <c r="R101" i="30"/>
  <c r="R117" i="30" s="1"/>
  <c r="X180" i="37"/>
  <c r="X184" i="37"/>
  <c r="S93" i="23"/>
  <c r="S94" i="23" s="1"/>
  <c r="S95" i="23" s="1"/>
  <c r="R62" i="23"/>
  <c r="R147" i="23" s="1"/>
  <c r="Z24" i="37"/>
  <c r="Z26" i="37"/>
  <c r="Z25" i="37"/>
  <c r="X126" i="37"/>
  <c r="X144" i="37"/>
  <c r="R96" i="21"/>
  <c r="S79" i="21" s="1"/>
  <c r="R136" i="22"/>
  <c r="R140" i="22" s="1"/>
  <c r="R145" i="22" s="1"/>
  <c r="R99" i="21"/>
  <c r="R101" i="21"/>
  <c r="R117" i="21" s="1"/>
  <c r="R97" i="21"/>
  <c r="R98" i="21"/>
  <c r="S118" i="25"/>
  <c r="S120" i="25"/>
  <c r="S42" i="22"/>
  <c r="S88" i="22"/>
  <c r="S79" i="22"/>
  <c r="Z14" i="37" s="1"/>
  <c r="Z22" i="37" s="1"/>
  <c r="T91" i="25"/>
  <c r="T44" i="25"/>
  <c r="R34" i="11"/>
  <c r="S43" i="24"/>
  <c r="S90" i="24"/>
  <c r="S90" i="22"/>
  <c r="S44" i="22"/>
  <c r="R118" i="24"/>
  <c r="Y161" i="37" s="1"/>
  <c r="Y158" i="37" s="1"/>
  <c r="R120" i="24"/>
  <c r="T89" i="25"/>
  <c r="T42" i="25"/>
  <c r="T80" i="25"/>
  <c r="AA41" i="37" s="1"/>
  <c r="AA49" i="37" s="1"/>
  <c r="S80" i="24"/>
  <c r="Z32" i="37" s="1"/>
  <c r="Z40" i="37" s="1"/>
  <c r="S89" i="24"/>
  <c r="S42" i="24"/>
  <c r="S43" i="30"/>
  <c r="S90" i="30"/>
  <c r="T43" i="25"/>
  <c r="T90" i="25"/>
  <c r="S91" i="24"/>
  <c r="S44" i="24"/>
  <c r="S44" i="30"/>
  <c r="S91" i="30"/>
  <c r="S89" i="22"/>
  <c r="S43" i="22"/>
  <c r="R117" i="22"/>
  <c r="R119" i="22"/>
  <c r="S46" i="23"/>
  <c r="S137" i="25"/>
  <c r="S141" i="25" s="1"/>
  <c r="S146" i="25" s="1"/>
  <c r="S89" i="30"/>
  <c r="S80" i="30"/>
  <c r="Z59" i="37" s="1"/>
  <c r="Z67" i="37" s="1"/>
  <c r="S42" i="30"/>
  <c r="R137" i="24"/>
  <c r="R141" i="24" s="1"/>
  <c r="R146" i="24" s="1"/>
  <c r="Q32" i="11" l="1"/>
  <c r="Q40" i="11" s="1"/>
  <c r="Q42" i="11" s="1"/>
  <c r="R118" i="21"/>
  <c r="Y134" i="37" s="1"/>
  <c r="R52" i="21"/>
  <c r="R62" i="21" s="1"/>
  <c r="R120" i="30"/>
  <c r="R52" i="30"/>
  <c r="S46" i="26"/>
  <c r="S93" i="26"/>
  <c r="S94" i="26" s="1"/>
  <c r="Z58" i="37"/>
  <c r="Z52" i="37"/>
  <c r="Z53" i="37"/>
  <c r="Z51" i="37"/>
  <c r="Y179" i="37"/>
  <c r="R62" i="26"/>
  <c r="R24" i="11" s="1"/>
  <c r="R37" i="11"/>
  <c r="X190" i="37"/>
  <c r="R137" i="30"/>
  <c r="R141" i="30" s="1"/>
  <c r="R118" i="30"/>
  <c r="Y188" i="37" s="1"/>
  <c r="S46" i="30"/>
  <c r="S93" i="24"/>
  <c r="S94" i="24" s="1"/>
  <c r="S96" i="24" s="1"/>
  <c r="S96" i="23"/>
  <c r="T79" i="23" s="1"/>
  <c r="Z60" i="37"/>
  <c r="Z62" i="37"/>
  <c r="Z61" i="37"/>
  <c r="AA44" i="37"/>
  <c r="AA42" i="37"/>
  <c r="AA43" i="37"/>
  <c r="S62" i="25"/>
  <c r="S147" i="25" s="1"/>
  <c r="Z170" i="37"/>
  <c r="T46" i="25"/>
  <c r="S46" i="24"/>
  <c r="R62" i="24"/>
  <c r="R147" i="24" s="1"/>
  <c r="Z34" i="37"/>
  <c r="Z33" i="37"/>
  <c r="Z35" i="37"/>
  <c r="Z94" i="37"/>
  <c r="R21" i="11"/>
  <c r="Z29" i="37"/>
  <c r="Z28" i="37"/>
  <c r="Z30" i="37"/>
  <c r="Y150" i="37"/>
  <c r="Y151" i="37"/>
  <c r="Y149" i="37"/>
  <c r="S77" i="21"/>
  <c r="S89" i="21" s="1"/>
  <c r="Z15" i="37"/>
  <c r="Z16" i="37"/>
  <c r="Z17" i="37"/>
  <c r="R62" i="22"/>
  <c r="Y143" i="37"/>
  <c r="R102" i="21"/>
  <c r="S78" i="21"/>
  <c r="S43" i="21" s="1"/>
  <c r="R135" i="21"/>
  <c r="R134" i="21"/>
  <c r="R133" i="21"/>
  <c r="R33" i="11"/>
  <c r="S36" i="11"/>
  <c r="T93" i="25"/>
  <c r="T94" i="25" s="1"/>
  <c r="S92" i="22"/>
  <c r="S93" i="22" s="1"/>
  <c r="R35" i="11"/>
  <c r="S93" i="30"/>
  <c r="S94" i="30" s="1"/>
  <c r="S44" i="21"/>
  <c r="S91" i="21"/>
  <c r="S46" i="22"/>
  <c r="S101" i="23"/>
  <c r="S117" i="23" s="1"/>
  <c r="S52" i="23" s="1"/>
  <c r="S98" i="23"/>
  <c r="S134" i="23" s="1"/>
  <c r="S99" i="23"/>
  <c r="S135" i="23" s="1"/>
  <c r="S97" i="23"/>
  <c r="S133" i="23" s="1"/>
  <c r="R146" i="30" l="1"/>
  <c r="R147" i="26"/>
  <c r="R146" i="22"/>
  <c r="Y174" i="37"/>
  <c r="Y177" i="37"/>
  <c r="Y173" i="37"/>
  <c r="Y176" i="37"/>
  <c r="Y178" i="37"/>
  <c r="Y172" i="37"/>
  <c r="Z97" i="37"/>
  <c r="Z76" i="37"/>
  <c r="S96" i="26"/>
  <c r="S95" i="26"/>
  <c r="R62" i="30"/>
  <c r="Y189" i="37"/>
  <c r="Y148" i="37"/>
  <c r="R22" i="11"/>
  <c r="S95" i="24"/>
  <c r="S99" i="24" s="1"/>
  <c r="S135" i="24" s="1"/>
  <c r="S102" i="23"/>
  <c r="T77" i="23"/>
  <c r="T42" i="23" s="1"/>
  <c r="T78" i="23"/>
  <c r="T43" i="23" s="1"/>
  <c r="S42" i="21"/>
  <c r="S46" i="21" s="1"/>
  <c r="Z73" i="37"/>
  <c r="Y187" i="37"/>
  <c r="Y182" i="37"/>
  <c r="Y186" i="37"/>
  <c r="Y183" i="37"/>
  <c r="Y181" i="37"/>
  <c r="Y185" i="37"/>
  <c r="Z98" i="37"/>
  <c r="Z77" i="37"/>
  <c r="Z165" i="37"/>
  <c r="Z164" i="37"/>
  <c r="Z163" i="37"/>
  <c r="Z168" i="37"/>
  <c r="Z167" i="37"/>
  <c r="Z169" i="37"/>
  <c r="AA48" i="37"/>
  <c r="AA46" i="37"/>
  <c r="AA47" i="37"/>
  <c r="AA96" i="37"/>
  <c r="Z39" i="37"/>
  <c r="Z37" i="37"/>
  <c r="Z38" i="37"/>
  <c r="Y155" i="37"/>
  <c r="Y156" i="37"/>
  <c r="Y154" i="37"/>
  <c r="Y160" i="37"/>
  <c r="Y159" i="37"/>
  <c r="Z95" i="37"/>
  <c r="Z84" i="37"/>
  <c r="Z19" i="37"/>
  <c r="Z21" i="37"/>
  <c r="Z20" i="37"/>
  <c r="Y138" i="37"/>
  <c r="Y136" i="37"/>
  <c r="Y137" i="37"/>
  <c r="Y140" i="37"/>
  <c r="Y142" i="37"/>
  <c r="Y141" i="37"/>
  <c r="Z93" i="37"/>
  <c r="R137" i="21"/>
  <c r="R141" i="21" s="1"/>
  <c r="S90" i="21"/>
  <c r="S93" i="21" s="1"/>
  <c r="S94" i="21" s="1"/>
  <c r="Y129" i="37"/>
  <c r="Y127" i="37"/>
  <c r="Y128" i="37"/>
  <c r="S80" i="21"/>
  <c r="Z5" i="37" s="1"/>
  <c r="Z13" i="37" s="1"/>
  <c r="Z68" i="37" s="1"/>
  <c r="AA55" i="37"/>
  <c r="AA57" i="37"/>
  <c r="AA56" i="37"/>
  <c r="S137" i="23"/>
  <c r="S141" i="23" s="1"/>
  <c r="S146" i="23" s="1"/>
  <c r="S94" i="22"/>
  <c r="S95" i="22"/>
  <c r="T95" i="25"/>
  <c r="T96" i="25"/>
  <c r="S118" i="23"/>
  <c r="S120" i="23"/>
  <c r="S96" i="30"/>
  <c r="S95" i="30"/>
  <c r="T91" i="23"/>
  <c r="T44" i="23"/>
  <c r="T78" i="24"/>
  <c r="T79" i="24"/>
  <c r="S102" i="24"/>
  <c r="T77" i="24"/>
  <c r="R147" i="30" l="1"/>
  <c r="R38" i="11"/>
  <c r="R146" i="21"/>
  <c r="R147" i="21" s="1"/>
  <c r="Y175" i="37"/>
  <c r="S98" i="26"/>
  <c r="S134" i="26" s="1"/>
  <c r="S97" i="26"/>
  <c r="S133" i="26" s="1"/>
  <c r="S99" i="26"/>
  <c r="S135" i="26" s="1"/>
  <c r="S101" i="26"/>
  <c r="S117" i="26" s="1"/>
  <c r="S52" i="26" s="1"/>
  <c r="T77" i="26"/>
  <c r="T79" i="26"/>
  <c r="S102" i="26"/>
  <c r="T78" i="26"/>
  <c r="Y171" i="37"/>
  <c r="R25" i="11"/>
  <c r="Y126" i="37"/>
  <c r="Y144" i="37"/>
  <c r="Y139" i="37"/>
  <c r="Y153" i="37"/>
  <c r="Y135" i="37"/>
  <c r="R19" i="11"/>
  <c r="S101" i="24"/>
  <c r="S117" i="24" s="1"/>
  <c r="S23" i="11"/>
  <c r="S97" i="24"/>
  <c r="S133" i="24" s="1"/>
  <c r="R20" i="11"/>
  <c r="S98" i="24"/>
  <c r="S134" i="24" s="1"/>
  <c r="T90" i="23"/>
  <c r="T89" i="23"/>
  <c r="T80" i="23"/>
  <c r="AA23" i="37" s="1"/>
  <c r="Z74" i="37"/>
  <c r="AA86" i="37"/>
  <c r="Y184" i="37"/>
  <c r="Y180" i="37"/>
  <c r="AA75" i="37"/>
  <c r="Z166" i="37"/>
  <c r="Z162" i="37"/>
  <c r="Z85" i="37"/>
  <c r="Y157" i="37"/>
  <c r="S62" i="23"/>
  <c r="S147" i="23" s="1"/>
  <c r="Z152" i="37"/>
  <c r="Z72" i="37"/>
  <c r="Z83" i="37"/>
  <c r="AA87" i="37"/>
  <c r="S34" i="11"/>
  <c r="T44" i="24"/>
  <c r="T91" i="24"/>
  <c r="T89" i="24"/>
  <c r="T80" i="24"/>
  <c r="AA32" i="37" s="1"/>
  <c r="AA40" i="37" s="1"/>
  <c r="T42" i="24"/>
  <c r="T77" i="30"/>
  <c r="T78" i="30"/>
  <c r="T79" i="30"/>
  <c r="S102" i="30"/>
  <c r="U77" i="25"/>
  <c r="U78" i="25"/>
  <c r="U79" i="25"/>
  <c r="T102" i="25"/>
  <c r="T78" i="22"/>
  <c r="T77" i="22"/>
  <c r="T76" i="22"/>
  <c r="S101" i="22"/>
  <c r="T99" i="25"/>
  <c r="T135" i="25" s="1"/>
  <c r="T97" i="25"/>
  <c r="T133" i="25" s="1"/>
  <c r="T101" i="25"/>
  <c r="T117" i="25" s="1"/>
  <c r="T52" i="25" s="1"/>
  <c r="T98" i="25"/>
  <c r="T134" i="25" s="1"/>
  <c r="T46" i="23"/>
  <c r="S96" i="22"/>
  <c r="S132" i="22" s="1"/>
  <c r="S98" i="22"/>
  <c r="S134" i="22" s="1"/>
  <c r="S100" i="22"/>
  <c r="S116" i="22" s="1"/>
  <c r="S52" i="22" s="1"/>
  <c r="S97" i="22"/>
  <c r="S133" i="22" s="1"/>
  <c r="S96" i="21"/>
  <c r="S95" i="21"/>
  <c r="T43" i="24"/>
  <c r="T90" i="24"/>
  <c r="S97" i="30"/>
  <c r="S133" i="30" s="1"/>
  <c r="S99" i="30"/>
  <c r="S135" i="30" s="1"/>
  <c r="S98" i="30"/>
  <c r="S134" i="30" s="1"/>
  <c r="S101" i="30"/>
  <c r="S117" i="30" s="1"/>
  <c r="S52" i="30" s="1"/>
  <c r="S120" i="24" l="1"/>
  <c r="S52" i="24"/>
  <c r="R32" i="11"/>
  <c r="R40" i="11" s="1"/>
  <c r="S137" i="26"/>
  <c r="S141" i="26" s="1"/>
  <c r="S146" i="26" s="1"/>
  <c r="T43" i="26"/>
  <c r="T90" i="26"/>
  <c r="S120" i="26"/>
  <c r="S118" i="26"/>
  <c r="T44" i="26"/>
  <c r="T91" i="26"/>
  <c r="T89" i="26"/>
  <c r="T80" i="26"/>
  <c r="AA50" i="37" s="1"/>
  <c r="T42" i="26"/>
  <c r="R27" i="11"/>
  <c r="AA24" i="37"/>
  <c r="AA31" i="37"/>
  <c r="Z145" i="37"/>
  <c r="Z146" i="37"/>
  <c r="Z147" i="37"/>
  <c r="S118" i="24"/>
  <c r="Y190" i="37"/>
  <c r="S137" i="24"/>
  <c r="S141" i="24" s="1"/>
  <c r="S146" i="24" s="1"/>
  <c r="T93" i="23"/>
  <c r="T94" i="23" s="1"/>
  <c r="T96" i="23" s="1"/>
  <c r="AA25" i="37"/>
  <c r="AA29" i="37"/>
  <c r="AA26" i="37"/>
  <c r="AA34" i="37"/>
  <c r="AA35" i="37"/>
  <c r="AA33" i="37"/>
  <c r="Z149" i="37"/>
  <c r="Z150" i="37"/>
  <c r="Z151" i="37"/>
  <c r="S136" i="22"/>
  <c r="S140" i="22" s="1"/>
  <c r="S145" i="22" s="1"/>
  <c r="S99" i="21"/>
  <c r="S98" i="21"/>
  <c r="S97" i="21"/>
  <c r="S101" i="21"/>
  <c r="S117" i="21" s="1"/>
  <c r="T118" i="25"/>
  <c r="T120" i="25"/>
  <c r="T42" i="22"/>
  <c r="T88" i="22"/>
  <c r="T79" i="22"/>
  <c r="AA14" i="37" s="1"/>
  <c r="AA22" i="37" s="1"/>
  <c r="U91" i="25"/>
  <c r="U44" i="25"/>
  <c r="T91" i="30"/>
  <c r="T44" i="30"/>
  <c r="S137" i="30"/>
  <c r="S141" i="30" s="1"/>
  <c r="T78" i="21"/>
  <c r="T77" i="21"/>
  <c r="S102" i="21"/>
  <c r="T79" i="21"/>
  <c r="T137" i="25"/>
  <c r="T141" i="25" s="1"/>
  <c r="T146" i="25" s="1"/>
  <c r="T89" i="22"/>
  <c r="T43" i="22"/>
  <c r="U90" i="25"/>
  <c r="U43" i="25"/>
  <c r="T43" i="30"/>
  <c r="T90" i="30"/>
  <c r="T93" i="24"/>
  <c r="T94" i="24" s="1"/>
  <c r="S118" i="30"/>
  <c r="S120" i="30"/>
  <c r="S117" i="22"/>
  <c r="S119" i="22"/>
  <c r="T44" i="22"/>
  <c r="T90" i="22"/>
  <c r="U42" i="25"/>
  <c r="U80" i="25"/>
  <c r="AB41" i="37" s="1"/>
  <c r="AB49" i="37" s="1"/>
  <c r="U89" i="25"/>
  <c r="T89" i="30"/>
  <c r="T42" i="30"/>
  <c r="T80" i="30"/>
  <c r="AA59" i="37" s="1"/>
  <c r="AA67" i="37" s="1"/>
  <c r="T46" i="24"/>
  <c r="S62" i="24" l="1"/>
  <c r="S22" i="11" s="1"/>
  <c r="S118" i="21"/>
  <c r="Z134" i="37" s="1"/>
  <c r="S52" i="21"/>
  <c r="S62" i="21" s="1"/>
  <c r="T46" i="26"/>
  <c r="S146" i="30"/>
  <c r="R42" i="11"/>
  <c r="T93" i="26"/>
  <c r="T94" i="26" s="1"/>
  <c r="AA58" i="37"/>
  <c r="AA51" i="37"/>
  <c r="AA52" i="37"/>
  <c r="AA53" i="37"/>
  <c r="Z179" i="37"/>
  <c r="S62" i="26"/>
  <c r="S24" i="11" s="1"/>
  <c r="S37" i="11"/>
  <c r="T95" i="23"/>
  <c r="T99" i="23" s="1"/>
  <c r="T135" i="23" s="1"/>
  <c r="Z161" i="37"/>
  <c r="Z154" i="37" s="1"/>
  <c r="S35" i="11"/>
  <c r="S21" i="11"/>
  <c r="AA94" i="37"/>
  <c r="AA28" i="37"/>
  <c r="AA30" i="37"/>
  <c r="AA73" i="37" s="1"/>
  <c r="U93" i="25"/>
  <c r="U94" i="25" s="1"/>
  <c r="U95" i="25" s="1"/>
  <c r="S62" i="30"/>
  <c r="Z188" i="37"/>
  <c r="AA62" i="37"/>
  <c r="AA60" i="37"/>
  <c r="AA61" i="37"/>
  <c r="T46" i="30"/>
  <c r="AB44" i="37"/>
  <c r="AB43" i="37"/>
  <c r="AB42" i="37"/>
  <c r="U46" i="25"/>
  <c r="T62" i="25"/>
  <c r="T147" i="25" s="1"/>
  <c r="AA170" i="37"/>
  <c r="AA39" i="37"/>
  <c r="AA37" i="37"/>
  <c r="AA38" i="37"/>
  <c r="AA95" i="37"/>
  <c r="Z148" i="37"/>
  <c r="S62" i="22"/>
  <c r="S146" i="22" s="1"/>
  <c r="Z143" i="37"/>
  <c r="AA16" i="37"/>
  <c r="AA15" i="37"/>
  <c r="AA17" i="37"/>
  <c r="S135" i="21"/>
  <c r="S133" i="21"/>
  <c r="S134" i="21"/>
  <c r="S33" i="11"/>
  <c r="U79" i="23"/>
  <c r="U78" i="23"/>
  <c r="T102" i="23"/>
  <c r="U77" i="23"/>
  <c r="T36" i="11"/>
  <c r="T90" i="21"/>
  <c r="T43" i="21"/>
  <c r="T93" i="30"/>
  <c r="T94" i="30" s="1"/>
  <c r="T44" i="21"/>
  <c r="T91" i="21"/>
  <c r="T92" i="22"/>
  <c r="T93" i="22" s="1"/>
  <c r="T96" i="24"/>
  <c r="T95" i="24"/>
  <c r="T89" i="21"/>
  <c r="T80" i="21"/>
  <c r="AA5" i="37" s="1"/>
  <c r="AA13" i="37" s="1"/>
  <c r="T42" i="21"/>
  <c r="T46" i="22"/>
  <c r="S147" i="24" l="1"/>
  <c r="S147" i="30"/>
  <c r="S147" i="26"/>
  <c r="S38" i="11"/>
  <c r="S25" i="11"/>
  <c r="Z174" i="37"/>
  <c r="Z176" i="37"/>
  <c r="Z173" i="37"/>
  <c r="Z178" i="37"/>
  <c r="Z172" i="37"/>
  <c r="Z177" i="37"/>
  <c r="AA97" i="37"/>
  <c r="AA76" i="37"/>
  <c r="T95" i="26"/>
  <c r="T96" i="26"/>
  <c r="T97" i="23"/>
  <c r="T133" i="23" s="1"/>
  <c r="T98" i="23"/>
  <c r="T134" i="23" s="1"/>
  <c r="T101" i="23"/>
  <c r="T117" i="23" s="1"/>
  <c r="AA68" i="37"/>
  <c r="Z159" i="37"/>
  <c r="Z156" i="37"/>
  <c r="Z160" i="37"/>
  <c r="Z155" i="37"/>
  <c r="Z158" i="37"/>
  <c r="Z189" i="37"/>
  <c r="T23" i="11"/>
  <c r="S20" i="11"/>
  <c r="U96" i="25"/>
  <c r="U102" i="25" s="1"/>
  <c r="AA84" i="37"/>
  <c r="AA74" i="37"/>
  <c r="AA98" i="37"/>
  <c r="AA77" i="37"/>
  <c r="Z181" i="37"/>
  <c r="Z186" i="37"/>
  <c r="Z187" i="37"/>
  <c r="Z185" i="37"/>
  <c r="Z182" i="37"/>
  <c r="Z183" i="37"/>
  <c r="AB96" i="37"/>
  <c r="AB48" i="37"/>
  <c r="AB46" i="37"/>
  <c r="AB47" i="37"/>
  <c r="AA163" i="37"/>
  <c r="AA165" i="37"/>
  <c r="AA164" i="37"/>
  <c r="AA168" i="37"/>
  <c r="AA169" i="37"/>
  <c r="AA167" i="37"/>
  <c r="AA85" i="37"/>
  <c r="S19" i="11"/>
  <c r="AA93" i="37"/>
  <c r="AA19" i="37"/>
  <c r="AA20" i="37"/>
  <c r="AA21" i="37"/>
  <c r="Z138" i="37"/>
  <c r="Z136" i="37"/>
  <c r="Z137" i="37"/>
  <c r="Z142" i="37"/>
  <c r="Z140" i="37"/>
  <c r="Z141" i="37"/>
  <c r="S137" i="21"/>
  <c r="S141" i="21" s="1"/>
  <c r="Z129" i="37"/>
  <c r="Z128" i="37"/>
  <c r="Z127" i="37"/>
  <c r="AB55" i="37"/>
  <c r="AB56" i="37"/>
  <c r="AB57" i="37"/>
  <c r="T46" i="21"/>
  <c r="U91" i="23"/>
  <c r="U44" i="23"/>
  <c r="U80" i="23"/>
  <c r="AB23" i="37" s="1"/>
  <c r="AB31" i="37" s="1"/>
  <c r="U89" i="23"/>
  <c r="U42" i="23"/>
  <c r="T102" i="24"/>
  <c r="U77" i="24"/>
  <c r="U79" i="24"/>
  <c r="U78" i="24"/>
  <c r="T95" i="30"/>
  <c r="T96" i="30"/>
  <c r="T94" i="22"/>
  <c r="T95" i="22"/>
  <c r="U99" i="25"/>
  <c r="U135" i="25" s="1"/>
  <c r="U101" i="25"/>
  <c r="U117" i="25" s="1"/>
  <c r="U52" i="25" s="1"/>
  <c r="U98" i="25"/>
  <c r="U134" i="25" s="1"/>
  <c r="U97" i="25"/>
  <c r="U133" i="25" s="1"/>
  <c r="T98" i="24"/>
  <c r="T134" i="24" s="1"/>
  <c r="T99" i="24"/>
  <c r="T135" i="24" s="1"/>
  <c r="T97" i="24"/>
  <c r="T133" i="24" s="1"/>
  <c r="T101" i="24"/>
  <c r="T117" i="24" s="1"/>
  <c r="T52" i="24" s="1"/>
  <c r="T93" i="21"/>
  <c r="T94" i="21" s="1"/>
  <c r="U43" i="23"/>
  <c r="U90" i="23"/>
  <c r="T118" i="23" l="1"/>
  <c r="AA152" i="37" s="1"/>
  <c r="T52" i="23"/>
  <c r="T62" i="23" s="1"/>
  <c r="S146" i="21"/>
  <c r="S147" i="21" s="1"/>
  <c r="U77" i="26"/>
  <c r="U78" i="26"/>
  <c r="T102" i="26"/>
  <c r="U79" i="26"/>
  <c r="T99" i="26"/>
  <c r="T135" i="26" s="1"/>
  <c r="T97" i="26"/>
  <c r="T133" i="26" s="1"/>
  <c r="T101" i="26"/>
  <c r="T117" i="26" s="1"/>
  <c r="T52" i="26" s="1"/>
  <c r="T98" i="26"/>
  <c r="T134" i="26" s="1"/>
  <c r="Z175" i="37"/>
  <c r="Z171" i="37"/>
  <c r="S27" i="11"/>
  <c r="T137" i="23"/>
  <c r="T141" i="23" s="1"/>
  <c r="T146" i="23" s="1"/>
  <c r="T120" i="23"/>
  <c r="Z153" i="37"/>
  <c r="Z157" i="37"/>
  <c r="V79" i="25"/>
  <c r="V91" i="25" s="1"/>
  <c r="V78" i="25"/>
  <c r="V77" i="25"/>
  <c r="V89" i="25" s="1"/>
  <c r="Z184" i="37"/>
  <c r="Z180" i="37"/>
  <c r="AA166" i="37"/>
  <c r="AB75" i="37"/>
  <c r="AA162" i="37"/>
  <c r="AB86" i="37"/>
  <c r="AB24" i="37"/>
  <c r="AB26" i="37"/>
  <c r="AB25" i="37"/>
  <c r="AA72" i="37"/>
  <c r="Z139" i="37"/>
  <c r="AA83" i="37"/>
  <c r="Z135" i="37"/>
  <c r="Z144" i="37"/>
  <c r="Z126" i="37"/>
  <c r="AB87" i="37"/>
  <c r="U137" i="25"/>
  <c r="U141" i="25" s="1"/>
  <c r="U146" i="25" s="1"/>
  <c r="U118" i="25"/>
  <c r="U120" i="25"/>
  <c r="T102" i="30"/>
  <c r="U79" i="30"/>
  <c r="U78" i="30"/>
  <c r="U77" i="30"/>
  <c r="U80" i="24"/>
  <c r="AB32" i="37" s="1"/>
  <c r="AB40" i="37" s="1"/>
  <c r="U89" i="24"/>
  <c r="U42" i="24"/>
  <c r="T98" i="30"/>
  <c r="T134" i="30" s="1"/>
  <c r="T97" i="30"/>
  <c r="T133" i="30" s="1"/>
  <c r="T101" i="30"/>
  <c r="T117" i="30" s="1"/>
  <c r="T52" i="30" s="1"/>
  <c r="T99" i="30"/>
  <c r="T135" i="30" s="1"/>
  <c r="T118" i="24"/>
  <c r="T120" i="24"/>
  <c r="T101" i="22"/>
  <c r="U76" i="22"/>
  <c r="U77" i="22"/>
  <c r="U78" i="22"/>
  <c r="U90" i="24"/>
  <c r="U43" i="24"/>
  <c r="U46" i="23"/>
  <c r="T96" i="21"/>
  <c r="T95" i="21"/>
  <c r="T137" i="24"/>
  <c r="T141" i="24" s="1"/>
  <c r="T146" i="24" s="1"/>
  <c r="T96" i="22"/>
  <c r="T132" i="22" s="1"/>
  <c r="T97" i="22"/>
  <c r="T133" i="22" s="1"/>
  <c r="T98" i="22"/>
  <c r="T134" i="22" s="1"/>
  <c r="T100" i="22"/>
  <c r="T116" i="22" s="1"/>
  <c r="T52" i="22" s="1"/>
  <c r="U44" i="24"/>
  <c r="U91" i="24"/>
  <c r="U93" i="23"/>
  <c r="U94" i="23" s="1"/>
  <c r="S32" i="11" l="1"/>
  <c r="S40" i="11" s="1"/>
  <c r="S42" i="11" s="1"/>
  <c r="T147" i="23"/>
  <c r="U44" i="26"/>
  <c r="U91" i="26"/>
  <c r="T120" i="26"/>
  <c r="T118" i="26"/>
  <c r="T137" i="26"/>
  <c r="T141" i="26" s="1"/>
  <c r="T146" i="26" s="1"/>
  <c r="U90" i="26"/>
  <c r="U43" i="26"/>
  <c r="U80" i="26"/>
  <c r="AB50" i="37" s="1"/>
  <c r="U89" i="26"/>
  <c r="U42" i="26"/>
  <c r="T34" i="11"/>
  <c r="AA146" i="37"/>
  <c r="AA147" i="37"/>
  <c r="AA145" i="37"/>
  <c r="U36" i="11"/>
  <c r="Z190" i="37"/>
  <c r="V44" i="25"/>
  <c r="T21" i="11"/>
  <c r="V90" i="25"/>
  <c r="V93" i="25" s="1"/>
  <c r="V94" i="25" s="1"/>
  <c r="V43" i="25"/>
  <c r="V80" i="25"/>
  <c r="AC41" i="37" s="1"/>
  <c r="V42" i="25"/>
  <c r="U46" i="24"/>
  <c r="U62" i="25"/>
  <c r="U147" i="25" s="1"/>
  <c r="AB170" i="37"/>
  <c r="T62" i="24"/>
  <c r="T147" i="24" s="1"/>
  <c r="AA161" i="37"/>
  <c r="AB33" i="37"/>
  <c r="AB35" i="37"/>
  <c r="AB34" i="37"/>
  <c r="AB30" i="37"/>
  <c r="AB28" i="37"/>
  <c r="AB29" i="37"/>
  <c r="AA151" i="37"/>
  <c r="AA149" i="37"/>
  <c r="AA150" i="37"/>
  <c r="AB94" i="37"/>
  <c r="T137" i="30"/>
  <c r="T141" i="30" s="1"/>
  <c r="U90" i="30"/>
  <c r="U43" i="30"/>
  <c r="U96" i="23"/>
  <c r="U95" i="23"/>
  <c r="T136" i="22"/>
  <c r="T140" i="22" s="1"/>
  <c r="T145" i="22" s="1"/>
  <c r="U44" i="22"/>
  <c r="U90" i="22"/>
  <c r="U93" i="24"/>
  <c r="U94" i="24" s="1"/>
  <c r="U91" i="30"/>
  <c r="U44" i="30"/>
  <c r="T102" i="21"/>
  <c r="U78" i="21"/>
  <c r="U77" i="21"/>
  <c r="U79" i="21"/>
  <c r="T117" i="22"/>
  <c r="T119" i="22"/>
  <c r="T35" i="11"/>
  <c r="U89" i="22"/>
  <c r="U43" i="22"/>
  <c r="T97" i="21"/>
  <c r="T101" i="21"/>
  <c r="T117" i="21" s="1"/>
  <c r="T98" i="21"/>
  <c r="T99" i="21"/>
  <c r="U42" i="22"/>
  <c r="U79" i="22"/>
  <c r="AB14" i="37" s="1"/>
  <c r="AB22" i="37" s="1"/>
  <c r="U88" i="22"/>
  <c r="T118" i="30"/>
  <c r="T120" i="30"/>
  <c r="U89" i="30"/>
  <c r="U80" i="30"/>
  <c r="AB59" i="37" s="1"/>
  <c r="AB67" i="37" s="1"/>
  <c r="U42" i="30"/>
  <c r="T118" i="21" l="1"/>
  <c r="AA134" i="37" s="1"/>
  <c r="T52" i="21"/>
  <c r="T62" i="21" s="1"/>
  <c r="T146" i="30"/>
  <c r="T38" i="11" s="1"/>
  <c r="U93" i="26"/>
  <c r="U94" i="26" s="1"/>
  <c r="U96" i="26" s="1"/>
  <c r="AB58" i="37"/>
  <c r="AB52" i="37"/>
  <c r="AB53" i="37"/>
  <c r="AB51" i="37"/>
  <c r="U46" i="26"/>
  <c r="T62" i="26"/>
  <c r="T24" i="11" s="1"/>
  <c r="AA179" i="37"/>
  <c r="T37" i="11"/>
  <c r="AC42" i="37"/>
  <c r="AC49" i="37"/>
  <c r="AC44" i="37"/>
  <c r="V46" i="25"/>
  <c r="AC47" i="37"/>
  <c r="AC43" i="37"/>
  <c r="AB84" i="37"/>
  <c r="T62" i="30"/>
  <c r="T25" i="11" s="1"/>
  <c r="AA188" i="37"/>
  <c r="AB60" i="37"/>
  <c r="AB62" i="37"/>
  <c r="AB61" i="37"/>
  <c r="AB165" i="37"/>
  <c r="AB164" i="37"/>
  <c r="AB163" i="37"/>
  <c r="AB167" i="37"/>
  <c r="AB169" i="37"/>
  <c r="AB168" i="37"/>
  <c r="AB38" i="37"/>
  <c r="AB39" i="37"/>
  <c r="AB37" i="37"/>
  <c r="AA154" i="37"/>
  <c r="AA156" i="37"/>
  <c r="AA155" i="37"/>
  <c r="AA159" i="37"/>
  <c r="AA158" i="37"/>
  <c r="AA160" i="37"/>
  <c r="AB95" i="37"/>
  <c r="AB73" i="37"/>
  <c r="AA148" i="37"/>
  <c r="U92" i="22"/>
  <c r="U93" i="22" s="1"/>
  <c r="U94" i="22" s="1"/>
  <c r="U46" i="22"/>
  <c r="AB15" i="37"/>
  <c r="AB16" i="37"/>
  <c r="AB17" i="37"/>
  <c r="T62" i="22"/>
  <c r="T146" i="22" s="1"/>
  <c r="AA143" i="37"/>
  <c r="T133" i="21"/>
  <c r="T135" i="21"/>
  <c r="T134" i="21"/>
  <c r="T33" i="11"/>
  <c r="U93" i="30"/>
  <c r="U94" i="30" s="1"/>
  <c r="U91" i="21"/>
  <c r="U44" i="21"/>
  <c r="U96" i="24"/>
  <c r="U95" i="24"/>
  <c r="U101" i="23"/>
  <c r="U117" i="23" s="1"/>
  <c r="U52" i="23" s="1"/>
  <c r="U98" i="23"/>
  <c r="U134" i="23" s="1"/>
  <c r="U99" i="23"/>
  <c r="U135" i="23" s="1"/>
  <c r="U97" i="23"/>
  <c r="U133" i="23" s="1"/>
  <c r="U80" i="21"/>
  <c r="AB5" i="37" s="1"/>
  <c r="AB13" i="37" s="1"/>
  <c r="U89" i="21"/>
  <c r="U42" i="21"/>
  <c r="U102" i="23"/>
  <c r="V78" i="23"/>
  <c r="V77" i="23"/>
  <c r="V79" i="23"/>
  <c r="U46" i="30"/>
  <c r="V95" i="25"/>
  <c r="V96" i="25"/>
  <c r="U90" i="21"/>
  <c r="U43" i="21"/>
  <c r="U95" i="26" l="1"/>
  <c r="U101" i="26" s="1"/>
  <c r="U117" i="26" s="1"/>
  <c r="U52" i="26" s="1"/>
  <c r="T147" i="30"/>
  <c r="T147" i="26"/>
  <c r="AA177" i="37"/>
  <c r="AA174" i="37"/>
  <c r="AA173" i="37"/>
  <c r="AA176" i="37"/>
  <c r="AA172" i="37"/>
  <c r="AA178" i="37"/>
  <c r="AB97" i="37"/>
  <c r="AB76" i="37"/>
  <c r="V78" i="26"/>
  <c r="V79" i="26"/>
  <c r="U102" i="26"/>
  <c r="V77" i="26"/>
  <c r="AB68" i="37"/>
  <c r="AA189" i="37"/>
  <c r="AC48" i="37"/>
  <c r="AC75" i="37" s="1"/>
  <c r="U23" i="11"/>
  <c r="T22" i="11"/>
  <c r="AC96" i="37"/>
  <c r="AC46" i="37"/>
  <c r="U95" i="22"/>
  <c r="U101" i="22" s="1"/>
  <c r="AB98" i="37"/>
  <c r="AB77" i="37"/>
  <c r="AA185" i="37"/>
  <c r="AA182" i="37"/>
  <c r="AA183" i="37"/>
  <c r="AA181" i="37"/>
  <c r="AA186" i="37"/>
  <c r="AA187" i="37"/>
  <c r="AB166" i="37"/>
  <c r="AB162" i="37"/>
  <c r="AB85" i="37"/>
  <c r="AA157" i="37"/>
  <c r="AA153" i="37"/>
  <c r="AB74" i="37"/>
  <c r="AA136" i="37"/>
  <c r="AA137" i="37"/>
  <c r="AA138" i="37"/>
  <c r="AA141" i="37"/>
  <c r="AA142" i="37"/>
  <c r="AA140" i="37"/>
  <c r="AB93" i="37"/>
  <c r="AB19" i="37"/>
  <c r="AB21" i="37"/>
  <c r="AB20" i="37"/>
  <c r="T137" i="21"/>
  <c r="T141" i="21" s="1"/>
  <c r="AA128" i="37"/>
  <c r="AA127" i="37"/>
  <c r="AA129" i="37"/>
  <c r="AC55" i="37"/>
  <c r="AC56" i="37"/>
  <c r="AC57" i="37"/>
  <c r="U46" i="21"/>
  <c r="U137" i="23"/>
  <c r="U141" i="23" s="1"/>
  <c r="U146" i="23" s="1"/>
  <c r="V90" i="23"/>
  <c r="V43" i="23"/>
  <c r="U101" i="24"/>
  <c r="U117" i="24" s="1"/>
  <c r="U52" i="24" s="1"/>
  <c r="U98" i="24"/>
  <c r="U134" i="24" s="1"/>
  <c r="U97" i="24"/>
  <c r="U133" i="24" s="1"/>
  <c r="U99" i="24"/>
  <c r="U135" i="24" s="1"/>
  <c r="U96" i="22"/>
  <c r="U132" i="22" s="1"/>
  <c r="U97" i="22"/>
  <c r="U133" i="22" s="1"/>
  <c r="U98" i="22"/>
  <c r="U134" i="22" s="1"/>
  <c r="U100" i="22"/>
  <c r="U116" i="22" s="1"/>
  <c r="U52" i="22" s="1"/>
  <c r="V78" i="24"/>
  <c r="V77" i="24"/>
  <c r="V79" i="24"/>
  <c r="U102" i="24"/>
  <c r="U96" i="30"/>
  <c r="U95" i="30"/>
  <c r="W78" i="25"/>
  <c r="W77" i="25"/>
  <c r="V102" i="25"/>
  <c r="W79" i="25"/>
  <c r="V44" i="23"/>
  <c r="V91" i="23"/>
  <c r="V101" i="25"/>
  <c r="V117" i="25" s="1"/>
  <c r="V52" i="25" s="1"/>
  <c r="V97" i="25"/>
  <c r="V133" i="25" s="1"/>
  <c r="V98" i="25"/>
  <c r="V134" i="25" s="1"/>
  <c r="V99" i="25"/>
  <c r="V135" i="25" s="1"/>
  <c r="V42" i="23"/>
  <c r="V80" i="23"/>
  <c r="AC23" i="37" s="1"/>
  <c r="AC31" i="37" s="1"/>
  <c r="V89" i="23"/>
  <c r="U93" i="21"/>
  <c r="U94" i="21" s="1"/>
  <c r="U118" i="23"/>
  <c r="U120" i="23"/>
  <c r="U99" i="26" l="1"/>
  <c r="U135" i="26" s="1"/>
  <c r="U97" i="26"/>
  <c r="U133" i="26" s="1"/>
  <c r="U98" i="26"/>
  <c r="U134" i="26" s="1"/>
  <c r="T146" i="21"/>
  <c r="T147" i="21" s="1"/>
  <c r="AA175" i="37"/>
  <c r="V91" i="26"/>
  <c r="V44" i="26"/>
  <c r="V42" i="26"/>
  <c r="V80" i="26"/>
  <c r="AC50" i="37" s="1"/>
  <c r="V89" i="26"/>
  <c r="U118" i="26"/>
  <c r="U120" i="26"/>
  <c r="V90" i="26"/>
  <c r="V43" i="26"/>
  <c r="AA171" i="37"/>
  <c r="AC86" i="37"/>
  <c r="U34" i="11"/>
  <c r="T19" i="11"/>
  <c r="T20" i="11"/>
  <c r="V76" i="22"/>
  <c r="V88" i="22" s="1"/>
  <c r="V77" i="22"/>
  <c r="V43" i="22" s="1"/>
  <c r="V78" i="22"/>
  <c r="AA180" i="37"/>
  <c r="AA184" i="37"/>
  <c r="V93" i="23"/>
  <c r="V94" i="23" s="1"/>
  <c r="V95" i="23" s="1"/>
  <c r="AC25" i="37"/>
  <c r="AC26" i="37"/>
  <c r="AC24" i="37"/>
  <c r="V46" i="23"/>
  <c r="U62" i="23"/>
  <c r="U147" i="23" s="1"/>
  <c r="AB152" i="37"/>
  <c r="AB83" i="37"/>
  <c r="AB72" i="37"/>
  <c r="AA139" i="37"/>
  <c r="AA135" i="37"/>
  <c r="AA126" i="37"/>
  <c r="AA144" i="37"/>
  <c r="AC87" i="37"/>
  <c r="U137" i="24"/>
  <c r="U141" i="24" s="1"/>
  <c r="U146" i="24" s="1"/>
  <c r="W43" i="25"/>
  <c r="W90" i="25"/>
  <c r="V44" i="24"/>
  <c r="V91" i="24"/>
  <c r="U118" i="24"/>
  <c r="U120" i="24"/>
  <c r="V137" i="25"/>
  <c r="V141" i="25" s="1"/>
  <c r="V146" i="25" s="1"/>
  <c r="W44" i="25"/>
  <c r="W91" i="25"/>
  <c r="U101" i="30"/>
  <c r="U117" i="30" s="1"/>
  <c r="U52" i="30" s="1"/>
  <c r="U99" i="30"/>
  <c r="U135" i="30" s="1"/>
  <c r="U98" i="30"/>
  <c r="U134" i="30" s="1"/>
  <c r="U97" i="30"/>
  <c r="U133" i="30" s="1"/>
  <c r="V42" i="24"/>
  <c r="V89" i="24"/>
  <c r="V80" i="24"/>
  <c r="AC32" i="37" s="1"/>
  <c r="AC40" i="37" s="1"/>
  <c r="U96" i="21"/>
  <c r="U95" i="21"/>
  <c r="V118" i="25"/>
  <c r="V120" i="25"/>
  <c r="V79" i="30"/>
  <c r="V77" i="30"/>
  <c r="U102" i="30"/>
  <c r="V78" i="30"/>
  <c r="V43" i="24"/>
  <c r="V90" i="24"/>
  <c r="U136" i="22"/>
  <c r="U140" i="22" s="1"/>
  <c r="U145" i="22" s="1"/>
  <c r="W89" i="25"/>
  <c r="W42" i="25"/>
  <c r="W80" i="25"/>
  <c r="AD41" i="37" s="1"/>
  <c r="AD49" i="37" s="1"/>
  <c r="U117" i="22"/>
  <c r="U119" i="22"/>
  <c r="U137" i="26" l="1"/>
  <c r="U141" i="26" s="1"/>
  <c r="U146" i="26" s="1"/>
  <c r="U37" i="11" s="1"/>
  <c r="T32" i="11"/>
  <c r="T40" i="11" s="1"/>
  <c r="V46" i="26"/>
  <c r="AC58" i="37"/>
  <c r="AC53" i="37"/>
  <c r="AC52" i="37"/>
  <c r="AC51" i="37"/>
  <c r="AB179" i="37"/>
  <c r="U62" i="26"/>
  <c r="U24" i="11" s="1"/>
  <c r="V93" i="26"/>
  <c r="V94" i="26" s="1"/>
  <c r="T27" i="11"/>
  <c r="AB147" i="37"/>
  <c r="AB145" i="37"/>
  <c r="AB146" i="37"/>
  <c r="AA190" i="37"/>
  <c r="V42" i="22"/>
  <c r="V89" i="22"/>
  <c r="V79" i="22"/>
  <c r="AC14" i="37" s="1"/>
  <c r="V90" i="22"/>
  <c r="V44" i="22"/>
  <c r="V96" i="23"/>
  <c r="W79" i="23" s="1"/>
  <c r="V46" i="24"/>
  <c r="AD44" i="37"/>
  <c r="AD42" i="37"/>
  <c r="AD43" i="37"/>
  <c r="V62" i="25"/>
  <c r="V147" i="25" s="1"/>
  <c r="AC170" i="37"/>
  <c r="U62" i="24"/>
  <c r="U147" i="24" s="1"/>
  <c r="AB161" i="37"/>
  <c r="AC35" i="37"/>
  <c r="AC34" i="37"/>
  <c r="AC33" i="37"/>
  <c r="AC30" i="37"/>
  <c r="AC28" i="37"/>
  <c r="AC29" i="37"/>
  <c r="AB151" i="37"/>
  <c r="AB149" i="37"/>
  <c r="AB150" i="37"/>
  <c r="AC94" i="37"/>
  <c r="U62" i="22"/>
  <c r="U146" i="22" s="1"/>
  <c r="AB143" i="37"/>
  <c r="U35" i="11"/>
  <c r="U137" i="30"/>
  <c r="U141" i="30" s="1"/>
  <c r="V90" i="30"/>
  <c r="V43" i="30"/>
  <c r="U118" i="30"/>
  <c r="U120" i="30"/>
  <c r="W46" i="25"/>
  <c r="W93" i="25"/>
  <c r="W94" i="25" s="1"/>
  <c r="V91" i="30"/>
  <c r="V44" i="30"/>
  <c r="V93" i="24"/>
  <c r="V94" i="24" s="1"/>
  <c r="V36" i="11"/>
  <c r="U33" i="11"/>
  <c r="U97" i="21"/>
  <c r="U99" i="21"/>
  <c r="U98" i="21"/>
  <c r="U101" i="21"/>
  <c r="U117" i="21" s="1"/>
  <c r="V89" i="30"/>
  <c r="V80" i="30"/>
  <c r="AC59" i="37" s="1"/>
  <c r="AC67" i="37" s="1"/>
  <c r="V42" i="30"/>
  <c r="V77" i="21"/>
  <c r="V78" i="21"/>
  <c r="U102" i="21"/>
  <c r="V79" i="21"/>
  <c r="V97" i="23"/>
  <c r="V133" i="23" s="1"/>
  <c r="V98" i="23"/>
  <c r="V134" i="23" s="1"/>
  <c r="V101" i="23"/>
  <c r="V117" i="23" s="1"/>
  <c r="V52" i="23" s="1"/>
  <c r="V99" i="23"/>
  <c r="V135" i="23" s="1"/>
  <c r="U118" i="21" l="1"/>
  <c r="AB134" i="37" s="1"/>
  <c r="U52" i="21"/>
  <c r="U62" i="21" s="1"/>
  <c r="U146" i="30"/>
  <c r="U147" i="26"/>
  <c r="T42" i="11"/>
  <c r="AB172" i="37"/>
  <c r="AB176" i="37"/>
  <c r="AB177" i="37"/>
  <c r="AB174" i="37"/>
  <c r="AB173" i="37"/>
  <c r="AB178" i="37"/>
  <c r="AC97" i="37"/>
  <c r="AC76" i="37"/>
  <c r="V96" i="26"/>
  <c r="V95" i="26"/>
  <c r="AC16" i="37"/>
  <c r="AC22" i="37"/>
  <c r="U22" i="11"/>
  <c r="U21" i="11"/>
  <c r="U20" i="11"/>
  <c r="V46" i="22"/>
  <c r="V92" i="22"/>
  <c r="V93" i="22" s="1"/>
  <c r="V94" i="22" s="1"/>
  <c r="V102" i="23"/>
  <c r="AC17" i="37"/>
  <c r="W78" i="23"/>
  <c r="W43" i="23" s="1"/>
  <c r="AC19" i="37"/>
  <c r="W77" i="23"/>
  <c r="W42" i="23" s="1"/>
  <c r="AC15" i="37"/>
  <c r="V46" i="30"/>
  <c r="U62" i="30"/>
  <c r="U25" i="11" s="1"/>
  <c r="AB188" i="37"/>
  <c r="AC60" i="37"/>
  <c r="AC61" i="37"/>
  <c r="AC62" i="37"/>
  <c r="V93" i="30"/>
  <c r="V94" i="30" s="1"/>
  <c r="V95" i="30" s="1"/>
  <c r="AC165" i="37"/>
  <c r="AC164" i="37"/>
  <c r="AC163" i="37"/>
  <c r="AC169" i="37"/>
  <c r="AC168" i="37"/>
  <c r="AC167" i="37"/>
  <c r="AD48" i="37"/>
  <c r="AD47" i="37"/>
  <c r="AD46" i="37"/>
  <c r="AD96" i="37"/>
  <c r="AC37" i="37"/>
  <c r="AC39" i="37"/>
  <c r="AC38" i="37"/>
  <c r="AB155" i="37"/>
  <c r="AB154" i="37"/>
  <c r="AB156" i="37"/>
  <c r="AB158" i="37"/>
  <c r="AB160" i="37"/>
  <c r="AB159" i="37"/>
  <c r="AC95" i="37"/>
  <c r="AC84" i="37"/>
  <c r="AC73" i="37"/>
  <c r="AB148" i="37"/>
  <c r="AB136" i="37"/>
  <c r="AB137" i="37"/>
  <c r="AB138" i="37"/>
  <c r="AB140" i="37"/>
  <c r="AB141" i="37"/>
  <c r="AB142" i="37"/>
  <c r="U133" i="21"/>
  <c r="U134" i="21"/>
  <c r="U135" i="21"/>
  <c r="V43" i="21"/>
  <c r="V90" i="21"/>
  <c r="V137" i="23"/>
  <c r="V141" i="23" s="1"/>
  <c r="V146" i="23" s="1"/>
  <c r="V42" i="21"/>
  <c r="V89" i="21"/>
  <c r="V80" i="21"/>
  <c r="AC5" i="37" s="1"/>
  <c r="AC13" i="37" s="1"/>
  <c r="V91" i="21"/>
  <c r="V44" i="21"/>
  <c r="W91" i="23"/>
  <c r="W44" i="23"/>
  <c r="V118" i="23"/>
  <c r="V120" i="23"/>
  <c r="V95" i="24"/>
  <c r="V96" i="24"/>
  <c r="W96" i="25"/>
  <c r="W95" i="25"/>
  <c r="U147" i="30" l="1"/>
  <c r="U38" i="11"/>
  <c r="V99" i="26"/>
  <c r="V135" i="26" s="1"/>
  <c r="V98" i="26"/>
  <c r="V134" i="26" s="1"/>
  <c r="V101" i="26"/>
  <c r="V117" i="26" s="1"/>
  <c r="V52" i="26" s="1"/>
  <c r="V97" i="26"/>
  <c r="V133" i="26" s="1"/>
  <c r="AB175" i="37"/>
  <c r="W79" i="26"/>
  <c r="W77" i="26"/>
  <c r="V102" i="26"/>
  <c r="W78" i="26"/>
  <c r="AB171" i="37"/>
  <c r="AC93" i="37"/>
  <c r="AC68" i="37"/>
  <c r="AB189" i="37"/>
  <c r="V23" i="11"/>
  <c r="V95" i="22"/>
  <c r="W76" i="22" s="1"/>
  <c r="W80" i="23"/>
  <c r="AD23" i="37" s="1"/>
  <c r="AD31" i="37" s="1"/>
  <c r="W89" i="23"/>
  <c r="W90" i="23"/>
  <c r="AC21" i="37"/>
  <c r="AC20" i="37"/>
  <c r="AD86" i="37"/>
  <c r="AC74" i="37"/>
  <c r="AC166" i="37"/>
  <c r="V96" i="30"/>
  <c r="W79" i="30" s="1"/>
  <c r="AB182" i="37"/>
  <c r="AB181" i="37"/>
  <c r="AB187" i="37"/>
  <c r="AB185" i="37"/>
  <c r="AB186" i="37"/>
  <c r="AB183" i="37"/>
  <c r="AC98" i="37"/>
  <c r="AC77" i="37"/>
  <c r="AD75" i="37"/>
  <c r="AC162" i="37"/>
  <c r="AB153" i="37"/>
  <c r="AB157" i="37"/>
  <c r="AC85" i="37"/>
  <c r="V62" i="23"/>
  <c r="V147" i="23" s="1"/>
  <c r="AC152" i="37"/>
  <c r="U19" i="11"/>
  <c r="U27" i="11" s="1"/>
  <c r="AB135" i="37"/>
  <c r="AB139" i="37"/>
  <c r="U137" i="21"/>
  <c r="U141" i="21" s="1"/>
  <c r="U146" i="21" s="1"/>
  <c r="AB127" i="37"/>
  <c r="AB129" i="37"/>
  <c r="AB128" i="37"/>
  <c r="AD55" i="37"/>
  <c r="AD57" i="37"/>
  <c r="AD56" i="37"/>
  <c r="V46" i="21"/>
  <c r="V97" i="30"/>
  <c r="V133" i="30" s="1"/>
  <c r="V98" i="30"/>
  <c r="V134" i="30" s="1"/>
  <c r="V101" i="30"/>
  <c r="V117" i="30" s="1"/>
  <c r="V52" i="30" s="1"/>
  <c r="V99" i="30"/>
  <c r="V135" i="30" s="1"/>
  <c r="V34" i="11"/>
  <c r="W46" i="23"/>
  <c r="V100" i="22"/>
  <c r="V116" i="22" s="1"/>
  <c r="V52" i="22" s="1"/>
  <c r="V96" i="22"/>
  <c r="V132" i="22" s="1"/>
  <c r="V98" i="22"/>
  <c r="V134" i="22" s="1"/>
  <c r="V97" i="22"/>
  <c r="V133" i="22" s="1"/>
  <c r="X78" i="25"/>
  <c r="W102" i="25"/>
  <c r="X79" i="25"/>
  <c r="X77" i="25"/>
  <c r="W79" i="24"/>
  <c r="W77" i="24"/>
  <c r="W78" i="24"/>
  <c r="V102" i="24"/>
  <c r="V98" i="24"/>
  <c r="V134" i="24" s="1"/>
  <c r="V97" i="24"/>
  <c r="V133" i="24" s="1"/>
  <c r="V99" i="24"/>
  <c r="V135" i="24" s="1"/>
  <c r="V101" i="24"/>
  <c r="V117" i="24" s="1"/>
  <c r="V52" i="24" s="1"/>
  <c r="W101" i="25"/>
  <c r="W117" i="25" s="1"/>
  <c r="W52" i="25" s="1"/>
  <c r="W98" i="25"/>
  <c r="W134" i="25" s="1"/>
  <c r="W99" i="25"/>
  <c r="W135" i="25" s="1"/>
  <c r="W97" i="25"/>
  <c r="W133" i="25" s="1"/>
  <c r="V93" i="21"/>
  <c r="V94" i="21" s="1"/>
  <c r="V101" i="22" l="1"/>
  <c r="U147" i="21"/>
  <c r="V137" i="26"/>
  <c r="V141" i="26" s="1"/>
  <c r="W91" i="26"/>
  <c r="W44" i="26"/>
  <c r="W89" i="26"/>
  <c r="W80" i="26"/>
  <c r="AD50" i="37" s="1"/>
  <c r="W42" i="26"/>
  <c r="V120" i="26"/>
  <c r="V118" i="26"/>
  <c r="W90" i="26"/>
  <c r="W43" i="26"/>
  <c r="W78" i="22"/>
  <c r="W44" i="22" s="1"/>
  <c r="AC145" i="37"/>
  <c r="AC146" i="37"/>
  <c r="AC147" i="37"/>
  <c r="W77" i="22"/>
  <c r="W93" i="23"/>
  <c r="W94" i="23" s="1"/>
  <c r="W96" i="23" s="1"/>
  <c r="AD26" i="37"/>
  <c r="AD25" i="37"/>
  <c r="AD24" i="37"/>
  <c r="AC83" i="37"/>
  <c r="V102" i="30"/>
  <c r="AC72" i="37"/>
  <c r="W77" i="30"/>
  <c r="W89" i="30" s="1"/>
  <c r="W78" i="30"/>
  <c r="AB180" i="37"/>
  <c r="AB184" i="37"/>
  <c r="AD30" i="37"/>
  <c r="AD29" i="37"/>
  <c r="AD28" i="37"/>
  <c r="AC149" i="37"/>
  <c r="AC150" i="37"/>
  <c r="AC151" i="37"/>
  <c r="U32" i="11"/>
  <c r="AB144" i="37"/>
  <c r="AB126" i="37"/>
  <c r="AD87" i="37"/>
  <c r="V96" i="21"/>
  <c r="V95" i="21"/>
  <c r="X89" i="25"/>
  <c r="X80" i="25"/>
  <c r="AE41" i="37" s="1"/>
  <c r="AE49" i="37" s="1"/>
  <c r="X42" i="25"/>
  <c r="W118" i="25"/>
  <c r="W120" i="25"/>
  <c r="W89" i="24"/>
  <c r="W80" i="24"/>
  <c r="AD32" i="37" s="1"/>
  <c r="AD40" i="37" s="1"/>
  <c r="W42" i="24"/>
  <c r="W88" i="22"/>
  <c r="W42" i="22"/>
  <c r="V118" i="24"/>
  <c r="V120" i="24"/>
  <c r="X90" i="25"/>
  <c r="X43" i="25"/>
  <c r="V117" i="22"/>
  <c r="V119" i="22"/>
  <c r="W43" i="24"/>
  <c r="W90" i="24"/>
  <c r="V118" i="30"/>
  <c r="V120" i="30"/>
  <c r="V137" i="24"/>
  <c r="V141" i="24" s="1"/>
  <c r="V146" i="24" s="1"/>
  <c r="X44" i="25"/>
  <c r="X91" i="25"/>
  <c r="W137" i="25"/>
  <c r="W141" i="25" s="1"/>
  <c r="W146" i="25" s="1"/>
  <c r="W44" i="24"/>
  <c r="W91" i="24"/>
  <c r="V136" i="22"/>
  <c r="V140" i="22" s="1"/>
  <c r="V145" i="22" s="1"/>
  <c r="W91" i="30"/>
  <c r="W44" i="30"/>
  <c r="V137" i="30"/>
  <c r="V141" i="30" s="1"/>
  <c r="V146" i="26" l="1"/>
  <c r="V146" i="30"/>
  <c r="W93" i="26"/>
  <c r="W94" i="26" s="1"/>
  <c r="W95" i="26" s="1"/>
  <c r="AD58" i="37"/>
  <c r="AD53" i="37"/>
  <c r="AD51" i="37"/>
  <c r="AD52" i="37"/>
  <c r="AC179" i="37"/>
  <c r="V62" i="26"/>
  <c r="W46" i="26"/>
  <c r="U40" i="11"/>
  <c r="U42" i="11" s="1"/>
  <c r="W90" i="22"/>
  <c r="W89" i="22"/>
  <c r="W43" i="22"/>
  <c r="W46" i="22" s="1"/>
  <c r="W79" i="22"/>
  <c r="AD14" i="37" s="1"/>
  <c r="AD22" i="37" s="1"/>
  <c r="AB190" i="37"/>
  <c r="V21" i="11"/>
  <c r="W95" i="23"/>
  <c r="W97" i="23" s="1"/>
  <c r="W133" i="23" s="1"/>
  <c r="AD94" i="37"/>
  <c r="W43" i="30"/>
  <c r="W80" i="30"/>
  <c r="AD59" i="37" s="1"/>
  <c r="AD67" i="37" s="1"/>
  <c r="W42" i="30"/>
  <c r="W90" i="30"/>
  <c r="W93" i="30" s="1"/>
  <c r="W94" i="30" s="1"/>
  <c r="AD84" i="37"/>
  <c r="V62" i="30"/>
  <c r="V25" i="11" s="1"/>
  <c r="AC188" i="37"/>
  <c r="W62" i="25"/>
  <c r="W147" i="25" s="1"/>
  <c r="AD170" i="37"/>
  <c r="AE44" i="37"/>
  <c r="AE43" i="37"/>
  <c r="AE42" i="37"/>
  <c r="X93" i="25"/>
  <c r="X94" i="25" s="1"/>
  <c r="X96" i="25" s="1"/>
  <c r="V62" i="24"/>
  <c r="V147" i="24" s="1"/>
  <c r="AC161" i="37"/>
  <c r="AD35" i="37"/>
  <c r="AD33" i="37"/>
  <c r="AD34" i="37"/>
  <c r="W93" i="24"/>
  <c r="W94" i="24" s="1"/>
  <c r="W96" i="24" s="1"/>
  <c r="AD73" i="37"/>
  <c r="AC148" i="37"/>
  <c r="V62" i="22"/>
  <c r="V146" i="22" s="1"/>
  <c r="AC143" i="37"/>
  <c r="V35" i="11"/>
  <c r="X77" i="23"/>
  <c r="X78" i="23"/>
  <c r="X79" i="23"/>
  <c r="W102" i="23"/>
  <c r="W46" i="24"/>
  <c r="W36" i="11"/>
  <c r="V98" i="21"/>
  <c r="V101" i="21"/>
  <c r="V117" i="21" s="1"/>
  <c r="V97" i="21"/>
  <c r="V99" i="21"/>
  <c r="V33" i="11"/>
  <c r="X46" i="25"/>
  <c r="W78" i="21"/>
  <c r="W77" i="21"/>
  <c r="W79" i="21"/>
  <c r="V102" i="21"/>
  <c r="V118" i="21" l="1"/>
  <c r="AC134" i="37" s="1"/>
  <c r="AC189" i="37" s="1"/>
  <c r="V52" i="21"/>
  <c r="V62" i="21" s="1"/>
  <c r="V147" i="30"/>
  <c r="V147" i="26"/>
  <c r="V38" i="11"/>
  <c r="V37" i="11"/>
  <c r="W96" i="26"/>
  <c r="W102" i="26" s="1"/>
  <c r="V24" i="11"/>
  <c r="AC174" i="37"/>
  <c r="AC176" i="37"/>
  <c r="AC172" i="37"/>
  <c r="AC173" i="37"/>
  <c r="AC177" i="37"/>
  <c r="AC178" i="37"/>
  <c r="AD97" i="37"/>
  <c r="AD76" i="37"/>
  <c r="W101" i="26"/>
  <c r="W117" i="26" s="1"/>
  <c r="W52" i="26" s="1"/>
  <c r="W99" i="26"/>
  <c r="W135" i="26" s="1"/>
  <c r="W97" i="26"/>
  <c r="W133" i="26" s="1"/>
  <c r="W98" i="26"/>
  <c r="W134" i="26" s="1"/>
  <c r="W92" i="22"/>
  <c r="W93" i="22" s="1"/>
  <c r="W94" i="22" s="1"/>
  <c r="AD15" i="37"/>
  <c r="AD16" i="37"/>
  <c r="AD17" i="37"/>
  <c r="AD61" i="37"/>
  <c r="W98" i="23"/>
  <c r="W134" i="23" s="1"/>
  <c r="W99" i="23"/>
  <c r="W135" i="23" s="1"/>
  <c r="W101" i="23"/>
  <c r="W117" i="23" s="1"/>
  <c r="AD62" i="37"/>
  <c r="AD60" i="37"/>
  <c r="W46" i="30"/>
  <c r="W95" i="24"/>
  <c r="W99" i="24" s="1"/>
  <c r="W135" i="24" s="1"/>
  <c r="X95" i="25"/>
  <c r="X97" i="25" s="1"/>
  <c r="X133" i="25" s="1"/>
  <c r="AC182" i="37"/>
  <c r="AC185" i="37"/>
  <c r="AC183" i="37"/>
  <c r="AC186" i="37"/>
  <c r="AC187" i="37"/>
  <c r="AC181" i="37"/>
  <c r="AE48" i="37"/>
  <c r="AE46" i="37"/>
  <c r="AE47" i="37"/>
  <c r="AD165" i="37"/>
  <c r="AD164" i="37"/>
  <c r="AD163" i="37"/>
  <c r="AD168" i="37"/>
  <c r="AD169" i="37"/>
  <c r="AD167" i="37"/>
  <c r="AE96" i="37"/>
  <c r="AD38" i="37"/>
  <c r="AD37" i="37"/>
  <c r="AD39" i="37"/>
  <c r="AC156" i="37"/>
  <c r="AC155" i="37"/>
  <c r="AC154" i="37"/>
  <c r="AC158" i="37"/>
  <c r="AC160" i="37"/>
  <c r="AC159" i="37"/>
  <c r="AD95" i="37"/>
  <c r="AD19" i="37"/>
  <c r="AD20" i="37"/>
  <c r="AD21" i="37"/>
  <c r="AC136" i="37"/>
  <c r="AC137" i="37"/>
  <c r="AC138" i="37"/>
  <c r="AC141" i="37"/>
  <c r="AC142" i="37"/>
  <c r="AC140" i="37"/>
  <c r="V135" i="21"/>
  <c r="V133" i="21"/>
  <c r="V134" i="21"/>
  <c r="W89" i="21"/>
  <c r="W42" i="21"/>
  <c r="W80" i="21"/>
  <c r="AD5" i="37" s="1"/>
  <c r="AD13" i="37" s="1"/>
  <c r="AD68" i="37" s="1"/>
  <c r="C17" i="38" s="1"/>
  <c r="X102" i="25"/>
  <c r="X44" i="23"/>
  <c r="X91" i="23"/>
  <c r="W44" i="21"/>
  <c r="W91" i="21"/>
  <c r="W102" i="24"/>
  <c r="X79" i="24"/>
  <c r="X77" i="24"/>
  <c r="X78" i="24"/>
  <c r="W43" i="21"/>
  <c r="W90" i="21"/>
  <c r="X43" i="23"/>
  <c r="X90" i="23"/>
  <c r="W95" i="30"/>
  <c r="W96" i="30"/>
  <c r="X42" i="23"/>
  <c r="X89" i="23"/>
  <c r="X80" i="23"/>
  <c r="AE23" i="37" s="1"/>
  <c r="AE31" i="37" s="1"/>
  <c r="W118" i="23" l="1"/>
  <c r="AD152" i="37" s="1"/>
  <c r="W52" i="23"/>
  <c r="W62" i="23" s="1"/>
  <c r="X78" i="26"/>
  <c r="X43" i="26" s="1"/>
  <c r="X79" i="26"/>
  <c r="X91" i="26" s="1"/>
  <c r="X77" i="26"/>
  <c r="W95" i="22"/>
  <c r="X76" i="22" s="1"/>
  <c r="W120" i="26"/>
  <c r="W118" i="26"/>
  <c r="AC175" i="37"/>
  <c r="W137" i="26"/>
  <c r="W141" i="26" s="1"/>
  <c r="AC171" i="37"/>
  <c r="AD93" i="37"/>
  <c r="V22" i="11"/>
  <c r="W23" i="11"/>
  <c r="V20" i="11"/>
  <c r="AD98" i="37"/>
  <c r="W137" i="23"/>
  <c r="W141" i="23" s="1"/>
  <c r="W146" i="23" s="1"/>
  <c r="AD77" i="37"/>
  <c r="W120" i="23"/>
  <c r="W97" i="24"/>
  <c r="W133" i="24" s="1"/>
  <c r="X99" i="25"/>
  <c r="X135" i="25" s="1"/>
  <c r="X101" i="25"/>
  <c r="G52" i="11" s="1"/>
  <c r="X98" i="25"/>
  <c r="X134" i="25" s="1"/>
  <c r="W101" i="24"/>
  <c r="W117" i="24" s="1"/>
  <c r="W98" i="24"/>
  <c r="W134" i="24" s="1"/>
  <c r="AE75" i="37"/>
  <c r="AD85" i="37"/>
  <c r="AC153" i="37"/>
  <c r="AD162" i="37"/>
  <c r="AC180" i="37"/>
  <c r="AC184" i="37"/>
  <c r="AD166" i="37"/>
  <c r="AE86" i="37"/>
  <c r="AD74" i="37"/>
  <c r="AC157" i="37"/>
  <c r="AE25" i="37"/>
  <c r="AE24" i="37"/>
  <c r="AE26" i="37"/>
  <c r="AC139" i="37"/>
  <c r="AD83" i="37"/>
  <c r="AC135" i="37"/>
  <c r="AD72" i="37"/>
  <c r="V137" i="21"/>
  <c r="V141" i="21" s="1"/>
  <c r="V146" i="21" s="1"/>
  <c r="AC127" i="37"/>
  <c r="AC128" i="37"/>
  <c r="AC129" i="37"/>
  <c r="AE55" i="37"/>
  <c r="AE57" i="37"/>
  <c r="AE56" i="37"/>
  <c r="W93" i="21"/>
  <c r="W94" i="21" s="1"/>
  <c r="W96" i="21" s="1"/>
  <c r="X46" i="23"/>
  <c r="W99" i="30"/>
  <c r="W135" i="30" s="1"/>
  <c r="W98" i="30"/>
  <c r="W134" i="30" s="1"/>
  <c r="W97" i="30"/>
  <c r="W133" i="30" s="1"/>
  <c r="W101" i="30"/>
  <c r="W117" i="30" s="1"/>
  <c r="W52" i="30" s="1"/>
  <c r="X90" i="24"/>
  <c r="X43" i="24"/>
  <c r="X89" i="24"/>
  <c r="X42" i="24"/>
  <c r="X80" i="24"/>
  <c r="AE32" i="37" s="1"/>
  <c r="AE40" i="37" s="1"/>
  <c r="W46" i="21"/>
  <c r="W100" i="22"/>
  <c r="W116" i="22" s="1"/>
  <c r="W52" i="22" s="1"/>
  <c r="W97" i="22"/>
  <c r="W133" i="22" s="1"/>
  <c r="W98" i="22"/>
  <c r="W134" i="22" s="1"/>
  <c r="W96" i="22"/>
  <c r="W132" i="22" s="1"/>
  <c r="X91" i="24"/>
  <c r="X44" i="24"/>
  <c r="X93" i="23"/>
  <c r="X94" i="23" s="1"/>
  <c r="X77" i="30"/>
  <c r="X79" i="30"/>
  <c r="X78" i="30"/>
  <c r="W102" i="30"/>
  <c r="W120" i="24" l="1"/>
  <c r="W52" i="24"/>
  <c r="X44" i="26"/>
  <c r="X90" i="26"/>
  <c r="X80" i="26"/>
  <c r="AE50" i="37" s="1"/>
  <c r="AE52" i="37" s="1"/>
  <c r="W146" i="26"/>
  <c r="W37" i="11" s="1"/>
  <c r="W147" i="23"/>
  <c r="X89" i="26"/>
  <c r="X78" i="22"/>
  <c r="X44" i="22" s="1"/>
  <c r="X42" i="26"/>
  <c r="X77" i="22"/>
  <c r="W101" i="22"/>
  <c r="V147" i="21"/>
  <c r="W62" i="26"/>
  <c r="AD179" i="37"/>
  <c r="X117" i="25"/>
  <c r="AD147" i="37"/>
  <c r="AD145" i="37"/>
  <c r="AD146" i="37"/>
  <c r="W34" i="11"/>
  <c r="V32" i="11"/>
  <c r="V40" i="11" s="1"/>
  <c r="V19" i="11"/>
  <c r="V27" i="11" s="1"/>
  <c r="W21" i="11"/>
  <c r="W137" i="24"/>
  <c r="W141" i="24" s="1"/>
  <c r="W146" i="24" s="1"/>
  <c r="X137" i="25"/>
  <c r="X141" i="25" s="1"/>
  <c r="X146" i="25" s="1"/>
  <c r="W118" i="24"/>
  <c r="AD161" i="37" s="1"/>
  <c r="AE35" i="37"/>
  <c r="AE33" i="37"/>
  <c r="AE34" i="37"/>
  <c r="X46" i="24"/>
  <c r="AE29" i="37"/>
  <c r="AE30" i="37"/>
  <c r="AE28" i="37"/>
  <c r="AD151" i="37"/>
  <c r="AD150" i="37"/>
  <c r="AD149" i="37"/>
  <c r="AE94" i="37"/>
  <c r="AC144" i="37"/>
  <c r="W95" i="21"/>
  <c r="W98" i="21" s="1"/>
  <c r="AC126" i="37"/>
  <c r="AE87" i="37"/>
  <c r="W136" i="22"/>
  <c r="W140" i="22" s="1"/>
  <c r="W145" i="22" s="1"/>
  <c r="X88" i="22"/>
  <c r="X42" i="22"/>
  <c r="X91" i="30"/>
  <c r="X44" i="30"/>
  <c r="X80" i="30"/>
  <c r="AE59" i="37" s="1"/>
  <c r="AE67" i="37" s="1"/>
  <c r="X42" i="30"/>
  <c r="X89" i="30"/>
  <c r="X78" i="21"/>
  <c r="X77" i="21"/>
  <c r="W102" i="21"/>
  <c r="X79" i="21"/>
  <c r="W118" i="30"/>
  <c r="W120" i="30"/>
  <c r="W137" i="30"/>
  <c r="W141" i="30" s="1"/>
  <c r="X90" i="30"/>
  <c r="X43" i="30"/>
  <c r="X96" i="23"/>
  <c r="X95" i="23"/>
  <c r="W117" i="22"/>
  <c r="W119" i="22"/>
  <c r="X93" i="24"/>
  <c r="X94" i="24" s="1"/>
  <c r="X93" i="26" l="1"/>
  <c r="X94" i="26" s="1"/>
  <c r="X95" i="26" s="1"/>
  <c r="X98" i="26" s="1"/>
  <c r="X134" i="26" s="1"/>
  <c r="AE58" i="37"/>
  <c r="X120" i="25"/>
  <c r="X52" i="25"/>
  <c r="AE53" i="37"/>
  <c r="AE97" i="37" s="1"/>
  <c r="AE51" i="37"/>
  <c r="X46" i="26"/>
  <c r="X90" i="22"/>
  <c r="W147" i="26"/>
  <c r="W146" i="30"/>
  <c r="W38" i="11" s="1"/>
  <c r="X79" i="22"/>
  <c r="AE14" i="37" s="1"/>
  <c r="AE22" i="37" s="1"/>
  <c r="X43" i="22"/>
  <c r="X46" i="22" s="1"/>
  <c r="X89" i="22"/>
  <c r="W24" i="11"/>
  <c r="AD173" i="37"/>
  <c r="AD174" i="37"/>
  <c r="AD178" i="37"/>
  <c r="AD172" i="37"/>
  <c r="AD177" i="37"/>
  <c r="AD176" i="37"/>
  <c r="X118" i="25"/>
  <c r="W33" i="11"/>
  <c r="W35" i="11"/>
  <c r="E13" i="25"/>
  <c r="V42" i="11"/>
  <c r="AC190" i="37"/>
  <c r="W62" i="24"/>
  <c r="W147" i="24" s="1"/>
  <c r="AD148" i="37"/>
  <c r="W62" i="30"/>
  <c r="W25" i="11" s="1"/>
  <c r="AD188" i="37"/>
  <c r="X46" i="30"/>
  <c r="AE62" i="37"/>
  <c r="AE60" i="37"/>
  <c r="AE61" i="37"/>
  <c r="AE37" i="37"/>
  <c r="AE39" i="37"/>
  <c r="AE38" i="37"/>
  <c r="AE95" i="37"/>
  <c r="AD155" i="37"/>
  <c r="AD156" i="37"/>
  <c r="AD154" i="37"/>
  <c r="AD158" i="37"/>
  <c r="AD159" i="37"/>
  <c r="AD160" i="37"/>
  <c r="AE84" i="37"/>
  <c r="AE73" i="37"/>
  <c r="W101" i="21"/>
  <c r="W117" i="21" s="1"/>
  <c r="W97" i="21"/>
  <c r="W133" i="21" s="1"/>
  <c r="W99" i="21"/>
  <c r="W135" i="21" s="1"/>
  <c r="W62" i="22"/>
  <c r="W146" i="22" s="1"/>
  <c r="AD143" i="37"/>
  <c r="W134" i="21"/>
  <c r="X102" i="23"/>
  <c r="X80" i="21"/>
  <c r="AE5" i="37" s="1"/>
  <c r="AE13" i="37" s="1"/>
  <c r="X89" i="21"/>
  <c r="X42" i="21"/>
  <c r="X95" i="24"/>
  <c r="X96" i="24"/>
  <c r="X43" i="21"/>
  <c r="X90" i="21"/>
  <c r="X98" i="23"/>
  <c r="X134" i="23" s="1"/>
  <c r="X101" i="23"/>
  <c r="G50" i="11" s="1"/>
  <c r="X97" i="23"/>
  <c r="X133" i="23" s="1"/>
  <c r="X99" i="23"/>
  <c r="X135" i="23" s="1"/>
  <c r="X91" i="21"/>
  <c r="X44" i="21"/>
  <c r="X93" i="30"/>
  <c r="X94" i="30" s="1"/>
  <c r="X96" i="26" l="1"/>
  <c r="X102" i="26" s="1"/>
  <c r="X62" i="25"/>
  <c r="X147" i="25" s="1"/>
  <c r="AE76" i="37"/>
  <c r="W118" i="21"/>
  <c r="AD134" i="37" s="1"/>
  <c r="AD189" i="37" s="1"/>
  <c r="W52" i="21"/>
  <c r="W62" i="21" s="1"/>
  <c r="X92" i="22"/>
  <c r="X93" i="22" s="1"/>
  <c r="X95" i="22" s="1"/>
  <c r="X99" i="26"/>
  <c r="X135" i="26" s="1"/>
  <c r="X97" i="26"/>
  <c r="X133" i="26" s="1"/>
  <c r="W147" i="30"/>
  <c r="X101" i="26"/>
  <c r="G53" i="11" s="1"/>
  <c r="AE15" i="37"/>
  <c r="AE17" i="37"/>
  <c r="AE16" i="37"/>
  <c r="AD175" i="37"/>
  <c r="AD171" i="37"/>
  <c r="AE170" i="37"/>
  <c r="AE168" i="37" s="1"/>
  <c r="X117" i="23"/>
  <c r="AE68" i="37"/>
  <c r="X36" i="11"/>
  <c r="AE74" i="37"/>
  <c r="AD183" i="37"/>
  <c r="AD187" i="37"/>
  <c r="AD186" i="37"/>
  <c r="AD181" i="37"/>
  <c r="AD182" i="37"/>
  <c r="AD185" i="37"/>
  <c r="AE98" i="37"/>
  <c r="AE77" i="37"/>
  <c r="AD153" i="37"/>
  <c r="AD157" i="37"/>
  <c r="AE85" i="37"/>
  <c r="AE19" i="37"/>
  <c r="AE20" i="37"/>
  <c r="AE21" i="37"/>
  <c r="AD137" i="37"/>
  <c r="AD136" i="37"/>
  <c r="AD138" i="37"/>
  <c r="AD141" i="37"/>
  <c r="AD140" i="37"/>
  <c r="AD142" i="37"/>
  <c r="W137" i="21"/>
  <c r="W141" i="21" s="1"/>
  <c r="X137" i="23"/>
  <c r="X141" i="23" s="1"/>
  <c r="X146" i="23" s="1"/>
  <c r="X101" i="24"/>
  <c r="G51" i="11" s="1"/>
  <c r="X99" i="24"/>
  <c r="X135" i="24" s="1"/>
  <c r="X98" i="24"/>
  <c r="X134" i="24" s="1"/>
  <c r="X97" i="24"/>
  <c r="X133" i="24" s="1"/>
  <c r="X102" i="24"/>
  <c r="X46" i="21"/>
  <c r="X93" i="21"/>
  <c r="X94" i="21" s="1"/>
  <c r="X96" i="30"/>
  <c r="X95" i="30"/>
  <c r="X23" i="11" l="1"/>
  <c r="E12" i="25"/>
  <c r="X118" i="23"/>
  <c r="AE152" i="37" s="1"/>
  <c r="AE146" i="37" s="1"/>
  <c r="X52" i="23"/>
  <c r="X62" i="23" s="1"/>
  <c r="E12" i="23" s="1"/>
  <c r="X94" i="22"/>
  <c r="X100" i="22" s="1"/>
  <c r="G49" i="11" s="1"/>
  <c r="X137" i="26"/>
  <c r="X141" i="26" s="1"/>
  <c r="X146" i="26" s="1"/>
  <c r="E13" i="26" s="1"/>
  <c r="X117" i="26"/>
  <c r="AE93" i="37"/>
  <c r="W146" i="21"/>
  <c r="W147" i="21" s="1"/>
  <c r="AE163" i="37"/>
  <c r="AE164" i="37"/>
  <c r="AE169" i="37"/>
  <c r="AE167" i="37"/>
  <c r="AE165" i="37"/>
  <c r="X120" i="23"/>
  <c r="X117" i="24"/>
  <c r="E13" i="23"/>
  <c r="W19" i="11"/>
  <c r="E7" i="25"/>
  <c r="E9" i="25"/>
  <c r="E11" i="25" s="1"/>
  <c r="H9" i="11" s="1"/>
  <c r="W22" i="11"/>
  <c r="W20" i="11"/>
  <c r="AD127" i="37"/>
  <c r="AD128" i="37"/>
  <c r="AD184" i="37"/>
  <c r="AD180" i="37"/>
  <c r="AD129" i="37"/>
  <c r="AE72" i="37"/>
  <c r="AD139" i="37"/>
  <c r="AE83" i="37"/>
  <c r="AD135" i="37"/>
  <c r="X137" i="24"/>
  <c r="X141" i="24" s="1"/>
  <c r="X146" i="24" s="1"/>
  <c r="X95" i="21"/>
  <c r="X96" i="21"/>
  <c r="X101" i="30"/>
  <c r="G55" i="11" s="1"/>
  <c r="X99" i="30"/>
  <c r="X135" i="30" s="1"/>
  <c r="X97" i="30"/>
  <c r="X133" i="30" s="1"/>
  <c r="X98" i="30"/>
  <c r="X134" i="30" s="1"/>
  <c r="X102" i="30"/>
  <c r="X101" i="22"/>
  <c r="AE149" i="37" l="1"/>
  <c r="X98" i="22"/>
  <c r="X134" i="22" s="1"/>
  <c r="AE147" i="37"/>
  <c r="AE145" i="37"/>
  <c r="X96" i="22"/>
  <c r="X132" i="22" s="1"/>
  <c r="X97" i="22"/>
  <c r="X133" i="22" s="1"/>
  <c r="X120" i="24"/>
  <c r="X52" i="24"/>
  <c r="X120" i="26"/>
  <c r="X52" i="26"/>
  <c r="X118" i="26"/>
  <c r="X147" i="23"/>
  <c r="X37" i="11"/>
  <c r="W32" i="11"/>
  <c r="W40" i="11" s="1"/>
  <c r="AE162" i="37"/>
  <c r="AE166" i="37"/>
  <c r="W27" i="11"/>
  <c r="X118" i="24"/>
  <c r="AE161" i="37" s="1"/>
  <c r="X117" i="30"/>
  <c r="X116" i="22"/>
  <c r="X34" i="11"/>
  <c r="X35" i="11"/>
  <c r="E13" i="24"/>
  <c r="X21" i="11"/>
  <c r="AD126" i="37"/>
  <c r="AD144" i="37"/>
  <c r="AE150" i="37"/>
  <c r="AE151" i="37"/>
  <c r="X137" i="30"/>
  <c r="X141" i="30" s="1"/>
  <c r="X102" i="21"/>
  <c r="X97" i="21"/>
  <c r="X101" i="21"/>
  <c r="G48" i="11" s="1"/>
  <c r="G54" i="11" s="1"/>
  <c r="G56" i="11" s="1"/>
  <c r="X99" i="21"/>
  <c r="X98" i="21"/>
  <c r="X62" i="26" l="1"/>
  <c r="X24" i="11" s="1"/>
  <c r="AE144" i="37"/>
  <c r="X136" i="22"/>
  <c r="X140" i="22" s="1"/>
  <c r="X145" i="22" s="1"/>
  <c r="X33" i="11" s="1"/>
  <c r="X118" i="30"/>
  <c r="AE188" i="37" s="1"/>
  <c r="X52" i="30"/>
  <c r="X62" i="30" s="1"/>
  <c r="X117" i="22"/>
  <c r="AE143" i="37" s="1"/>
  <c r="X52" i="22"/>
  <c r="X62" i="22" s="1"/>
  <c r="AE179" i="37"/>
  <c r="AE172" i="37" s="1"/>
  <c r="X146" i="30"/>
  <c r="X38" i="11" s="1"/>
  <c r="X62" i="24"/>
  <c r="W42" i="11"/>
  <c r="X119" i="22"/>
  <c r="E14" i="25"/>
  <c r="H11" i="11"/>
  <c r="X120" i="30"/>
  <c r="X117" i="21"/>
  <c r="AD190" i="37"/>
  <c r="AE148" i="37"/>
  <c r="E9" i="23"/>
  <c r="E11" i="23" s="1"/>
  <c r="F9" i="11" s="1"/>
  <c r="AE154" i="37"/>
  <c r="AE156" i="37"/>
  <c r="AE155" i="37"/>
  <c r="AE160" i="37"/>
  <c r="AE159" i="37"/>
  <c r="AE158" i="37"/>
  <c r="X135" i="21"/>
  <c r="X133" i="21"/>
  <c r="X134" i="21"/>
  <c r="E12" i="26" l="1"/>
  <c r="E14" i="26" s="1"/>
  <c r="X147" i="26"/>
  <c r="E9" i="26" s="1"/>
  <c r="E11" i="26" s="1"/>
  <c r="I9" i="11" s="1"/>
  <c r="X118" i="21"/>
  <c r="AE134" i="37" s="1"/>
  <c r="AE129" i="37" s="1"/>
  <c r="X52" i="21"/>
  <c r="X62" i="21" s="1"/>
  <c r="E12" i="21" s="1"/>
  <c r="AE178" i="37"/>
  <c r="AE176" i="37"/>
  <c r="AE177" i="37"/>
  <c r="AE173" i="37"/>
  <c r="AE174" i="37"/>
  <c r="E13" i="30"/>
  <c r="E12" i="24"/>
  <c r="X147" i="24"/>
  <c r="X147" i="30"/>
  <c r="E7" i="30" s="1"/>
  <c r="X22" i="11"/>
  <c r="X25" i="11"/>
  <c r="E12" i="30"/>
  <c r="X146" i="22"/>
  <c r="E12" i="22"/>
  <c r="E13" i="22"/>
  <c r="E7" i="23"/>
  <c r="X20" i="11"/>
  <c r="AE187" i="37"/>
  <c r="AE181" i="37"/>
  <c r="AE185" i="37"/>
  <c r="AE182" i="37"/>
  <c r="AE186" i="37"/>
  <c r="AE183" i="37"/>
  <c r="AE153" i="37"/>
  <c r="AE157" i="37"/>
  <c r="AE137" i="37"/>
  <c r="AE136" i="37"/>
  <c r="AE138" i="37"/>
  <c r="AE140" i="37"/>
  <c r="AE141" i="37"/>
  <c r="AE142" i="37"/>
  <c r="X137" i="21"/>
  <c r="X141" i="21" s="1"/>
  <c r="I11" i="11" l="1"/>
  <c r="E7" i="26"/>
  <c r="AE175" i="37"/>
  <c r="AE171" i="37"/>
  <c r="AE128" i="37"/>
  <c r="AE189" i="37"/>
  <c r="X146" i="21"/>
  <c r="X147" i="21" s="1"/>
  <c r="E14" i="23"/>
  <c r="F11" i="11"/>
  <c r="AE127" i="37"/>
  <c r="X19" i="11"/>
  <c r="X27" i="11" s="1"/>
  <c r="E9" i="30"/>
  <c r="E11" i="30" s="1"/>
  <c r="J9" i="11" s="1"/>
  <c r="E9" i="24"/>
  <c r="E11" i="24" s="1"/>
  <c r="G9" i="11" s="1"/>
  <c r="E7" i="24"/>
  <c r="E9" i="22"/>
  <c r="E11" i="22" s="1"/>
  <c r="E9" i="11" s="1"/>
  <c r="AE180" i="37"/>
  <c r="AE184" i="37"/>
  <c r="AE139" i="37"/>
  <c r="AE135" i="37"/>
  <c r="AE126" i="37" l="1"/>
  <c r="AE190" i="37" s="1"/>
  <c r="P33" i="38" s="1"/>
  <c r="X32" i="11"/>
  <c r="X40" i="11" s="1"/>
  <c r="X42" i="11" s="1"/>
  <c r="K5" i="11" s="1"/>
  <c r="E13" i="21"/>
  <c r="E9" i="21"/>
  <c r="E7" i="21"/>
  <c r="E7" i="22"/>
  <c r="E14" i="30" l="1"/>
  <c r="J11" i="11"/>
  <c r="E11" i="21"/>
  <c r="D9" i="11" s="1"/>
  <c r="K9" i="11" s="1"/>
  <c r="E14" i="22"/>
  <c r="E11" i="11"/>
  <c r="E14" i="24"/>
  <c r="G11" i="11"/>
  <c r="D7" i="11"/>
  <c r="D11" i="11"/>
  <c r="C13" i="38" l="1"/>
  <c r="D25" i="36"/>
  <c r="C33" i="38" l="1"/>
  <c r="C32" i="38"/>
  <c r="H5" i="11"/>
  <c r="AG68" i="37" l="1"/>
  <c r="I5" i="11"/>
  <c r="H10" i="11"/>
  <c r="F5" i="11" l="1"/>
  <c r="G5" i="11"/>
  <c r="J5" i="11"/>
  <c r="H7" i="11" l="1"/>
  <c r="H12" i="11" s="1"/>
  <c r="I10" i="11"/>
  <c r="D5" i="11" l="1"/>
  <c r="J10" i="11"/>
  <c r="I7" i="11" l="1"/>
  <c r="I12" i="11" s="1"/>
  <c r="E5" i="11"/>
  <c r="G10" i="11"/>
  <c r="J7" i="11" l="1"/>
  <c r="J12" i="11" s="1"/>
  <c r="G7" i="11"/>
  <c r="G12" i="11" s="1"/>
  <c r="F10" i="11"/>
  <c r="F7" i="11" l="1"/>
  <c r="F12" i="11" s="1"/>
  <c r="E10" i="11"/>
  <c r="E7" i="11" l="1"/>
  <c r="E12" i="11" s="1"/>
  <c r="D10" i="11"/>
  <c r="E14" i="21" l="1"/>
  <c r="K7" i="11"/>
  <c r="K10" i="11"/>
  <c r="E13" i="38" l="1"/>
  <c r="K11" i="11"/>
  <c r="D12" i="11"/>
  <c r="K12" i="11" l="1"/>
  <c r="D18" i="36" l="1"/>
  <c r="C11" i="38"/>
  <c r="Q8" i="37"/>
  <c r="AD8" i="37"/>
  <c r="AA8" i="37"/>
  <c r="AE8" i="37"/>
  <c r="Q7" i="37"/>
  <c r="R8" i="37"/>
  <c r="S8" i="37"/>
  <c r="T8" i="37"/>
  <c r="V8" i="37"/>
  <c r="W8" i="37"/>
  <c r="X8" i="37"/>
  <c r="Z8" i="37"/>
  <c r="AB8" i="37"/>
  <c r="U8" i="37"/>
  <c r="Y8" i="37"/>
  <c r="AC8" i="37"/>
  <c r="T7" i="37"/>
  <c r="U7" i="37"/>
  <c r="U6" i="37"/>
  <c r="AE7" i="37"/>
  <c r="Z7" i="37"/>
  <c r="AD7" i="37"/>
  <c r="R7" i="37"/>
  <c r="S6" i="37"/>
  <c r="S7" i="37"/>
  <c r="W6" i="37"/>
  <c r="W7" i="37"/>
  <c r="AE6" i="37"/>
  <c r="T6" i="37"/>
  <c r="AC7" i="37"/>
  <c r="V6" i="37"/>
  <c r="V7" i="37"/>
  <c r="AD6" i="37"/>
  <c r="X6" i="37"/>
  <c r="X7" i="37"/>
  <c r="Z6" i="37"/>
  <c r="AB6" i="37"/>
  <c r="AB7" i="37"/>
  <c r="AC6" i="37"/>
  <c r="R6" i="37"/>
  <c r="Y6" i="37"/>
  <c r="Y7" i="37"/>
  <c r="AA6" i="37"/>
  <c r="AA7" i="37"/>
  <c r="U92" i="37" l="1"/>
  <c r="U99" i="37" s="1"/>
  <c r="S92" i="37"/>
  <c r="S99" i="37" s="1"/>
  <c r="AC92" i="37"/>
  <c r="AC99" i="37" s="1"/>
  <c r="T92" i="37"/>
  <c r="T99" i="37" s="1"/>
  <c r="Q92" i="37"/>
  <c r="Q99" i="37" s="1"/>
  <c r="AA92" i="37"/>
  <c r="AA99" i="37" s="1"/>
  <c r="Z92" i="37"/>
  <c r="Z99" i="37" s="1"/>
  <c r="AD92" i="37"/>
  <c r="AD99" i="37" s="1"/>
  <c r="U12" i="37"/>
  <c r="U132" i="37"/>
  <c r="U131" i="37"/>
  <c r="U133" i="37"/>
  <c r="AD12" i="37"/>
  <c r="AD132" i="37"/>
  <c r="AD131" i="37"/>
  <c r="AD133" i="37"/>
  <c r="Z11" i="37"/>
  <c r="Z131" i="37"/>
  <c r="Z133" i="37"/>
  <c r="Z132" i="37"/>
  <c r="AA11" i="37"/>
  <c r="AA133" i="37"/>
  <c r="AA132" i="37"/>
  <c r="AA131" i="37"/>
  <c r="Y12" i="37"/>
  <c r="Y132" i="37"/>
  <c r="Y133" i="37"/>
  <c r="Y131" i="37"/>
  <c r="V12" i="37"/>
  <c r="V132" i="37"/>
  <c r="V133" i="37"/>
  <c r="V131" i="37"/>
  <c r="AE10" i="37"/>
  <c r="AE133" i="37"/>
  <c r="AE132" i="37"/>
  <c r="AE131" i="37"/>
  <c r="T10" i="37"/>
  <c r="T133" i="37"/>
  <c r="T131" i="37"/>
  <c r="T132" i="37"/>
  <c r="S11" i="37"/>
  <c r="S131" i="37"/>
  <c r="S133" i="37"/>
  <c r="S132" i="37"/>
  <c r="AB11" i="37"/>
  <c r="AB131" i="37"/>
  <c r="AB132" i="37"/>
  <c r="AB133" i="37"/>
  <c r="X11" i="37"/>
  <c r="X131" i="37"/>
  <c r="X133" i="37"/>
  <c r="X132" i="37"/>
  <c r="Q10" i="37"/>
  <c r="Q132" i="37"/>
  <c r="Q131" i="37"/>
  <c r="Q133" i="37"/>
  <c r="AC12" i="37"/>
  <c r="AC133" i="37"/>
  <c r="AC131" i="37"/>
  <c r="AC132" i="37"/>
  <c r="W11" i="37"/>
  <c r="W131" i="37"/>
  <c r="W133" i="37"/>
  <c r="W132" i="37"/>
  <c r="R11" i="37"/>
  <c r="R132" i="37"/>
  <c r="R131" i="37"/>
  <c r="R133" i="37"/>
  <c r="AB92" i="37"/>
  <c r="AB99" i="37" s="1"/>
  <c r="W92" i="37"/>
  <c r="W99" i="37" s="1"/>
  <c r="R92" i="37"/>
  <c r="R99" i="37" s="1"/>
  <c r="V92" i="37"/>
  <c r="V99" i="37" s="1"/>
  <c r="X92" i="37"/>
  <c r="X99" i="37" s="1"/>
  <c r="Y92" i="37"/>
  <c r="Y99" i="37" s="1"/>
  <c r="AE92" i="37"/>
  <c r="AE99" i="37" s="1"/>
  <c r="O35" i="38" s="1"/>
  <c r="Q35" i="38" s="1"/>
  <c r="X10" i="37"/>
  <c r="R10" i="37"/>
  <c r="S12" i="37"/>
  <c r="X12" i="37"/>
  <c r="AA10" i="37"/>
  <c r="S10" i="37"/>
  <c r="Z10" i="37"/>
  <c r="T12" i="37"/>
  <c r="T11" i="37"/>
  <c r="AD11" i="37"/>
  <c r="U11" i="37"/>
  <c r="Y11" i="37"/>
  <c r="AD10" i="37"/>
  <c r="AB12" i="37"/>
  <c r="Z12" i="37"/>
  <c r="V11" i="37"/>
  <c r="R12" i="37"/>
  <c r="AC11" i="37"/>
  <c r="AB10" i="37"/>
  <c r="U10" i="37"/>
  <c r="W10" i="37"/>
  <c r="Y10" i="37"/>
  <c r="Q12" i="37"/>
  <c r="AE11" i="37"/>
  <c r="AA12" i="37"/>
  <c r="W12" i="37"/>
  <c r="AC10" i="37"/>
  <c r="V10" i="37"/>
  <c r="Q11" i="37"/>
  <c r="AE12" i="37"/>
  <c r="X82" i="37" l="1"/>
  <c r="X89" i="37" s="1"/>
  <c r="X79" i="37" s="1"/>
  <c r="Y130" i="37"/>
  <c r="Y191" i="37" s="1"/>
  <c r="S71" i="37"/>
  <c r="S78" i="37" s="1"/>
  <c r="X71" i="37"/>
  <c r="X78" i="37" s="1"/>
  <c r="W71" i="37"/>
  <c r="W78" i="37" s="1"/>
  <c r="AA71" i="37"/>
  <c r="AA78" i="37" s="1"/>
  <c r="R71" i="37"/>
  <c r="R78" i="37" s="1"/>
  <c r="Z71" i="37"/>
  <c r="Z78" i="37" s="1"/>
  <c r="Y82" i="37"/>
  <c r="Y89" i="37" s="1"/>
  <c r="Y79" i="37" s="1"/>
  <c r="S82" i="37"/>
  <c r="S89" i="37" s="1"/>
  <c r="S79" i="37" s="1"/>
  <c r="AA130" i="37"/>
  <c r="AA191" i="37" s="1"/>
  <c r="AB71" i="37"/>
  <c r="AB78" i="37" s="1"/>
  <c r="R130" i="37"/>
  <c r="R191" i="37" s="1"/>
  <c r="V130" i="37"/>
  <c r="V191" i="37" s="1"/>
  <c r="AB130" i="37"/>
  <c r="AB191" i="37" s="1"/>
  <c r="S130" i="37"/>
  <c r="S191" i="37" s="1"/>
  <c r="Q130" i="37"/>
  <c r="Q191" i="37" s="1"/>
  <c r="AD130" i="37"/>
  <c r="AD191" i="37" s="1"/>
  <c r="AD193" i="37" s="1"/>
  <c r="AC130" i="37"/>
  <c r="AC191" i="37" s="1"/>
  <c r="X130" i="37"/>
  <c r="X191" i="37" s="1"/>
  <c r="AE130" i="37"/>
  <c r="W130" i="37"/>
  <c r="W191" i="37" s="1"/>
  <c r="T130" i="37"/>
  <c r="T191" i="37" s="1"/>
  <c r="Z130" i="37"/>
  <c r="Z191" i="37" s="1"/>
  <c r="U130" i="37"/>
  <c r="U191" i="37" s="1"/>
  <c r="O36" i="38"/>
  <c r="Q36" i="38" s="1"/>
  <c r="O37" i="38"/>
  <c r="Q37" i="38" s="1"/>
  <c r="O38" i="38"/>
  <c r="Q38" i="38" s="1"/>
  <c r="O39" i="38"/>
  <c r="W82" i="37"/>
  <c r="W89" i="37" s="1"/>
  <c r="W79" i="37" s="1"/>
  <c r="Q82" i="37"/>
  <c r="Q89" i="37" s="1"/>
  <c r="Q79" i="37" s="1"/>
  <c r="AE82" i="37"/>
  <c r="AE89" i="37" s="1"/>
  <c r="Z82" i="37"/>
  <c r="Z89" i="37" s="1"/>
  <c r="Z79" i="37" s="1"/>
  <c r="AC71" i="37"/>
  <c r="AC78" i="37" s="1"/>
  <c r="AC82" i="37"/>
  <c r="AC89" i="37" s="1"/>
  <c r="AC79" i="37" s="1"/>
  <c r="V71" i="37"/>
  <c r="V78" i="37" s="1"/>
  <c r="V82" i="37"/>
  <c r="V89" i="37" s="1"/>
  <c r="V79" i="37" s="1"/>
  <c r="AD71" i="37"/>
  <c r="AD78" i="37" s="1"/>
  <c r="C18" i="38" s="1"/>
  <c r="AD82" i="37"/>
  <c r="AD89" i="37" s="1"/>
  <c r="AD79" i="37" s="1"/>
  <c r="AA82" i="37"/>
  <c r="AA89" i="37" s="1"/>
  <c r="AA79" i="37" s="1"/>
  <c r="T82" i="37"/>
  <c r="T89" i="37" s="1"/>
  <c r="T79" i="37" s="1"/>
  <c r="R82" i="37"/>
  <c r="R89" i="37" s="1"/>
  <c r="R79" i="37" s="1"/>
  <c r="U71" i="37"/>
  <c r="U78" i="37" s="1"/>
  <c r="U82" i="37"/>
  <c r="U89" i="37" s="1"/>
  <c r="U79" i="37" s="1"/>
  <c r="AB82" i="37"/>
  <c r="AB89" i="37" s="1"/>
  <c r="AB79" i="37" s="1"/>
  <c r="Y71" i="37"/>
  <c r="Y78" i="37" s="1"/>
  <c r="T71" i="37"/>
  <c r="T78" i="37" s="1"/>
  <c r="Q71" i="37"/>
  <c r="Q78" i="37" s="1"/>
  <c r="AE71" i="37"/>
  <c r="AE78" i="37" s="1"/>
  <c r="Q39" i="38" l="1"/>
  <c r="R39" i="38" s="1"/>
  <c r="AE191" i="37"/>
  <c r="AE193" i="37" s="1"/>
  <c r="C25" i="38"/>
  <c r="R35" i="38"/>
  <c r="L24" i="38"/>
  <c r="L33" i="38"/>
  <c r="R37" i="38"/>
  <c r="R36" i="38"/>
  <c r="AE79" i="37"/>
  <c r="O28" i="38"/>
  <c r="O26" i="38"/>
  <c r="Q26" i="38" s="1"/>
  <c r="O29" i="38"/>
  <c r="O27" i="38"/>
  <c r="O30" i="38"/>
  <c r="R38" i="38"/>
  <c r="C26" i="38" l="1"/>
  <c r="T44" i="38"/>
  <c r="C36" i="38" s="1"/>
  <c r="P24" i="38"/>
  <c r="Q44" i="38" s="1"/>
  <c r="M48" i="38"/>
  <c r="M47" i="38"/>
  <c r="Q29" i="38"/>
  <c r="M44" i="38"/>
  <c r="Q28" i="38"/>
  <c r="M46" i="38"/>
  <c r="N46" i="38" s="1"/>
  <c r="O46" i="38" s="1"/>
  <c r="M45" i="38"/>
  <c r="Q27" i="38"/>
  <c r="Q30" i="38" l="1"/>
  <c r="R26" i="38" s="1"/>
  <c r="R48" i="38"/>
  <c r="F33" i="38" s="1"/>
  <c r="R46" i="38"/>
  <c r="G33" i="38" s="1"/>
  <c r="R45" i="38"/>
  <c r="R47" i="38"/>
  <c r="H33" i="38" s="1"/>
  <c r="R44" i="38"/>
  <c r="Q46" i="38"/>
  <c r="Q45" i="38"/>
  <c r="Q48" i="38"/>
  <c r="Q47" i="38"/>
  <c r="L44" i="38"/>
  <c r="N44" i="38"/>
  <c r="O44" i="38" s="1"/>
  <c r="L46" i="38"/>
  <c r="G21" i="38" s="1"/>
  <c r="R27" i="38"/>
  <c r="R28" i="38"/>
  <c r="R29" i="38"/>
  <c r="N45" i="38"/>
  <c r="O45" i="38" s="1"/>
  <c r="L45" i="38"/>
  <c r="N47" i="38"/>
  <c r="O47" i="38" s="1"/>
  <c r="L47" i="38"/>
  <c r="H21" i="38" s="1"/>
  <c r="N48" i="38"/>
  <c r="O48" i="38" s="1"/>
  <c r="L48" i="38"/>
  <c r="F21" i="38" s="1"/>
  <c r="S44" i="38" l="1"/>
  <c r="E32" i="38" s="1"/>
  <c r="L10" i="38" s="1"/>
  <c r="E33" i="38"/>
  <c r="N49" i="38"/>
  <c r="R30" i="38"/>
  <c r="S48" i="38"/>
  <c r="H25" i="38"/>
  <c r="S47" i="38"/>
  <c r="H32" i="38" s="1"/>
  <c r="L13" i="38" s="1"/>
  <c r="S45" i="38"/>
  <c r="S46" i="38"/>
  <c r="G32" i="38" s="1"/>
  <c r="L12" i="38" s="1"/>
  <c r="P44" i="38"/>
  <c r="E21" i="38"/>
  <c r="P47" i="38"/>
  <c r="P46" i="38"/>
  <c r="P48" i="38"/>
  <c r="P45" i="38"/>
  <c r="P183" i="37"/>
  <c r="P182" i="37"/>
  <c r="P185" i="37"/>
  <c r="P184" i="37" s="1"/>
  <c r="P191" i="37" s="1"/>
  <c r="P181" i="37"/>
  <c r="F25" i="38" l="1"/>
  <c r="F26" i="38" s="1"/>
  <c r="F32" i="38"/>
  <c r="L11" i="38" s="1"/>
  <c r="C38" i="38"/>
  <c r="C27" i="38"/>
  <c r="E25" i="38"/>
  <c r="E26" i="38" s="1"/>
  <c r="H26" i="38"/>
  <c r="H27" i="38" s="1"/>
  <c r="G25" i="38"/>
  <c r="G26" i="38" s="1"/>
  <c r="P180" i="37"/>
  <c r="P190" i="37" s="1"/>
  <c r="M24" i="8"/>
  <c r="M23" i="8"/>
  <c r="M21" i="8"/>
  <c r="M22" i="8"/>
  <c r="M20" i="8"/>
  <c r="L28" i="8"/>
  <c r="M25" i="8"/>
  <c r="E27" i="38" l="1"/>
  <c r="G27" i="38"/>
  <c r="F27" i="38"/>
  <c r="M28" i="8"/>
</calcChain>
</file>

<file path=xl/sharedStrings.xml><?xml version="1.0" encoding="utf-8"?>
<sst xmlns="http://schemas.openxmlformats.org/spreadsheetml/2006/main" count="2201" uniqueCount="671">
  <si>
    <t>Total</t>
  </si>
  <si>
    <t>Commercial</t>
  </si>
  <si>
    <t>%</t>
  </si>
  <si>
    <t>Operations Start</t>
  </si>
  <si>
    <t>Financial Assumptions</t>
  </si>
  <si>
    <t>Inputs</t>
  </si>
  <si>
    <t>Capex Phasing</t>
  </si>
  <si>
    <t>Op Flag</t>
  </si>
  <si>
    <t>Operations End</t>
  </si>
  <si>
    <t>Opex Factor (percentage of capex</t>
  </si>
  <si>
    <t>Commercial - T2</t>
  </si>
  <si>
    <t>Total Costs</t>
  </si>
  <si>
    <t>Weight in LRMC: %</t>
  </si>
  <si>
    <t>Capex: $/kW</t>
  </si>
  <si>
    <t>Discount rate: %</t>
  </si>
  <si>
    <t>Annuity term: yrs</t>
  </si>
  <si>
    <t>Annuitised capex: $/kW</t>
  </si>
  <si>
    <t>Annual LF%</t>
  </si>
  <si>
    <t>Annual overhead: $/kW</t>
  </si>
  <si>
    <t>Non-fuel variable cost: $/kWh</t>
  </si>
  <si>
    <t>Non-fuel costs: $/kWh</t>
  </si>
  <si>
    <t>Total costs: $/kWh</t>
  </si>
  <si>
    <t>Hydro</t>
  </si>
  <si>
    <t xml:space="preserve"> -</t>
  </si>
  <si>
    <t>Gas-CCGT</t>
  </si>
  <si>
    <t>Gas-OCGT</t>
  </si>
  <si>
    <t>Coal</t>
  </si>
  <si>
    <t>Connection costs</t>
  </si>
  <si>
    <t>Connection costs by customer category: Thousand USD</t>
  </si>
  <si>
    <t>Resettlement</t>
  </si>
  <si>
    <t>Capex phasing</t>
  </si>
  <si>
    <t>Connection costs: USD per customer</t>
  </si>
  <si>
    <t>Total connection costs: Million USD</t>
  </si>
  <si>
    <t>Customer numbers</t>
  </si>
  <si>
    <t>Tanga</t>
  </si>
  <si>
    <t>Dodoma</t>
  </si>
  <si>
    <t>Morogoro</t>
  </si>
  <si>
    <t>Iringa</t>
  </si>
  <si>
    <t>Mwanza</t>
  </si>
  <si>
    <t>Mbeya</t>
  </si>
  <si>
    <t>Domestic Urban</t>
  </si>
  <si>
    <t>Domestic Rural</t>
  </si>
  <si>
    <t>Growth in customer no. %/yr</t>
  </si>
  <si>
    <t>Base energy demand: MWh/yr</t>
  </si>
  <si>
    <t>Domestic Urban - T1</t>
  </si>
  <si>
    <t>Domestic Rural - T1</t>
  </si>
  <si>
    <t>Units consumption: kWh/yr</t>
  </si>
  <si>
    <t>Total energy demand: MWh/yr</t>
  </si>
  <si>
    <t>Adjusted energy: MWh/yr</t>
  </si>
  <si>
    <t>Growth in unit consumption %/yr</t>
  </si>
  <si>
    <t>Energy consumption: MWh/yr</t>
  </si>
  <si>
    <t>Max.demand: Mvar</t>
  </si>
  <si>
    <t>Peak load: kW</t>
  </si>
  <si>
    <t>Power factor</t>
  </si>
  <si>
    <t>Max kW</t>
  </si>
  <si>
    <t>T&amp;D upgrade and extensions</t>
  </si>
  <si>
    <t>Opex: Million USD</t>
  </si>
  <si>
    <t>Capex: Million USD</t>
  </si>
  <si>
    <t>Energy costs</t>
  </si>
  <si>
    <t>Unit energy cost: USD/kWh</t>
  </si>
  <si>
    <t>Total energy cost: Million USD</t>
  </si>
  <si>
    <t>Trans. losses before bulk supply point: %</t>
  </si>
  <si>
    <t>T&amp;D losses on networks: %</t>
  </si>
  <si>
    <t>WTP</t>
  </si>
  <si>
    <t>Av. Cust cons:</t>
  </si>
  <si>
    <t>Total energy supplied to extensions: GWh</t>
  </si>
  <si>
    <t>Increase in demand: GWh</t>
  </si>
  <si>
    <t>Additional capacity in MVA</t>
  </si>
  <si>
    <t>Base demand in regions in MW</t>
  </si>
  <si>
    <t>Potential extra energy: GWh</t>
  </si>
  <si>
    <t>Willingness to pay on extensions</t>
  </si>
  <si>
    <t>WTP on substation upgrades</t>
  </si>
  <si>
    <t>Potential energy supply: GWh</t>
  </si>
  <si>
    <t>Upgrades</t>
  </si>
  <si>
    <t>Include/ exclude</t>
  </si>
  <si>
    <t>Extensions</t>
  </si>
  <si>
    <t>Region</t>
  </si>
  <si>
    <t>Social and Environmental Costs:  Million USD</t>
  </si>
  <si>
    <t>Fuel generation cost: $/kWh</t>
  </si>
  <si>
    <t>Total S&amp;E costs:</t>
  </si>
  <si>
    <t>Energy Served by New Substations: GWh</t>
  </si>
  <si>
    <t>Energy Served by Extensions: GWh</t>
  </si>
  <si>
    <t>Total energy served by T&amp;D projects: GWh</t>
  </si>
  <si>
    <t>Benefits</t>
  </si>
  <si>
    <t>WTP (USD/kWh)</t>
  </si>
  <si>
    <t>WTP (Thousand USD)</t>
  </si>
  <si>
    <t>Total WTP extensions (Million USD)</t>
  </si>
  <si>
    <t xml:space="preserve">        Total WTP (Million USD)</t>
  </si>
  <si>
    <t xml:space="preserve">    WTP (Million USD)</t>
  </si>
  <si>
    <t>Total benefits (Million USD)……………………………………….</t>
  </si>
  <si>
    <t>Total Benefits</t>
  </si>
  <si>
    <t>Net Benefits</t>
  </si>
  <si>
    <t>Total WTP (Million USD)</t>
  </si>
  <si>
    <t>Willingness to pay on EXTENSIONS</t>
  </si>
  <si>
    <t>% connected</t>
  </si>
  <si>
    <t>Capacity limit binding</t>
  </si>
  <si>
    <t>Energy demand: GWh (grows at X%pa)</t>
  </si>
  <si>
    <t>Average load factor: %</t>
  </si>
  <si>
    <t>Implied new load: kW</t>
  </si>
  <si>
    <t>Net Benefits (Million USD)…………………………………………………..</t>
  </si>
  <si>
    <t>Total Costs: Million USD</t>
  </si>
  <si>
    <t>Domestic Rural - T1/D1</t>
  </si>
  <si>
    <t>Small</t>
  </si>
  <si>
    <t>Large</t>
  </si>
  <si>
    <t>Weights</t>
  </si>
  <si>
    <t>Base WTP estimate: c/kWh</t>
  </si>
  <si>
    <t>Weighted average WTP:  c/kWh</t>
  </si>
  <si>
    <t>Implied customer nos.</t>
  </si>
  <si>
    <t>Capacity check</t>
  </si>
  <si>
    <t>IDC scalar</t>
  </si>
  <si>
    <t>WTP scalar</t>
  </si>
  <si>
    <t>Kigoma</t>
  </si>
  <si>
    <t>Identified new connections</t>
  </si>
  <si>
    <t>Projected demand from identified customers: kW</t>
  </si>
  <si>
    <t>Rated capacity of transformers: kW</t>
  </si>
  <si>
    <t>Total 6 regions</t>
  </si>
  <si>
    <t>Total 7 regions</t>
  </si>
  <si>
    <t>Distribution extension projects</t>
  </si>
  <si>
    <t>Additional Capacity: MVA</t>
  </si>
  <si>
    <t>Current demand in region: MW</t>
  </si>
  <si>
    <t>Substation upgrade projects</t>
  </si>
  <si>
    <t>Additional Supply: GWh</t>
  </si>
  <si>
    <t>Projected energy delivered: MWh</t>
  </si>
  <si>
    <t xml:space="preserve">Total </t>
  </si>
  <si>
    <t>Distribution Extensions</t>
  </si>
  <si>
    <t>Substation upgrades</t>
  </si>
  <si>
    <t>Capital costs in USD</t>
  </si>
  <si>
    <t>NA</t>
  </si>
  <si>
    <t>Net benefits</t>
  </si>
  <si>
    <t>SS Upgrades</t>
  </si>
  <si>
    <t>(Monetary values in constant 2013 $)</t>
  </si>
  <si>
    <t>Urban dom.</t>
  </si>
  <si>
    <t>Rural dom.</t>
  </si>
  <si>
    <t>Customer type</t>
  </si>
  <si>
    <t>Connection costs: $</t>
  </si>
  <si>
    <t xml:space="preserve">   Unit delivered energy cost (USD/kWh)</t>
  </si>
  <si>
    <t>Benefit:cost ratio</t>
  </si>
  <si>
    <t>Economic Returns</t>
  </si>
  <si>
    <t>ERRs (economic internal rates of return)</t>
  </si>
  <si>
    <t>Growth in demand in areas served by substation upgrades</t>
  </si>
  <si>
    <t>Capacity binding</t>
  </si>
  <si>
    <t>Loss factors</t>
  </si>
  <si>
    <t>LRMC scaled for losses: c/kWh</t>
  </si>
  <si>
    <t>Transmission</t>
  </si>
  <si>
    <t>Distribution</t>
  </si>
  <si>
    <t>Generation</t>
  </si>
  <si>
    <t>Distribution (50%)</t>
  </si>
  <si>
    <t>Average per customer annual energy consumption - base</t>
  </si>
  <si>
    <t>Demand scalar - rural</t>
  </si>
  <si>
    <t>Demand scalar - urban</t>
  </si>
  <si>
    <t>Discount</t>
  </si>
  <si>
    <t>Demand load factor for customers served by substation upgrades</t>
  </si>
  <si>
    <t>Projected energy delivered: GWh</t>
  </si>
  <si>
    <t>Annual consumption: kWh</t>
  </si>
  <si>
    <t>Average consumption: kWh pa</t>
  </si>
  <si>
    <t>Low @13 c/KWh gen cost</t>
  </si>
  <si>
    <t>Central @ 16 c/kWh gen cost</t>
  </si>
  <si>
    <t>High @ 20 c/kWh gen cost</t>
  </si>
  <si>
    <t>Plant efficiency: % HHV</t>
  </si>
  <si>
    <t xml:space="preserve">Delivered fuel cost: $/GJ </t>
  </si>
  <si>
    <t>Average</t>
  </si>
  <si>
    <t>Typical</t>
  </si>
  <si>
    <t xml:space="preserve">                        Undifferentiated (for SS)</t>
  </si>
  <si>
    <t>Total served by extension lines</t>
  </si>
  <si>
    <t>Base customer numbers: year end 2012 (for SS)</t>
  </si>
  <si>
    <t>Growth in customer numbers - extension lines</t>
  </si>
  <si>
    <t>Growth in customer numbers - sub-station upgrades</t>
  </si>
  <si>
    <t xml:space="preserve">                        Undifferentiated (for sub-station upgrades)</t>
  </si>
  <si>
    <t>New customers served by substation upgrades</t>
  </si>
  <si>
    <t xml:space="preserve">Load factors for extensions customers </t>
  </si>
  <si>
    <t>Urban domestic</t>
  </si>
  <si>
    <t>Rural domestic</t>
  </si>
  <si>
    <t>Sub-station demand assumptions</t>
  </si>
  <si>
    <t>Initial Identified New Customers</t>
  </si>
  <si>
    <t>Base Consumption per User: kWh/yr (before scaling)</t>
  </si>
  <si>
    <t>% of initial target customers connected</t>
  </si>
  <si>
    <t>Low case</t>
  </si>
  <si>
    <t>High case</t>
  </si>
  <si>
    <t>Central case</t>
  </si>
  <si>
    <t>Source: Mott MacDonald Inc., based on Tanesco PSMP 2012.</t>
  </si>
  <si>
    <t>Calculations for Tanzania long run marginal cost (LRMC) of electricity generation: USD/kWh at station gate</t>
  </si>
  <si>
    <t>LRMC</t>
  </si>
  <si>
    <t>ERR Version</t>
  </si>
  <si>
    <t>Original ERR</t>
  </si>
  <si>
    <t>Closeout ERR</t>
  </si>
  <si>
    <t>Date of ERR</t>
  </si>
  <si>
    <t>Amount of MCC funds</t>
  </si>
  <si>
    <t>Project Description</t>
  </si>
  <si>
    <t>Benefit streams included in ERR</t>
  </si>
  <si>
    <t>ERR estimations and time horizon</t>
  </si>
  <si>
    <t>Table of Contents</t>
  </si>
  <si>
    <t>One should read this sheet first, as it offers a summary of the project, a list of components, and states the economic rationale for the project.</t>
  </si>
  <si>
    <t>ERR &amp; Sensitivity Analysis</t>
  </si>
  <si>
    <t>This worksheet highlights key assumptions and summarizes how the ERR may change due to varying costs and benefits.</t>
  </si>
  <si>
    <t>Poverty Scorecard</t>
  </si>
  <si>
    <t>This worksheet shows the cost effectiveness of the project broken out into different poverty categories.</t>
  </si>
  <si>
    <t>Activity Design History</t>
  </si>
  <si>
    <t>Original Project</t>
  </si>
  <si>
    <t>Closeout</t>
  </si>
  <si>
    <t>Activity Components</t>
  </si>
  <si>
    <t>Economic Rationale</t>
  </si>
  <si>
    <t>ERR and sensitivity analysis</t>
  </si>
  <si>
    <r>
      <t xml:space="preserve">Change the </t>
    </r>
    <r>
      <rPr>
        <sz val="10"/>
        <color rgb="FF0000FF"/>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rgb="FF0000FF"/>
        <rFont val="Arial"/>
        <family val="2"/>
      </rPr>
      <t xml:space="preserve">"Reset Parameters" </t>
    </r>
    <r>
      <rPr>
        <sz val="10"/>
        <rFont val="Arial"/>
        <family val="2"/>
      </rPr>
      <t>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</si>
  <si>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</si>
  <si>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</si>
  <si>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</si>
  <si>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</si>
  <si>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</si>
  <si>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</si>
  <si>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 xml:space="preserve">Values used in ERR computation </t>
  </si>
  <si>
    <t>All summary parameters set to initial values?</t>
  </si>
  <si>
    <t>Summary</t>
  </si>
  <si>
    <t>Actual costs as a percentage of estimated costs</t>
  </si>
  <si>
    <t>80%-120%</t>
  </si>
  <si>
    <t>Actual benefits as a percentage of estimated benefits</t>
  </si>
  <si>
    <t>Specific</t>
  </si>
  <si>
    <t>All specific parameters set to initial values?</t>
  </si>
  <si>
    <t xml:space="preserve">User Generated Economic rate of return (ERR)*: </t>
  </si>
  <si>
    <t>MCC Estimated ERRs:</t>
  </si>
  <si>
    <t>Original</t>
  </si>
  <si>
    <t>ERR</t>
  </si>
  <si>
    <t>Date</t>
  </si>
  <si>
    <t>Present Value (PV) of Benefits:</t>
  </si>
  <si>
    <t>Present Value (PV) of MCC Costs:</t>
  </si>
  <si>
    <t xml:space="preserve">* This is the only ERR figure linked to other spreadsheets. "Original," "Revised," and "Closeout" ERRs are all static for purposes of illustration. </t>
  </si>
  <si>
    <t>Tanzania: Energy Sector Project</t>
  </si>
  <si>
    <t>Rehabilitate existing power distribution assets and to extend the distribution network in six regions (consisting of Mwanza, Iringa, Mbeya, Dodoma, Tanga and Morogoro).</t>
  </si>
  <si>
    <t>Rehabilitate existing power distribution assets and to extend the distribution network in seven regions (consisting of Mwanza, Iringa, Mbeya, Dodoma, Tanga, Morogoro and Kigoma).</t>
  </si>
  <si>
    <t>Increased investment and economic activity</t>
  </si>
  <si>
    <t>Power quality improvements</t>
  </si>
  <si>
    <t>Social gains in education and health</t>
  </si>
  <si>
    <t>Operations and maintenance</t>
  </si>
  <si>
    <t>33.4% over 20 years</t>
  </si>
  <si>
    <t>New customers</t>
  </si>
  <si>
    <t>Existing customers</t>
  </si>
  <si>
    <t>Proportion</t>
  </si>
  <si>
    <t>Total customers</t>
  </si>
  <si>
    <t>Total Beneficiaries per year</t>
  </si>
  <si>
    <t>Avg. HH Size</t>
  </si>
  <si>
    <t>Activity/Sub-activity</t>
  </si>
  <si>
    <t xml:space="preserve">Cost Effectiveness -- Power Sector Revitalization Project </t>
  </si>
  <si>
    <t>National Income Distribution</t>
  </si>
  <si>
    <r>
      <t xml:space="preserve">MCC Cost </t>
    </r>
    <r>
      <rPr>
        <b/>
        <sz val="8"/>
        <rFont val="Arial"/>
        <family val="2"/>
      </rPr>
      <t>(Millions USD)</t>
    </r>
  </si>
  <si>
    <t>Consump. &lt;$1.25/day</t>
  </si>
  <si>
    <t>20-Year ERR</t>
  </si>
  <si>
    <t>Consump. &gt;=$1.25/day and &lt;$2/day</t>
  </si>
  <si>
    <t>Consump. &gt;=$2/day and &lt;$4/day</t>
  </si>
  <si>
    <r>
      <t xml:space="preserve">Present Value </t>
    </r>
    <r>
      <rPr>
        <b/>
        <sz val="8"/>
        <rFont val="Arial"/>
        <family val="2"/>
      </rPr>
      <t>(PV)</t>
    </r>
    <r>
      <rPr>
        <b/>
        <sz val="9"/>
        <rFont val="Arial"/>
        <family val="2"/>
      </rPr>
      <t xml:space="preserve"> of Benefit Stream </t>
    </r>
    <r>
      <rPr>
        <b/>
        <sz val="8"/>
        <rFont val="Arial"/>
        <family val="2"/>
      </rPr>
      <t>(Millions USD)</t>
    </r>
  </si>
  <si>
    <t>Consump. &gt;$4/day</t>
  </si>
  <si>
    <t>Beneficiaries</t>
  </si>
  <si>
    <t>&lt; $1.25</t>
  </si>
  <si>
    <r>
      <t xml:space="preserve">&lt; $2 </t>
    </r>
    <r>
      <rPr>
        <vertAlign val="superscript"/>
        <sz val="9"/>
        <rFont val="Arial"/>
        <family val="2"/>
      </rPr>
      <t>1</t>
    </r>
    <r>
      <rPr>
        <sz val="9"/>
        <rFont val="Arial"/>
        <family val="2"/>
      </rPr>
      <t xml:space="preserve"> </t>
    </r>
  </si>
  <si>
    <t>$2-$4</t>
  </si>
  <si>
    <t>&gt; $4</t>
  </si>
  <si>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</si>
  <si>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</si>
  <si>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</si>
  <si>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Population by Poverty Level </t>
    </r>
    <r>
      <rPr>
        <vertAlign val="superscript"/>
        <sz val="9"/>
        <rFont val="Arial"/>
        <family val="2"/>
      </rPr>
      <t>3</t>
    </r>
    <r>
      <rPr>
        <sz val="9"/>
        <rFont val="Arial"/>
        <family val="2"/>
      </rPr>
      <t xml:space="preserve"> </t>
    </r>
    <r>
      <rPr>
        <sz val="8"/>
        <rFont val="Arial"/>
        <family val="2"/>
      </rPr>
      <t>(%)</t>
    </r>
  </si>
  <si>
    <r>
      <t xml:space="preserve">National Population by Poverty Level </t>
    </r>
    <r>
      <rPr>
        <vertAlign val="superscript"/>
        <sz val="9"/>
        <rFont val="Arial"/>
        <family val="2"/>
      </rPr>
      <t>3</t>
    </r>
    <r>
      <rPr>
        <sz val="9"/>
        <rFont val="Arial"/>
        <family val="2"/>
      </rPr>
      <t xml:space="preserve"> </t>
    </r>
    <r>
      <rPr>
        <sz val="8"/>
        <rFont val="Arial"/>
        <family val="2"/>
      </rPr>
      <t>(%)</t>
    </r>
  </si>
  <si>
    <r>
      <t>The Magnitude of the Benefits</t>
    </r>
    <r>
      <rPr>
        <b/>
        <vertAlign val="superscript"/>
        <sz val="9"/>
        <rFont val="Arial"/>
        <family val="2"/>
      </rPr>
      <t>5</t>
    </r>
  </si>
  <si>
    <r>
      <t>PV of Benefit Stream as Share of Annual Consumption</t>
    </r>
    <r>
      <rPr>
        <sz val="8"/>
        <rFont val="Arial"/>
        <family val="2"/>
      </rPr>
      <t xml:space="preserve"> (%)</t>
    </r>
  </si>
  <si>
    <t>Cost Effectiveness</t>
  </si>
  <si>
    <t>PV of Benefit Stream/PV of All Costs</t>
  </si>
  <si>
    <t>PV of Benefit Stream/MCC Costs</t>
  </si>
  <si>
    <r>
      <t>Percent of Project Participants Who Are Female</t>
    </r>
    <r>
      <rPr>
        <b/>
        <vertAlign val="superscript"/>
        <sz val="9"/>
        <rFont val="Arial"/>
        <family val="2"/>
      </rPr>
      <t>6</t>
    </r>
  </si>
  <si>
    <t>National Population (2013)</t>
  </si>
  <si>
    <t>NB: Beneficiaries for this project are defined as households connected or expected to be connected to the national electricity grid</t>
  </si>
  <si>
    <r>
      <t xml:space="preserve">1    </t>
    </r>
    <r>
      <rPr>
        <sz val="8"/>
        <rFont val="Arial"/>
        <family val="2"/>
      </rPr>
      <t>The beneficiaries and population living on less than $2 per day include those under $1.25 per day</t>
    </r>
  </si>
  <si>
    <t>Y1</t>
  </si>
  <si>
    <t>Y2</t>
  </si>
  <si>
    <t>Y3</t>
  </si>
  <si>
    <t>Y4</t>
  </si>
  <si>
    <t>Y5</t>
  </si>
  <si>
    <t>Y6</t>
  </si>
  <si>
    <t>Y7</t>
  </si>
  <si>
    <t>Y8</t>
  </si>
  <si>
    <t>Y9</t>
  </si>
  <si>
    <t>Y10</t>
  </si>
  <si>
    <t>Y11</t>
  </si>
  <si>
    <t>Y12</t>
  </si>
  <si>
    <t>Y13</t>
  </si>
  <si>
    <t>Y14</t>
  </si>
  <si>
    <t>Y15</t>
  </si>
  <si>
    <t>Y16</t>
  </si>
  <si>
    <t>Y17</t>
  </si>
  <si>
    <t>Y18</t>
  </si>
  <si>
    <t>Y19</t>
  </si>
  <si>
    <t>Y20</t>
  </si>
  <si>
    <t xml:space="preserve">Total Benefits by Pov Group </t>
  </si>
  <si>
    <t xml:space="preserve">PV of Benefit Stream / Beneficiary </t>
  </si>
  <si>
    <t>National Poverty Statistics</t>
  </si>
  <si>
    <t>% of National HH</t>
  </si>
  <si>
    <t>% of Population</t>
  </si>
  <si>
    <t>Tanzania Population</t>
  </si>
  <si>
    <t>2002 Census</t>
  </si>
  <si>
    <t>2012 Census</t>
  </si>
  <si>
    <t>Growth rate</t>
  </si>
  <si>
    <t>Tanzania Total</t>
  </si>
  <si>
    <t>Mainland</t>
  </si>
  <si>
    <t>Zanzibar</t>
  </si>
  <si>
    <t>2028 Est. Pop</t>
  </si>
  <si>
    <t>Mean Annual Income/Capita</t>
  </si>
  <si>
    <t>Total Income/Group</t>
  </si>
  <si>
    <t>Income Share/Group</t>
  </si>
  <si>
    <t>Y0</t>
  </si>
  <si>
    <t>Poverty Category</t>
  </si>
  <si>
    <t>Total customers for all regions</t>
  </si>
  <si>
    <t>Existing Customer Beneficiaries per year</t>
  </si>
  <si>
    <t>New Customer Beneficiaries per year</t>
  </si>
  <si>
    <t>Check</t>
  </si>
  <si>
    <t>Existing Customer Beneficiary Statistics</t>
  </si>
  <si>
    <t>New Customer Beneficiary Statistics</t>
  </si>
  <si>
    <t>% of Beneficiary HH</t>
  </si>
  <si>
    <t>% of Ben. Pop.</t>
  </si>
  <si>
    <t>2028 Est. Ben.</t>
  </si>
  <si>
    <t>Total Beneficiary Statistics</t>
  </si>
  <si>
    <t>% of Ben. Population</t>
  </si>
  <si>
    <t>average</t>
  </si>
  <si>
    <t>kWh/yr</t>
  </si>
  <si>
    <t>Annual Energy Consumption (GWh/yr), New/Existing Connections</t>
  </si>
  <si>
    <t>% Dom. Urb.</t>
  </si>
  <si>
    <t>% Dom. Rur.</t>
  </si>
  <si>
    <t>% Comm.</t>
  </si>
  <si>
    <t>Total GWh</t>
  </si>
  <si>
    <t>Existing</t>
  </si>
  <si>
    <t>New</t>
  </si>
  <si>
    <t>Benefit year</t>
  </si>
  <si>
    <r>
      <t xml:space="preserve">2    </t>
    </r>
    <r>
      <rPr>
        <sz val="8"/>
        <rFont val="Arial"/>
        <family val="2"/>
      </rPr>
      <t>Based on 2012 Tanzania Census counts, using the intercensal growth rate (2002-2012) to project to 2028.</t>
    </r>
  </si>
  <si>
    <t>of total beneficiaries</t>
  </si>
  <si>
    <t>of total benefits</t>
  </si>
  <si>
    <t>Capex Total by Region</t>
  </si>
  <si>
    <t>Admin Costs</t>
  </si>
  <si>
    <t>M&amp;E Costs</t>
  </si>
  <si>
    <t>Technical assistance</t>
  </si>
  <si>
    <t>Technical Assistance</t>
  </si>
  <si>
    <t>Benefit/cost ratio</t>
  </si>
  <si>
    <t>20-year ERR:</t>
  </si>
  <si>
    <t>Operating Year</t>
  </si>
  <si>
    <t>Compact Year</t>
  </si>
  <si>
    <t>Calendar Year</t>
  </si>
  <si>
    <t>Tanzania: Distribution Systems Rehabilitation and Extension Activity &amp; Kigoma Distribution</t>
  </si>
  <si>
    <t>Consumption per day (2005 PPP $)</t>
  </si>
  <si>
    <r>
      <t xml:space="preserve">PV of Benefit Stream Per Beneficiary </t>
    </r>
    <r>
      <rPr>
        <sz val="8"/>
        <rFont val="Arial"/>
        <family val="2"/>
      </rPr>
      <t xml:space="preserve">(2013 US$) </t>
    </r>
  </si>
  <si>
    <t>2013 US$</t>
  </si>
  <si>
    <t>2005 PPP $</t>
  </si>
  <si>
    <r>
      <t xml:space="preserve">PV of Benefit Stream Per Beneficiary </t>
    </r>
    <r>
      <rPr>
        <sz val="8"/>
        <rFont val="Arial"/>
        <family val="2"/>
      </rPr>
      <t xml:space="preserve">(2005 PPP $) </t>
    </r>
  </si>
  <si>
    <r>
      <t xml:space="preserve">National Average Income per capita </t>
    </r>
    <r>
      <rPr>
        <vertAlign val="superscript"/>
        <sz val="9"/>
        <rFont val="Arial"/>
        <family val="2"/>
      </rPr>
      <t xml:space="preserve">4 </t>
    </r>
    <r>
      <rPr>
        <sz val="9"/>
        <rFont val="Arial"/>
        <family val="2"/>
      </rPr>
      <t>(2005 PPP $)</t>
    </r>
  </si>
  <si>
    <t>Average Annual Consumption of Beneficiaries (2005 PPP $)</t>
  </si>
  <si>
    <t>Supervision</t>
  </si>
  <si>
    <t>Environmental Studies</t>
  </si>
  <si>
    <t>Resettlement Services &amp; Compensation</t>
  </si>
  <si>
    <t>Feasibiltity &amp; Design Studies</t>
  </si>
  <si>
    <t>Environmental studies</t>
  </si>
  <si>
    <t>Feasibility Studies</t>
  </si>
  <si>
    <t>Administrative Costs</t>
  </si>
  <si>
    <t>GOT</t>
  </si>
  <si>
    <t>Investment Costs</t>
  </si>
  <si>
    <t>Capital costs</t>
  </si>
  <si>
    <t>Extension &amp; Upgrade Regions</t>
  </si>
  <si>
    <t>Other investment costs in USD</t>
  </si>
  <si>
    <t>Supervision: Million USD</t>
  </si>
  <si>
    <t>Technical assistance: Million USD</t>
  </si>
  <si>
    <t>Feasibility &amp; Design Studies: Million USD</t>
  </si>
  <si>
    <t>Program and administration costs: Million USD</t>
  </si>
  <si>
    <t>Monitoring and evaluation costs: Million USD</t>
  </si>
  <si>
    <t>NB: PV of benefits based on 10% discount rate, exclude MCC costs, and include local costs</t>
  </si>
  <si>
    <r>
      <t xml:space="preserve">Present Value (PV) of Investment Costs </t>
    </r>
    <r>
      <rPr>
        <b/>
        <sz val="8"/>
        <rFont val="Arial"/>
        <family val="2"/>
      </rPr>
      <t>(Millions USD)</t>
    </r>
  </si>
  <si>
    <t>Investment costs</t>
  </si>
  <si>
    <t>All costs</t>
  </si>
  <si>
    <t>All benefits</t>
  </si>
  <si>
    <t>Tanzania: Distribution Systems Rehabilitation and Extension Activity</t>
  </si>
  <si>
    <t>Tanga Benefit-Cost Analysis</t>
  </si>
  <si>
    <t>Beneficiary Estimates</t>
  </si>
  <si>
    <t>Present Values (2013 USDm, 10% discount rate)</t>
  </si>
  <si>
    <t>Morogoro Benefit-Cost Analysis</t>
  </si>
  <si>
    <t>Dodoma Benefit-Cost Analysis</t>
  </si>
  <si>
    <t>Iringa Benefit-Cost Analysis</t>
  </si>
  <si>
    <t>Mwanza Benefit-Cost Analysis</t>
  </si>
  <si>
    <t>Mbeya Benefit-Cost Analysis</t>
  </si>
  <si>
    <t>Assumptions</t>
  </si>
  <si>
    <t>ERR Summary</t>
  </si>
  <si>
    <t>Distribution Systems Rehabilitation and Extension Activity &amp; Kigoma Distribution</t>
  </si>
  <si>
    <t>Willingness to Pay Calculations</t>
  </si>
  <si>
    <t>Long Run Marginal Cost Calculations</t>
  </si>
  <si>
    <t>Net local benefits</t>
  </si>
  <si>
    <t>MCC</t>
  </si>
  <si>
    <t>&lt;$1.25 / day</t>
  </si>
  <si>
    <t>&gt;$4 / day</t>
  </si>
  <si>
    <t>$2 - $4 / day</t>
  </si>
  <si>
    <t>$1.25 - $1.99 / day</t>
  </si>
  <si>
    <t>&lt; $2.00 / day</t>
  </si>
  <si>
    <t>Total Spending on Utilities (Tsh)</t>
  </si>
  <si>
    <t>% female</t>
  </si>
  <si>
    <r>
      <t xml:space="preserve">4 </t>
    </r>
    <r>
      <rPr>
        <sz val="8"/>
        <rFont val="Arial"/>
        <family val="2"/>
      </rPr>
      <t xml:space="preserve"> Based on MCC calculations using the 2010-11 Tanzania Panel Survey.</t>
    </r>
  </si>
  <si>
    <r>
      <rPr>
        <vertAlign val="superscript"/>
        <sz val="8"/>
        <rFont val="Arial"/>
        <family val="2"/>
      </rPr>
      <t xml:space="preserve">5 </t>
    </r>
    <r>
      <rPr>
        <sz val="8"/>
        <rFont val="Arial"/>
        <family val="2"/>
      </rPr>
      <t xml:space="preserve">  The distribution of benefits is based on current distribution of income and average energy expenditures.</t>
    </r>
  </si>
  <si>
    <r>
      <rPr>
        <vertAlign val="superscript"/>
        <sz val="8"/>
        <rFont val="Arial"/>
        <family val="2"/>
      </rPr>
      <t>6</t>
    </r>
    <r>
      <rPr>
        <sz val="8"/>
        <rFont val="Arial"/>
        <family val="2"/>
      </rPr>
      <t xml:space="preserve">   Based on MCC calculations using the 2010-11 Tanzania Panel Survey.</t>
    </r>
  </si>
  <si>
    <r>
      <t xml:space="preserve">3    </t>
    </r>
    <r>
      <rPr>
        <sz val="8"/>
        <rFont val="Arial"/>
        <family val="2"/>
      </rPr>
      <t>Based on MCC calculations using the 2010-11 Tanzania Panel Survey.</t>
    </r>
  </si>
  <si>
    <t>$136.8 million</t>
  </si>
  <si>
    <t>Costs included in ERR 
(not borne by MCC)</t>
  </si>
  <si>
    <t>This worksheet presents the aggregated costs and benefits from the project activities, calculating a combined ERR.</t>
  </si>
  <si>
    <t>Delivered cost of energy to consumers</t>
  </si>
  <si>
    <t>Value of energy delivered based on willingness-to-pay</t>
  </si>
  <si>
    <t>Through the Malagarasi Hydropower and Kigoma Distribution Activity, MCC funding was to be used to construct a small (up to eight MW) run-of-river hydropower plant on the Malagarasi River at Igamba Falls, and to construct a transmission and distribution network along the Kigoma, Uvinza and Kasulu corridor to serve approximately 21,000 customers.</t>
  </si>
  <si>
    <t>Project Changes at Closeout</t>
  </si>
  <si>
    <t>In December 2009, MCC made the decision not to go forward with the originally planned hydropower plant on the Malagarasi River due to environmental considerations. To further the original Project goal of bringing cheaper and more reliable power to the people of the Kigoma region, MCC supported rehabilitation of the distribution system in Kigoma to accommodate new generation being implemented by the Government of Tanzania.</t>
  </si>
  <si>
    <t>Specifically, MCC Funding will support:</t>
  </si>
  <si>
    <t xml:space="preserve">     1.   Final design, and environmental and social assessment frameworks, together with any resulting resettlement action 
             plans and environmental management plans, and occupational health and safety standards.</t>
  </si>
  <si>
    <t xml:space="preserve">     4.   Capacity building and technical support for TANESCO, including assistance with preparation of the engineering design 
             and bidding documents, tender review, supervision of construction, project management, and quality control.</t>
  </si>
  <si>
    <t xml:space="preserve">     5.   Project coordination and construction supervision of all improvements and upgrades under the Distribution Systems 
             Rehabilitation and Extension Activity.</t>
  </si>
  <si>
    <t>50%-130%</t>
  </si>
  <si>
    <t>20-100%</t>
  </si>
  <si>
    <t>$0.10-0.22</t>
  </si>
  <si>
    <t>Willingness-to-pay estimates as a percentage of base estimates</t>
  </si>
  <si>
    <t>Mean Daily Income/Capita</t>
  </si>
  <si>
    <r>
      <t xml:space="preserve">Benefits </t>
    </r>
    <r>
      <rPr>
        <sz val="10"/>
        <rFont val="Arial"/>
        <family val="2"/>
      </rPr>
      <t>(millions US$)</t>
    </r>
  </si>
  <si>
    <t>Costs &amp; Benefits per Year</t>
  </si>
  <si>
    <r>
      <t xml:space="preserve">Costs </t>
    </r>
    <r>
      <rPr>
        <sz val="10"/>
        <rFont val="Arial"/>
        <family val="2"/>
      </rPr>
      <t>(millions US$)</t>
    </r>
  </si>
  <si>
    <t>Year</t>
  </si>
  <si>
    <t>$89.7 million for Distribution Systems Activity</t>
  </si>
  <si>
    <t xml:space="preserve">     2.   Construction of approximately 2,700 km of distribution line extensions consisting of new 33kV, 11kV, and low voltage lines and customer 
             connections in the six regions.</t>
  </si>
  <si>
    <t xml:space="preserve">     3.   Reinforcement and rehabilitation of substations in the six regions, including new and replacement transformers 
             and switchgear.</t>
  </si>
  <si>
    <r>
      <t>1</t>
    </r>
    <r>
      <rPr>
        <sz val="10"/>
        <rFont val="Arial"/>
        <family val="2"/>
      </rPr>
      <t xml:space="preserve"> Cesar Calderon and Luis Serven. (2005) “The Effects of Infrastructure Development on Growth and Income Distribution,” World Bank Working Paper, WPS 3400.</t>
    </r>
  </si>
  <si>
    <t>In modeling the impact of MCC’s energy investments on economic growth and incomes, the original ERR included the following benefits related to growth in income:</t>
  </si>
  <si>
    <r>
      <t xml:space="preserve">     1.  </t>
    </r>
    <r>
      <rPr>
        <i/>
        <sz val="10"/>
        <rFont val="Arial"/>
        <family val="2"/>
      </rPr>
      <t xml:space="preserve"> Increased investment and economic activity</t>
    </r>
    <r>
      <rPr>
        <sz val="10"/>
        <rFont val="Arial"/>
        <family val="2"/>
      </rPr>
      <t>.  The provision of additional supplies of energy were expected to increase investment and economic activity in the affected regions. The basis for the analysis here is Calderon and Serven, 2005.</t>
    </r>
    <r>
      <rPr>
        <vertAlign val="superscript"/>
        <sz val="10"/>
        <rFont val="Arial"/>
        <family val="2"/>
      </rPr>
      <t>1</t>
    </r>
  </si>
  <si>
    <r>
      <t xml:space="preserve">     3.   </t>
    </r>
    <r>
      <rPr>
        <i/>
        <sz val="10"/>
        <rFont val="Arial"/>
        <family val="2"/>
      </rPr>
      <t>Social gains in education and health</t>
    </r>
    <r>
      <rPr>
        <sz val="10"/>
        <rFont val="Arial"/>
        <family val="2"/>
      </rPr>
      <t>.  There are considerable social and environmental benefits arising from providing more energy in addition to the benefits described above. The main social benefits arise from improvements in education and health, including health benefits related to avoiding emissions from diesel and kerosene use. These social benefits are primarily associated with smaller domestic customers, where the replacement energy is non-electric and there is a closer link to health and education.</t>
    </r>
  </si>
  <si>
    <r>
      <t xml:space="preserve">     2.   </t>
    </r>
    <r>
      <rPr>
        <i/>
        <sz val="10"/>
        <rFont val="Arial"/>
        <family val="2"/>
      </rPr>
      <t>Power quality improvements</t>
    </r>
    <r>
      <rPr>
        <sz val="10"/>
        <rFont val="Arial"/>
        <family val="2"/>
      </rPr>
      <t>.  Benefits from improved power quality were expected to be realized as a result of the improved reliability of electricity supply. The model valued the impact of improved power quality on the basis of the avoided cost of running electrical protection equipment. It assumed that all larger users operate protection equipment and that 25% of larger domestic consumers also do.</t>
    </r>
    <r>
      <rPr>
        <sz val="10"/>
        <rFont val="Arial"/>
        <family val="2"/>
      </rPr>
      <t xml:space="preserve">  The additional costs of damage to consumer equipment was not included, given the lack of data on appliance lives and costs.</t>
    </r>
  </si>
  <si>
    <t>Original Project ERR</t>
  </si>
  <si>
    <t>ERR Calculations by Region</t>
  </si>
  <si>
    <t>Activity Description</t>
  </si>
  <si>
    <t>Estimates the annual economic costs and benefits of extending the distribution network in Tanga and computes the resulting ERR over a 20-year time period.</t>
  </si>
  <si>
    <t>Estimates the annual economic costs and benefits of extending the distribution network in Dodoma and computes the resulting ERR over a 20-year time period.</t>
  </si>
  <si>
    <t>Estimates the annual economic costs and benefits of extending the distribution network in Morogoro and computes the resulting ERR over a 20-year time period.</t>
  </si>
  <si>
    <t>Estimates the annual economic costs and benefits of extending the distribution network in Iringa and computes the resulting ERR over a 20-year time period.</t>
  </si>
  <si>
    <t>Estimates the annual economic costs and benefits of extending the distribution network in Mwanza and computes the resulting ERR over a 20-year time period.</t>
  </si>
  <si>
    <t>Estimates the annual economic costs and benefits of extending the distribution network in Mbeya and computes the resulting ERR over a 20-year time period.</t>
  </si>
  <si>
    <t>Estimates the annual economic costs and benefits of extending the distribution network in Kigoma and computes the resulting ERR over a 20-year time period.</t>
  </si>
  <si>
    <t>Estimates the willingness to pay for new electrical services for households and businesses in the impact area.</t>
  </si>
  <si>
    <t>Estimates the long-run marginal cost of generation, along with network losses, in Tanzania.</t>
  </si>
  <si>
    <t>Lists the financial, economic and logistical assumptions used in the analysis.</t>
  </si>
  <si>
    <t>Estimates the number of project beneficiaries.</t>
  </si>
  <si>
    <t>Bar Chart Data (chart below Poverty Scorecard)</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</si>
  <si>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</si>
  <si>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</si>
  <si>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</si>
  <si>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</si>
  <si>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</si>
  <si>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</si>
  <si>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</si>
  <si>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</si>
  <si>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</si>
  <si>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</si>
  <si>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</si>
  <si>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</si>
  <si>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1721e913-23d2-42c4-a184-235e5aaec7f7</t>
  </si>
  <si>
    <t>CB_Block_0</t>
  </si>
  <si>
    <t>㜸〱敤㕣㙢㙣ㅣ㔷扤摦㌳摥㔹敦慣敤搸㡤搳㐷㑡㘹つ愵㉤搴挱㡤搳攴戶攵ㄲ㠲ㅦ㜵攲攲挴㙥散愴㈰ㅥ㥢昱敥㤹㜸㥡㥤ㄹ㜷㘶搶㠹㑢愵㔶搰㔲搰扤㕣慥㜸㠹㐲㜹愸㐲㐸㐸㠸挷ㄷ摥㕦㤰㤰㐰愸㐸㝣㠰て〸㍥ㄴ㠴攰〳〸㐵攲ぢㅦ㤰攰昷㍢㌳戳㍢扢敢ㅤ扢摢㤶敢㕥昹㌸晥晢捣㜹捤㌹攷晦㍣晦晦㤹攴㐴㉥㤷晢㈷ㄲ晦㌲攵㤹戹㘹㜹㌳〸愵㌳㌱攳搵㙡戲ㄲ摡㥥ㅢ㑣㑣昹扥戹戹㘰〷㘱ㅦㅡㄴ捡㌶敡〳扤ㅣ搸㡦捡㘲㜹㐳晡〱ㅡ改戹㕣戱㘸㘸愸攷㈰晣ㅤ㐹ㅥっ昶ㅡ捣〳慣捣㑣㉦慥㍥㡣㔱㤷㐳捦㤷㠷挶捥㐷㝤㡦㑦㑥㑥攰攷攸搱㝢㈷づㅦㅡ㥢愹搷挲扡㉦㡦扢戲ㅥ晡㘶敤搰搸㔲㝤戵㘶㔷摥㈱㌷㔷扣㑢搲㍤㉥㔷て摦扤㙡ㅥ扤㜷昲攸戱㘳搶㝤昷摤㍢㠸㔷攷捥捣㑣㉦昹搲ち㕥愶㌱㜵㑥昹攸慣慣搸㕣㥢㤴扥敤㕥㥣㤸㤹挶扦搴晣昱㜴捦挴昲㥡㤴㈱㕦㉤㝤改㔶㘴㘰愰攳㠰㌳ㄵ〴㜵㘷㥤㥢㘷㌸㜳㔸㙡挵っ㐲摤㤹㤱戵㥡攱㈴愳ㄶ㥤㐵散㕤捤摣ㅣ㜴㤶愵ㅢ搸愱扤㘱㠷㥢〵㘷〵〳㔵㠷㥣㜳㠱㍣㙢扡ㄷ攵ㄹ搳㤱扡㜳戲㙥㔷昳㔱捡昵摤㤱っ㤱㥥㤸㕡晥挴㔴攰捣慣㤹扥㥡㔱挰㡤挹㘸㍢攷㔷㕡摢摥摡㝤㕣㑥㕤扤㠱㘳摥搶扤ㅤ㙡捥㥢㝥愳攵㜸昷㤶昱攲㕢㘷㜰㔷昷昶愹㍤㙡敤昳愶敥㝤搴㔶戶戶ㄶ〳㌱㝤慢ㅤ挵㘲㡣〲㐱㍦㐱㤱㠰〸㌴㑡〴〳〴㠳〰㈲晦㌷㜰㐹扡㈳慢戴戲愹㤵㔷戵㜲㐵㉢㔷戵戲搴捡㤶㔶扥愸㤵搷戴戲慤㤵ㅦ搶捡㤷搰㈶㐹挵晥㝥㉤㑥㕦晣捤扣㌶㜷挷敤㘷扥昶慢愷摥晦扦敦㝢敥㤱挱㝤㘸昴㘰㍣愹㔹摦扣っ㔲㙢㔲昱㤱㠹挳晣搹㥥㉢挰ㄴ搶㌱敢ㅥ㙢㜲戲㝡散戰㜹户愹㜳㔹ㄹ挸㙦㈱㤴ㄱ戴ㅤ戴ㅥ戲摤慡㜷㔹攱敥愶㘹㌳㤰捤㡤ㅢ㡦敢愶扤扡㕢つ㕥戳㜵攵㜲㘸㠶昲挶昶扡收㈰ㅤ摤㤶挱㔶㌲㔰敦扢戹扤摢㜹戳㔶㤷㔳㔷散愸晡戵㙤搵捥㤲敦慤㜶慦㥤昳攵㈳㡤摡㡥ㄹ㑤㐱愸㙤愸戱㍢㔶ㄹ㔵㐵昳ㅡ㥢㔹昳〲改慡改㡤㍢㑢㜶攵㤲昴㤷㈵㐵愲慣慡愵㕥换慡㤸敢挷ㄷ㕤㉣ㄴ摣㕡㝤㝤扡搴扡晦㑡〸㘶㤶㔵捣㜷㕤晡攱收㡡戹㕡㤳搷戵㌴㠹摥㠹㡡㠳㉤挵㜳㕥愵ㅥ捣㜸㙥攸㝢戵搶㥡愹敡㠶〹㐹㔳㍤敤㔵㘵㍥㥦㔳㐲〱〲户慦㑦㠸摣㥤摤㜹㐱㈱㈲㠵㘲㌲昲つ慤㘴㌷㜱ㄶ慢挳㉡㙡㤲㌴愹扤㘱㥢挱㌸㕦㈵㘳㌲㌸㌰戵㈶敡て扥昴㡤摢っ摢挰摣㉢摢㔸搳㐶攳搵摦扦㈱摤昰㤴改㔶㙢搲捦搴㝥㠲㌳㌲㠶〱昴慢㄰〸㕤㜷㡦慡㑥㕣ㄱ㥢晡㘵扢ㅡ慥ㄵ搶愴㝤㜱㉤㐴ㄹ㌴㘴戱挸慤敤㐸挶㌵㈸㌲昶ㄳ㡣〲㤴㑡戹挲〱㌶㉡㤴㤰㜲㍡愵㔳〶㉦户〸㜲昶㙢攱攵㐱㙢捥慥㠵㌲ㄲ捡挳ㄶ㌰ㄲ㘹㌵㠵扥㈱㤲愸㙦㔶㈲㠵㜱挰㥡〱㤵㥡戶ㅢ㙥㌶昹戶㠳㑢㈲㈲摡㤳〵扢㑥ㄶ㔰ㄴ戴捡㠳っ㕥〳搱戴㐹㠳散挶㈹㈲㈲ㅢ㘴㘸㜶㡣摣㑡㘴㙣㥦㈱㈳搰㍥㑤㠴㙣㝤戸扢㡣㈰戱㜷ㄲ㈹㍢㜵攵挷㍤㘹戶㤵㉤ㅦ㐹戳㙢戱㜱挶㜵〴搷ㄳ摣㐰㜰㄰㐰晣ㄱㄲ㡥㔲づ昹搶㘴扣〶捦挶㑤〴慦〵㠰㝣㌲㈸㜳㘲㔱㐵ㅢ㙡㈷㜶㈴摢つ挱㑥㔶㐶㜱㈴㡡㘸ㄹ㌷散捣㈱㐷㈱㍡戶㍡㜷㠷慥捤㉢ㅤ㝢㝢㜷摡㑣㉦㠷ㄴ㤹搱㌴扤搶㙤㥡愶㌷㠲㑤㝢搴㕢户愰慢㌱㐶昰㍡㠰㤲昱㝡㐲㈸ㄷㅡ扣㍢戳攸㘹㔲扥㉡捣愲挸ㄸ敡㔱挱挷㠴捣㈳㐰㠶㤰敢㌸扥散搹搰㌴〷挷慤㔷扤つ㝤愸㍢㝦挷㐸㙦搳㥢㝢㝡㠷晥愲ㄷ㘹㐵摦ち昶ㄲ扦敤慡㘳㙥㐳戵㜱㍢挱ㅤ〰㙤㍡㠶愷敦ㄷ敢㈹㔰㘶戱㤳挲摣㝥㝡㕤㤴㤵扢戲戹㉥㤵〶ㅡ戴㔶㑣晦愲っ攱挱㤸㥦㠵㉤散昹扥慣攱㔰㕢㔵〵㍣扦㕣摦㕡ㄸ捣昹㥥挳昲㍤ㅢ㌹㜸㔵㈸㠶㝣㕥敢换戵搹挸ㄹ戶㘶捡攷㤴愲ㅣ敡攰扢扢ぢ㠹㔴愷㔶昲㘲扦散昳攵㥥㈴改㐱㤲扣〹摢㙡摣〹〰㈹㈱㝥搵㔵愲ㅣ㘲戳㌷慢㘶慤ㄶ㉢㍤㝣ㄹ愷㤳㌶ㅦ㘲㠷ㅣㄹ㠸ㅣ戶搳昰ㅦ〴㐳捥戲敤㌴㠴挵㠰戳㈴晤ち㝣ぢ㜶㑤㤶㈲户㉣㐵捤㥥慣㜸㤵挸㡡扥扥㡥昳㜴㠶㝦㑤搱㐹㥢㤴挸攴昶捣捡㡣戳㜸㤳愸攸㠶愴㔰挹㜰つ㌵㈴㄰㈹㡦㙤昷㐴㑣て㈲收㉥㙣㥣㜱㤸㘰㤲攰〸㠰晥㜳㐸㥡㥤㙥㍣挳㘱晤ㅢ㜴㘹㤷换戹㈲搱愰㕣㠴捦㜷ㄵ㔶挷昸㥡晦㈰戸〷愰捤晣愱〳㌲㠳㄰ㄵ捡㔳㠴愸挲ㄸ搶㜹㕢㕥㈶つ散戳㄰㔸㥡愹〷愱攷㌰戲㌴㘴捤㝡㘷扣㜰搶づ搶ㄱ㠹ㅡ戵攲捣㐳㙢搲〵㜵昹戰㝤摡捡扣昵㜵㔹㌵慣㘵慦づ搱㌶㍦扢ㅢづ收搸づ搸㤲敡㙣慥〹愴摥捥挷ㄸ㐲㘰愷㤵扦㤵摥搸ㅤ㜹扦㜹攸ㅢ㙥敥攸㡡ㅤ搶攴㠰ㄵ㌱ㅤ昳㐵ぢ扢㠸挸㐱戵摦㕡㔹昳愵㥣ㅤ戲㑥晡㜶戵㘶扢㤲挸㠰㡤挹㘰摤㠲扣㠸㈸挱㤲挷ㄸ愰攷づ㔹㉢扥改〶敢㈶〳㡡㥢晢㕢㥥㔴㔸㐴户愶㙤㌷挰㙢ㄴㄶ㤹ㅦ戶㤶搷扣换㠸搸搶ㅤ昷愴戹ㅥ散ち慣㤰攸愳愴㔰㈳㌴愱㘹愲愸ㄵ㝢挵てて攴戹ㅣ㜹㉦㑦愰㜰㤵搳改㌳捦搰摥戴敢攳ㄸつ敤㜴捥㘹㄰搱愳㐶㘱㕦愶ㄴ㈶愷ㅡ昷戱捦㕢〰ㅥ㌸㜹㙥扥ㄹ㤹㝢㐹㌱㙢㥤㕥晥っㄹ慦挸愲ㄱ〸愱㡦㙥㕦㐴㉡㉣㈳攵㠰〳㠱㜱㍥戵㤳㕦挹㔲㙤㐸㝤晢㥡搹㌹㐴㤲〶慤〵㜳㔵搶㄰㡦㜶捣㜰㕦昴㐰㌳搶㌱㙢㐱㕣㌷攳㌹㡥㐹搲㈲㔹㉥㔷㑣㔲昰㔴㍤昴㑥摢慥㘱〱㈸晡㡢㡢捣㉢㈸㌲慦愸愲㐱敢㉣㐳㠳㉡捦戱扣㡢愶㙦㠷㙢㡥㕤㈹昲㠱攱扢㕤㐱㤳㘰㜲㑡摥㈴㈵㌲㘳慣捤㥡㍦〷㤳㉤㤸〰扡㈷㈰㐷戹㜵㐴㍦㈸㔷ㄳ〵晣㠸ㅥㅤ㑢㄰㌰捡㔳㙡扣ㄵ愳改敡㜶〴㐴㡥㑡㔷㤳㍢ㄸ㔷ㅦ㐷㐹㈴㠴㠸昵っㄲ㠱㔷㌰㈵攴改攲㉥㔸攷㕣㍢〴昶㠸戱㌹㍢㥣つ㠰㜲〰㘴搵昱昶㐶㠵搵㔴愷昱㠶㔶戸愵戳慡㐵㑤摣摣㔹㥦搶ㅢ㙦搸愲㍡搲㈸㈹㐵戲㕤㈳愵㔹戶㤸攳㙥㔲㌵㐲㈹敥㐴摢㠸㉣户㘹㜳摦㈹㐵㕥㠲㘲㔲㌴㤳㌳摥愶〸〵㠱摥㔸㐷搱㘷㥦㑤ㅥ愹㠸つ㙤㠰ㄲ昵㔴㔴㌶ㄴ㠷〴攷㜱敤愴㉡㑢昱ㄳ昸㝢㕦㥣㕤慣㠷㉤㌵收㤵搱戸㘶慡㔶㕢㜴㘱㈵㔴㑣扦扡㑢㔸ㅡ㙢㡢㌴㡣攲捥㕥戵㝦戴扤㈹㐶㡣搹㤰㘱㤱っ㍦㌰搸㄰捣㤵㡡愸搲㍡ㅢ攲㔶㌷㡡㡢㝣㍡㉤㑤㔷㘱㘰㌹慣捥捡つ㘵㠶㌵㉤昹㔱搵愱㜱㕡㔴㜲搴戰愶㔶〳愸昴㤰㜲㍣捥㈹〶㌷慣戳㜴㑢攱ㄲ〳挴㙥㥣㕢慡㠴〸敤㌶〶攰挹㘰昷㘰〷㍢ㄲ㠵㑥㘸㥤㔱㠲ㄶ㌲〸户㜵ㄱ攴㥤ㅥ㌱ち㐱㙡愹昴搷ㄳ攲戳捦㌰㝤昵㐴㉥挹挴㑣挴㜰㔷㠶昵〰攴愶㈳㤳攴愲搱㈴㘰ㅥ㐹㌶㈵戴〶㤳㌲㥡ㄸ㐳㌴昹晣㄰户㜸ㄸ换ㅡ㈶摢搴㜰捦㉤戴愱㑤㙢㥢晢慣㜹户㔲慢㔷愵㔲挵㠹慣㔶ㅡ㜹㔷攰㑢㕤〱㡣戸㈹㘳㕦攲㑤㤹挷㔱㡡㑢㈶㤲㝡户扢㡤ㄳ攸慥㠴ㅣ挶㠸㔴ㅦ〳㤰ㄹ㙥㌹ㄵ㄰敢戸愷㐰晢㜰㝦昳〲㠳扡㍣〷㤱搶㔱㐴㔹戶㠰晢㜸㡤㈸戲攲戶㔴戳〵㙦挱愳捤㥥㉡㍡㘵㐷㐵扢〲㐷㔸㘷㈴昰ち〵ㄸ㈳㍤㜲〷〷挹㕤㡤愳扢㔷ㅦ㔷㡦戹慢㐰㠵挲㠰㘰㡣㤷愷愰ㅣ㜶ㄵ㡣㐴㠳㕢㙢㕡摤㠲搱㕦㕡摥挶ㄴ㠰㘰ㄸ㤸〶㉤㕡㐶〶捥っ昲摢ㅢ㌸户愰㔵㐶㠴㌴ㅤ㑣㘵㡣㜲ㄴづ㝢㈰つ摣挴㠳昴㡡〷㈵ㄴㅥ㔰ㄷ挳㤲扢㠹攳づ㡥㐰㥥㝦㕤㕢攱㤲ㄹ攲晡㡢㝢戰慤㜸慡㕡愵戹ぢ晦摣慥挰㉡慥㙥㐴收攸㠱戶㑢㔹㙡㑤戴敦㙥㙤慢㠸㉦ぢㅥ㤹㥤㌸㘵㠶㤵戵攵㜰㌳扡戸搵㉢㐹攸㍦㠴㍦㘲换户搳㘶捥扢扣㠸扡挱扤㉦㕤㜲扤换慥㥡㤷ㅥ昰搶ㅦ㈸〴㔷㈸晢㌹挹㔲敥㥦昸㔱㐹换改㍦挰㠸㍢㤹㌶〷㘸㍡㐸㌸㡥㑡㤱㌴ㄸ㐳㍥㠳㑥㘰扢㌷㙥つ㤰㑥づ戴搱㠹ㄲ〴㝢㠴攲㕥㝣搹〸㐵㝣ㅦ㘸㈵戱㐴㐷㜲散昹㔷挰晡攲㝢㈸㈱挲昱ㅣ㡢ㄱ晤㜵挸㘵愰㑥〹昲昸㡡〷㉦㠴晣晦挱㔲挲捤㕢戲搳扦㠱㤹挵㜷摢㔱㜴㌳㔱昴㥤づㄴ〹㕥〳㔱晣晢〰㌲㐹搲ㄹ㥥㝤㔱㠱㜰慥㘹敦〰晡㡡㕦昸晤㍦㍣㠰㉥挴挴愱㙣㌴㠴摡㙥挳㜳挳㐴攸敢㌰ㄱㄸ扣㔷㈶挲㘹㘴〴愳昸㤱㠹㄰晢㐰ㄶ㔱戰扤㠹挰搸㕥㠶㈱㤸ち戵愶摣ㅡ㍣㠱㕤攷搰㍦㜶ちㄷ㙦㘵㠰㜸㍥㤴㔶㌰〳㡦搴昵㥤挵㑢愶㙦㍡〷㔵昹㐹㕦㐲㤹昹㉢戸挹慤扡戰挷㡤㕢搶愸㑥㕢昸㉡ㄲ㉦晢㥥㍦㘵㘷昷搷㠱愹㈸㐵敥㝢㔱ㄴ㠵㤷攰㈹ㄱ㍣㌷攴摥㝦攰敢㈷㝦昷攸㤳㈷㜸㕢㉤愶㔵晤㑥攴㝢〹搹搳㥥㐰㔰㌷㜵㔱攴㕡㝥㤸㜳ㅡ㥦㈸搹敢㌵㌹㙤晡捡ちちっ㈷挹㐶㠴㤷㈲捣㠸昸㜶㠳㠹㠹㝢て㤱㠹㌹搱收敥㔴ㅦ㌶㈹ㄷ攱㐴㙡攲捡愷㤷㠴つ㐵㔷㐵搶愳戵愹㝦ㄳ慡攸㐵㑥愴搵㑡攴愹㤳㐹㠸㙦戴敢扡㘳搴㜵搱㐱㠶㘱晦㐴㑡㈱晥㐰ち㐹ㅦ㘴㜸㈱㐰㐹愹戳挸攸㜷〱㘴㐴搶摡㐳扣昴〷散〹〱搹戸昴搷攳㐷㉣搸㐵㘰㌱昱挵昷㝡愲愵㉤㥡愸㈶㠶㙡㤵㑤戳㡣㡣㍡扣戰㘰㌲㈹㕤㐱㈶㐹晡ㄱ攴㜶散㡥攲㑢㠶㥣㈸昰ㄶ㌱戶敥搰搷㔶㜲敥㜷敢戸昹〱㍤㔳㔰ち挳摤捦㘲ㅣ㐸㔵㡣㉥㙡㕡㡡㡡〸㠷愳㙣愳搳㐰㕣〵㥤攵ㅥ挴愹ㄴ挱㍦㝥㈹挴晡昱收搰搷戶搷㔰挷戹晤㔸㈰㝦㘱㝦摤㥣挱搸㜸㉢㌹〶ㄲ㜶㐷慤㡡搱昵昰㜳攸挲㐵攷㠴搱捣慡㘷㜱っ㝦ㄲ捥敡搳㍡昴㍦愳搷㡡戳捥戳㌷挳搸㉤晡晦㥤㈸搸㔶晦ぢ挶摥ㄴ㈲摦ㄵ㘷昸愰㌳㝥戲㙤挸㠶㍢〲捦㌶㠲㌷敡㘰㙣愸㉣㐳摥㔱㙥ㄹㅦ慦㐶搵㑡㠲挳敦㤵㙦扦ㅡ搱攸㑢摢㜶愰慢〰㘴㙣㐸晦ち㐴㔰搷晥慤㜲㉢㌹摤ㄶ摥㡤㡥〷㑥摢ㄵ摦ぢ㍣㉢ㅣ㕢㐶搰㜷㡣摦㥥㔹戰㜹愶挴㤷摢㠵摡慤搸㠹挱昷愲捦㤹㐵〸散㌳㌲㝣戹㘲㤱㡣㉣散㉣㤲挱敦㤰㐶㔲攱㈵㙡㠷攰ㅡ敢挱扡㔹挳愷慢㡢昰㜵㠶㉣摡ㄵ捡㉥昲㌸户摦搰攰搶攱㡥搶㍢攰て㤲戵〹〴挷搴ㄲ摥晤㕥敥㙢晢ㅥ戴戶㡤搷ㄶ戰㘵㙦㍥户㤲晥ㅣ㜰扡戳户戴㤲っ摦挹㉦㤲㑢㐶㤹㄰㤷昶㑦攰敦捥ㅤ戴ㅣ㙤ㄴ㜴ㅥ㝦搰㑤㐷搸㜸つ敥戳ㅤ㐴扦㉦愰慢㤸㈲挰慦㘱挶ㄹ㍥〸㝡昹挸㡡攲ぢ㔸ㄶㄹ〰昹㕣愱〲搰㥤慡㥦摤㡡慡㐷ㅥ㘰㑦㈴挱㌳〶挹戱㈴㍥㠷㠶摣慥㘸搹㘰〹㉥㕢愸戳〴昲㐶搲〳昹㥣攰㔹㐲㑤攴㌳攸搰㤸㠸㡤搲敥ㄳ昹昴㔶ㄳㄱ戴〲搴㐲搳攳㡦㈴㕡挴愸愱摡㜰〸㕣〲て㘰㈴㔱㈶挳㤴㡦ㄴ㍡㠵㈸挶昰㍤愲〸改ㄷ昱摦ㄷ㑥晣晣㜹愶扦㥣㄰㑡㈲愲慡㜵ㄵ㤴㠸㙡ㄵㅦ㑢慦挲㐷㘹昷㔵㝣㜴慢㔵㡣㔰㔸㜲㈶㐶〸㌰搴㈷捡昸愳㔶㔵㐷㠶ㅢ捡㕦㜱㠱〰扦㉤戳ㄸ㌱㔱愲晡㕥㐶〶㝤戹昳慡搵ㄵ㘴㤲扥㍡㌷㈲攳㉢ㅦ㘵㈸昱㐶㈴㥤㍡㠵挸㉢㕢㠸搴㘳搱㠹摤戱扢㐲㐸㘰㐹晣㙣戶慢㙣㉦昴ㄸ敡ㄷ㑦㈷㠸㌹㜵㉡昹㠴㑡㡢㠳㑦㈰㡣挸㌴㈵㈱㜱㈳挵㠷㤲挶摦晡㜶搳㜷㡡ち㈴㔰㑦搴㤸〴愷ㅡ㍦㤵㌴㍥㠲捦戳㔴㥢ㅣ慦ㄲ㌰扤㤰㌴㈶㘱慡挶㑦㈶㡤晦㝣攴㘰愳㜱㐲㠷搱挸㍡㠹㈴挳攸㔵挷㠰搴愷摡挳㘸慥㕢㔴愴〳㔶㔴㑣ㄱ慡㘲挸㌵愵㑡〷㜱㉢挴挷挷搲ぢ戸攴㠴扢㈰㤰戶搱晦㤹㌰㡦换㑦戳㘶㘸攲㕢攸つ㐴㥤㝤㐳㍤戱㜳挱㕡昴㔱搰㙦捤〷㌸㕣㔵㜷ㄵ㠹挰㉥挸㐷晢扢㡤㜷㍥挳㠶㙣敥㐷ㄲ㉤搳㜸㤹愴㌷㉤愲㈲㉣㜹昱㠱〴戳戹㈷㥡㌴㘳㍣づ攴㐰㑣〲㌲㘳㍣〱ㄸ㐵㘴づ戰㘰㠴晣慦㤸晢〳慣昸㈰挱㤳〰㈵㐱㘶㈷ㅤㄴ㥥〲ㄸ㑥晥挷㡡戱つ攵㌸搱挴愳挹换搲㘴㘴㍣捤づㅦ〶攸㠳ㅦ㔷挴㐴㔸㌲㍥㠲㤲昴㑢㈹㌸搴㑢晦㡢ㄵ晦㑤昰㔱㠰㤲捥挹敥㜸搷戸愶ㅥ㔵搸晦愰慢㜸㠲〰扦挶挷攲っㅦ㜴敥挳㝦㜶㌷㥡㜹㈶㑥扥昰㐷捣戳攵㔳晥晢昱㘹晥㈶ㄷ摤㠷晦㤹㐴㔷ㄶ㝥㕥㝢㑢㙦㘳㤱〹㘸㥣慢摦㜵㙣昶㑢ㄸ㠷敢㙡㠶㔲㌸㈲㤵㑡㔱㉢〸攲㥢ぢㄶㅥ摥挰户ㅣ㔷ㄵ㐲㤰〶㔴㠵ㅢ㔷㥣㐰㠱昱〹㌶㈵㡥㠹㈷攳㤳㝣㈲㙡搵㈶㝥㉡捥昰㐱㄰慦慡晢挳㜱昷攴㠵挴戵慡戰摢㕥㐸晣慢㡡戵昴ぢ㥦攱㘰ち㔹挸戴㙡㈵㈲㑤搱搰攷㤰ㄹ敡ㅢ收摣ㅥ挲慦㜶㐵㔴㉥㔴㉦㕣昸晢㜰㝥散挶晣㍢摦㍥昸捣ぢ㍦晢晤挷㝦昹㥥攳㝦晡挷戳捦晥昲てㅦ㝦晥ㅦ㍦㕣㍤晥㤳攷㥥晢昱〳㕦㝣晥昷晢慤㉦㘹摦晥晢挲㤷ㅥ㥢扣昴搸㈳搶戹㍢㑦㍥昶慥㠷ㅦ㥣㕣扡㘶扣慦慦扦晦㡥搱㥦摥昰挶㤱㈷ㅥ昹慥昸搱慦慦㜷㠵㕡㉥㕥搰㍡つ㉥㕢㑤攳昳挸㘰ㅡ㥣昱㉢㍡つ㉥㔷㙤搴㙡扣㔱搳㈸㈸挲戹挱〹愸ち戳戵㘲攰㕦㕦㤷戲摤</t>
  </si>
  <si>
    <t>Decisioneering:7.0.0.0</t>
  </si>
  <si>
    <t>98078ce4-abb2-4f83-9c91-dbc421d41893</t>
  </si>
  <si>
    <t>Crystal Ball Report - Full</t>
  </si>
  <si>
    <t>Run preferences:</t>
  </si>
  <si>
    <t>Number of trials run</t>
  </si>
  <si>
    <t>Monte Carlo</t>
  </si>
  <si>
    <t>Random seed</t>
  </si>
  <si>
    <t>Precision control on</t>
  </si>
  <si>
    <t xml:space="preserve">   Confidence level</t>
  </si>
  <si>
    <t>Run statistics:</t>
  </si>
  <si>
    <t>Total running time (sec)</t>
  </si>
  <si>
    <t>Trials/second (average)</t>
  </si>
  <si>
    <t>Random numbers per sec</t>
  </si>
  <si>
    <t>Crystal Ball data:</t>
  </si>
  <si>
    <t xml:space="preserve">   Correlations</t>
  </si>
  <si>
    <t xml:space="preserve">   Correlated groups</t>
  </si>
  <si>
    <t>Decision variables</t>
  </si>
  <si>
    <t>Forecasts</t>
  </si>
  <si>
    <t>Forecast: ERR: All Regions</t>
  </si>
  <si>
    <t>Cell: K5</t>
  </si>
  <si>
    <t>Summary:</t>
  </si>
  <si>
    <t>Certainty range is from 10.0% to Infinity</t>
  </si>
  <si>
    <t>Statistics:</t>
  </si>
  <si>
    <t>Forecast values</t>
  </si>
  <si>
    <t>Trials</t>
  </si>
  <si>
    <t>Base Case</t>
  </si>
  <si>
    <t>Mean</t>
  </si>
  <si>
    <t>Median</t>
  </si>
  <si>
    <t>Mode</t>
  </si>
  <si>
    <t>---</t>
  </si>
  <si>
    <t>Standard Deviation</t>
  </si>
  <si>
    <t>Variance</t>
  </si>
  <si>
    <t>Skewness</t>
  </si>
  <si>
    <t>Kurtosis</t>
  </si>
  <si>
    <t>Coeff. of Variability</t>
  </si>
  <si>
    <t>Minimum</t>
  </si>
  <si>
    <t>Maximum</t>
  </si>
  <si>
    <t>Range Width</t>
  </si>
  <si>
    <t>Mean Std. Error</t>
  </si>
  <si>
    <t>Forecast: ERR: All Regions (cont'd)</t>
  </si>
  <si>
    <t>Percentiles:</t>
  </si>
  <si>
    <t>Forecast: ERR: Dodoma</t>
  </si>
  <si>
    <t>Cell: E5</t>
  </si>
  <si>
    <t>Forecast: ERR: Dodoma (cont'd)</t>
  </si>
  <si>
    <t>Forecast: ERR: Iringa</t>
  </si>
  <si>
    <t>Cell: G5</t>
  </si>
  <si>
    <t>Forecast: ERR: Iringa (cont'd)</t>
  </si>
  <si>
    <t>Forecast: ERR: Kigoma</t>
  </si>
  <si>
    <t>Cell: J5</t>
  </si>
  <si>
    <t>Forecast: ERR: Kigoma (cont'd)</t>
  </si>
  <si>
    <t>Forecast: ERR: Mbeya</t>
  </si>
  <si>
    <t>Cell: I5</t>
  </si>
  <si>
    <t>Forecast: ERR: Mbeya (cont'd)</t>
  </si>
  <si>
    <t>Forecast: ERR: Morogoro</t>
  </si>
  <si>
    <t>Cell: F5</t>
  </si>
  <si>
    <t>Forecast: ERR: Morogoro (cont'd)</t>
  </si>
  <si>
    <t>Forecast: ERR: Mwanza</t>
  </si>
  <si>
    <t>Cell: H5</t>
  </si>
  <si>
    <t>Forecast: ERR: Mwanza (cont'd)</t>
  </si>
  <si>
    <t>Forecast: ERR: Tanga</t>
  </si>
  <si>
    <t>Cell: D5</t>
  </si>
  <si>
    <t>Forecast: ERR: Tanga (cont'd)</t>
  </si>
  <si>
    <t>End of Forecasts</t>
  </si>
  <si>
    <t>Cell: D13</t>
  </si>
  <si>
    <t>Normal distribution with parameters:</t>
  </si>
  <si>
    <t>Std. Dev.</t>
  </si>
  <si>
    <t>Correlated with:</t>
  </si>
  <si>
    <t>Coefficient</t>
  </si>
  <si>
    <t>Willingness-to-pay estimates as a percentage of base estimates (D12)</t>
  </si>
  <si>
    <t>Cell: D14</t>
  </si>
  <si>
    <t>Triangular distribution with parameters:</t>
  </si>
  <si>
    <t>Likeliest</t>
  </si>
  <si>
    <t>Assumption: Willingness-to-pay estimates as a percentage of base estimates</t>
  </si>
  <si>
    <t>Cell: D12</t>
  </si>
  <si>
    <t>End of Assumptions</t>
  </si>
  <si>
    <t>0%</t>
  </si>
  <si>
    <t>10%</t>
  </si>
  <si>
    <t>20%</t>
  </si>
  <si>
    <t>30%</t>
  </si>
  <si>
    <t>40%</t>
  </si>
  <si>
    <t>50%</t>
  </si>
  <si>
    <t>60%</t>
  </si>
  <si>
    <t>70%</t>
  </si>
  <si>
    <t>80%</t>
  </si>
  <si>
    <t>90%</t>
  </si>
  <si>
    <t>100%</t>
  </si>
  <si>
    <t>Monte Carlo Simulation</t>
  </si>
  <si>
    <t>ERRs (20 years)</t>
  </si>
  <si>
    <t>Total consumption for all regions</t>
  </si>
  <si>
    <t>Sensitivity</t>
  </si>
  <si>
    <t>Displays the inputs and results of the Monte Carlo simulation conducted to test sensitivity</t>
  </si>
  <si>
    <t>Kigoma Benefit Cost Analysis</t>
  </si>
  <si>
    <t>New Commercial - T2</t>
  </si>
  <si>
    <t>New Urban domestic- T1</t>
  </si>
  <si>
    <t>New Rural domestic - T1</t>
  </si>
  <si>
    <t>Existing customers (all tariff categories)</t>
  </si>
  <si>
    <t>Through the Distribution Systems Rehabilitation and Extension Activity, MCC Funding was to be used to rehabilitate existing power distribution assets and to extend the distribution network in six regions (consisting of Mwanza, Iringa, Mbeya, Dodoma, Tanga and Morogoro).</t>
  </si>
  <si>
    <t>Un-scaled LRMC in US cents/kWh</t>
  </si>
  <si>
    <t>In addition to the investment costs, the model includes the connection costs for new customers and the delivered cost of energy to new and existing customers, which is assumed to comprise the long run marginal costs of generation, transmission and a portion (50%) of the distribution costs.  As a result, the economic returns of the project effectively depend on there being a sufficient spread between the value for energy (estimated as WTP or LRMC) and the LRMC of delivered energy to offset the new project costs and the connection costs.</t>
  </si>
  <si>
    <t>Reduced technical losses</t>
  </si>
  <si>
    <t>Total value of reduced losses (Million USD)</t>
  </si>
  <si>
    <t>Long run marginal cost of generation, excluding losses (US$/kWh)</t>
  </si>
  <si>
    <t>Technical losses averted (GWh)</t>
  </si>
  <si>
    <t>Technical losses</t>
  </si>
  <si>
    <t>Transmission losses</t>
  </si>
  <si>
    <t>Distribution losses</t>
  </si>
  <si>
    <t>Total technical losses</t>
  </si>
  <si>
    <t>Un-scaled LRMC in US$/kWh, which results in scaled LRMC of:</t>
  </si>
  <si>
    <t>MCC ERR hurdle rate.</t>
  </si>
  <si>
    <t>Investment costs from MCA-T Detailed Financial Pla, Q20 and GoT Detailed Financial Plan, Q22.</t>
  </si>
  <si>
    <t>Disaggregation of costs based on Mott McDonald estimates per region and applied to total investment costs from MCA-T DFP Q20 and GoT DFP Q22.</t>
  </si>
  <si>
    <t>Operating expenses not included separately because they are included in the long run marginal cost (LRMC) of power.</t>
  </si>
  <si>
    <t>Technical losses from MCA-T Electricity Loss Reduction Study produced by AZOROM - AETS.</t>
  </si>
  <si>
    <t>Expected percentage point reduction in technical losses resulting from project</t>
  </si>
  <si>
    <t>Original compact target was a 15% reduction in losses.  15% of 13.1 would be a loss reduction of 2 percentage points.</t>
  </si>
  <si>
    <t>Type of S/L</t>
  </si>
  <si>
    <t>TANESCO average cost: USD/connection</t>
  </si>
  <si>
    <t>Weighting</t>
  </si>
  <si>
    <t>Single phase 30 metres</t>
  </si>
  <si>
    <t>Single phase 70 metres</t>
  </si>
  <si>
    <t>Single phase 120 metres</t>
  </si>
  <si>
    <t>Scaling for customer size</t>
  </si>
  <si>
    <t>Mott McDonald estimates based on World Bank Tanzania Energy Development and Access Expansion Project (2007) estimates.</t>
  </si>
  <si>
    <t>Average annual population growth for the seven regions, according to the 2012 Census.</t>
  </si>
  <si>
    <t>Mott McDonald estimates based on information provided by TANESCO in March 2013. TANESCO reported single line (single phase) connections shorter than 30 metres on average cost about USD267 per connection, but also reported much higher costs for longer distances from the LV feeder. In order to allow for a proportion of more distant customers we have applied a weighting for distances, which shows larger spot loads have longer distances than rural customers, and rural have greater distances than urban. We have also applied a scalar to the commercial user cost of 1.5 to allow for extra assets for much larger rated consumer. Worksheet 'LRMC' shows the build-up of connection costs.</t>
  </si>
  <si>
    <t>Long-Run Marginal Cost Scenarios</t>
  </si>
  <si>
    <t>Connection Cost Estimates</t>
  </si>
  <si>
    <t>Weighted and scaled 
connection cost</t>
  </si>
  <si>
    <t>Estimates made by the Mott McDonald engineers based on the initial load served by the areas, which in turn are based on the then existing transformer capacities, where the substation investments are being made.</t>
  </si>
  <si>
    <t>Notes</t>
  </si>
  <si>
    <t>Inflation rate</t>
  </si>
  <si>
    <t>Inflation index</t>
  </si>
  <si>
    <t>IMF World Economic Outlook Database, April 2014.  Average inflation (average consumer prices), 2009-2014.</t>
  </si>
  <si>
    <t xml:space="preserve">The WTP scalar is intended to adjust base demand level per rural domestic customer. This demand projection assumes that the average annual electricity consumption of the newly connected users is much less than the average values observed for existing users for the same tariff categories. This because the new extensions are, in general, serving a higher proportion of users in the lower quartile of income distribution than for currently connected customers. Reflecting this, the model uses 50% of the reported average level for rural users and 75% for urban ones. </t>
  </si>
  <si>
    <t>Estimates of disbursement from review of MCA-T and GoT Detailed Financial Plans.</t>
  </si>
  <si>
    <t>Percent of annual consumption</t>
  </si>
  <si>
    <t>Willingness to pay for existing costumers</t>
  </si>
  <si>
    <t>Number of initial connections as a percentage of ex ante estimates</t>
  </si>
  <si>
    <t>MCA-T and Mott McDonald estimated number of identified new connections in 2013. However, the the final impact evaluation report estimated the actual number of connections as 10,794 in the fall of 2015, approximately 29.07% of the previous estimates. The estimates were scaled accordingly using the sensitivity analysis tab.</t>
  </si>
  <si>
    <t>MCA-T, Q16 Indicator Tracking Table.</t>
  </si>
  <si>
    <t xml:space="preserve">Assumption.  Consumption will grow with household income.  In this model it is limited to 1% per year to prevent consumption estimates in Years 15-20 from being unrealistic. </t>
  </si>
  <si>
    <t>Infrastructure became operational at the end of the compact in 2013.</t>
  </si>
  <si>
    <t>This is adjust base demand level per rural domestic customer</t>
  </si>
  <si>
    <t>Unit delivered energy cost based on Mott McDonald estimates of long run marginal cost, derived from the Tanzania Power Sector Master Plan 2011 Update.  Includes generation, transmission and 50% of distribution LRMC. Variation here reflects generation cost uncertainty.  Values also exclude impact of loss correction which is applied after. Only the central case is used in this model.  The low and high cases are shown for comparison purposes.</t>
  </si>
  <si>
    <r>
      <t xml:space="preserve">Base WTP </t>
    </r>
    <r>
      <rPr>
        <b/>
        <i/>
        <sz val="10"/>
        <rFont val="Arial"/>
        <family val="2"/>
      </rPr>
      <t>(calculated in 'WTP' worksheet)</t>
    </r>
  </si>
  <si>
    <t>US$/kwh</t>
  </si>
  <si>
    <t>US$/connection</t>
  </si>
  <si>
    <t>US$/kWh</t>
  </si>
  <si>
    <t>per year</t>
  </si>
  <si>
    <t>of total</t>
  </si>
  <si>
    <t>Corrected for losses.</t>
  </si>
  <si>
    <t>MVA capacity *power factor*load factor*hours*inc;/excl switch</t>
  </si>
  <si>
    <t>Mott McDonald engineering estimates. Assumes demand growth constrained until upgrades come on line.</t>
  </si>
  <si>
    <t>Existing demand plus extra energy enabled by substation upgrade</t>
  </si>
  <si>
    <t>Energy demand capped at capacity set by existing demand plus additional capacity provided by substation upgrade.</t>
  </si>
  <si>
    <t>Extension capex (US$m)</t>
  </si>
  <si>
    <t>Substation capex (US$m)</t>
  </si>
  <si>
    <t>Total capex (US$)</t>
  </si>
  <si>
    <t>Network Extensions</t>
  </si>
  <si>
    <t>Substation Upgrades</t>
  </si>
  <si>
    <t>Costs</t>
  </si>
  <si>
    <t>New Customers in First 3 Yrs</t>
  </si>
  <si>
    <t>12.3% over 20 years</t>
  </si>
  <si>
    <t>Growth rates for electricity demand and customers (per annum)</t>
  </si>
  <si>
    <t>Growth in energy consumption per customer - extension lines</t>
  </si>
  <si>
    <t>HFO-engines, low-speed diesel</t>
  </si>
  <si>
    <t>Diesel engines, medium-speed</t>
  </si>
  <si>
    <t>Builds up LRMC based on a weighted average of levelised cost of generation for the main generation types. Weights are an estimate  of what types of plant would be built today if replanting the whole system.  Have taken ballpark capex, opex and efficiency from MottMac experience elsewhere and scaled for Tanzania conditions. Fuel costs based on international price of coal and HFO.  Gas is set between production costs and world price level - (premium for gas OCGT vs CCGT reflects swing premium). Wind is not explicitly included, but has similar costs to hydro, although annual availabilities are less (around 35%). Carbon costs are excluded.</t>
  </si>
  <si>
    <t>Based on netback price for sales into export markets rather than internal resouce cost</t>
  </si>
  <si>
    <t>Same price as Gas-CCGT plus a small small swing premium</t>
  </si>
  <si>
    <t>Assumes $100/bbl crude and US$50/t transport cost</t>
  </si>
  <si>
    <t>Ibid.</t>
  </si>
  <si>
    <t>In March 2017, an independent final evaluation report was issued by Mathematica Policy Research, which found that the number of new connections was only 37% of the initial targets. Even though the T&amp;D activity boosted connection rates, it had no clear impact on the overall amount of energy used by households. The evaluation also found that the activity increased the time children spent watching TV by about 7 minutes per day (0.12 hours), increased the likelihood that households had a child attending a school with electricity, and had no clear impacts on health outcomes. When comparing the costs and benefits of the network extensions, the evaluator estimated that the cost of building the transmission and distribution lines was large in absolute terms as well as in comparison to the estimated impacts on household consumption and income. However, the evaluation did not measure any benefits to existing users through improved substations. As a result, the cost-benefit analysis was updated with data from the impact evaluation to see the effects of low connection rates on the ERR.</t>
  </si>
  <si>
    <t xml:space="preserve">The economic benefits of the activity are estimated by valuing the energy delivered to new and existing customers from the new and upgraded network capacity.  The value of energy delivered to new customers is estimated as customers' willingness to pay (WTP), based on estimates from alternative energy sources. For existing customers, the value of energy delivered is based on one-half the value of WTP.  This is because there are different counterfactuals for new and existing customers, which is implied in the model.  Without the project, new customers would meet their energy needs through a combination of alternative energy sources, such as diesel generators, batteries, kerosene or candles.  Existing customers would only use some of these substitutes in the absence of the project, as some of their needs would continue to be met by the existing electrical grid.  Therefore, customers with an existing electric connection will value an additional kWh differently than customers who are switching from other fuels. Without additional information about the shape or specification of the demand curve, one-half of WTP is used as an approximation. </t>
  </si>
  <si>
    <t>30069687-eae9-4056-8b25-9d466f907915</t>
  </si>
  <si>
    <t>CB_Block_7.0.0.0:1</t>
  </si>
  <si>
    <t>㜸〱敤㕣㕢㙣ㅣ搷㜹摥㌳摣㔹敥㉣㐹㤱ㄶ攵㡢ㅣ挷愶㙦戱㘳㉡戴㈸㑢戵㥤㔶㔱㜹戱㉥㌶㈵搲㕡㑡㑥㤰〶慢攱敥ㄹ㜱慣㥤ㄹ㝡㘶㤶ㄲ㕤〳㌶ㄲ扢㐹㤰㡢〱㈷㘹攳搸㑥〲愳㐸搱㤷戶㜹挹愵捥㐳〳〴㐸㔰㌸㘸ㅦ㔲㈰〱晡攰ㄸ㐵昳㤰愲㄰搰ㄷ㍦〴㑤扦敦捣捣敥散㉥㜷㐸慦敤㤶㉥㜸㈸晥㍣㜳㙥㜳捥昹慦攷晦捦㈸㈷㜲戹摣敦㤱昸㤷㈹捦捣㑤攵㡤㈰㤴捥搴㥣㔷慦换㙡㘸㝢㙥㌰㌵攳晢收挶㠲ㅤ㠴〳㘸㔰愸搸愸て昴㑡㘰㍦㈹㡢㤵㜵改〷㘸愴攷㜲挵愲愱愱㥥㠳昰㜷㉣㜹㌰搸㙢㌸て戰㍣㌷扢戸昲㌸㐶㉤㠷㥥㉦て㑣㥣㡦晡ㅥ㥤㥥㥥挲捦攱挳て㑣ㅤ㍣㌰㌱搷愸㠷つ㕦ㅥ㜵㘵㈳昴捤晡㠱㠹愵挶㑡摤慥㍥㈲㌷㤶扤㑢搲㍤㉡㔷づ摥户㘲ㅥ㝥㘰晡昰㤱㈳搶㠳て㍥㌰㡣㔷攷捥捣捤㉥昹搲ち摥愵㌱㜵㑥昹昰扣慣摡㕣㥢㤴扥敤㕥㥣㥡㥢挵扦搴晣昱㜴晦㔴㜹㔵捡㤰慦㤶扥㜴慢㌲㌰搰㜱挸㤹〹㠲㠶戳挶捤㌳㥣攳㔸㙡搵っ㐲摤㤹㤳昵扡攱㈴愳ㄶ㥤㐵散㕤摤摣ㄸ㜶捡搲つ散搰㕥户挳㡤㠲戳㡣㠱㙡㈳捥戹㐰㥥㌵摤㡢昲㡣改㐸摤㌹搱戰㙢昹㈸攵〶敥㑡㠶㐸㑦㑣㉤㝦㙡㈶㜰收㔶㑤㕦捤㈸攰挶㘴戴㍤敥㔷摢摢摥摥㝢㕣㑥㕤扤㠱㘳摥搹扢ㅤ㙡捥㥢㝥戳攵㘴敦㤶昱攲摢㘷㜰㙦敦昶愹㍤㙡敦昳攱摥㝤搴㔶戶户ㄶ㐳㌱㝤慢ㅤ挵㘲㡣〲挱㈰㐱㤱㠰〸㌴㑡〴㐳〴挳〰㈲晦㕦攰㤲㜴㐷㔶㘹ㄵ㔳慢慣㘸㤵慡㔶愹㘹ㄵ愹㔵㉣慤㜲㔱慢慣㙡ㄵ㕢慢㍣慥㔵㉥愱㑤㤲㡡㠳㠳㕡㥣㈶て扤收晥搵㍦晤挳㤹扦昸敦㔷㙥㉡晦昲昹㍢㠶昷愰搱愳昱愴收㝤昳㌲㐸慤㐵挵㠷愶づ昲㘷㙢慥〰㔳㔸㐷慣晢慤改改摡㤱㠳收㝤愶捥㘵㘵㈰扦㡤㔰挶搰㜶搸㝡捣㜶㙢摥㘵㠵扢㥢㘶捤㐰戶㌶㙥㌲慥㥢昵ㅡ㙥㉤昸挰收㤵攵搰っ攵㡤㥤㜵慤㐱扡扡㤵挱㔶㌲㔰敦扢戹戳摢㜹戳摥㤰㌳㔷散愸晡㠳ㅤ搵捥㤲敦慤昴慥㍤敥换㈷㥡戵㕤㌳㥡㠱㔰㕢㔷㘳㜷慤㌲慡㡡收㌵㌱户敡〵搲㔵搳㥢㜴㤶散敡㈵改㤷㈵㐵愲慣愹愵㕥换慡㤸敢㈷ㄷ㕤㉣ㄴ摣㕡扢㉤㕤㙡㍤㜴㈵〴㌳换ㅡ收扢㈶晤㜰㘳搹㕣愹换敢摡㥡㐴敦㐴挵晥戶攲攳㕥戵ㄱ捣㜹㙥攸㝢昵昶㥡㤹摡扡〹㐹㔳㍢敤搵㘴㍥㥦㔳㐲〱〲㜷㘰㐰㠸摣㍤扤㜹㐱㈱㈲㠵㘲㌲昲つ敤㘴㌷㜵ㄶ慢挳㉡敡㤲㌴愹摤戱挵㘰㥣慦㤲㌱ㄹㅣ㤸㕡ㄳ昵〷㕦㝡昷ㄶ挳㌶㌱昷摥㌶搶戴昱㜸昵て慤㑢㌷㍣㘹扡戵扡昴㌳戵㥦攰㡣㡣㔱〰晤㉡〴㐲捦摤愳慡ㄳ㔷挴㠶㝥搹慥㠵慢㠵㔵㘹㕦㕣つ㔱〶つ㔹㉣㜲㙢扢㤲㜱つ㡡㡣扤〴攳〰愵㔲慥戰㡦㡤ち㈵愴㥣㑥改㤴挱换㙤㠲㥣晤摡㜸㜹搸㍡㙥搷㐳ㄹ〹攵㔱ぢㄸ㠹戴㥡㐲摦〸㐹搴㌷慢㤱挲搸㘷捤㠱㑡㑤摢つ㌷㕡㝣摢挵㈵ㄱㄱ敤捡㠲ㅤ㈷ぢ㈸ち摡攵㐱〶慦㠱㘸㍡愴㐱㜶攳ㄴㄱ㤱つ㌲㌴㍢㐶㙥㈷㌲戶捦㤰ㄱ㘸㥦㈶㐲戶㍥搸㕢㐶㤰搸扢㠹㤴㥤㝡昲攳慥㌴摢捣㤶㡦愴搹戵搸㌸攳㍡㠲敢〹㙥㈰搸て㈰晥ㅤㄲ㡥㔲づ昹昶㘴㝣〰捦挶㑤〴ㅦ〴㠰㝣㌲㈸㜳㘲㔱㐵ㅢ㙡㍢㜶㈴摢㡤挰㑥㔶㐶㜱㈴㡡㘸ㄹ㌷敤捣ㄱ㐷㈱㍡戶㍡㜷㠶慥捤㉢ㅤ晢愱摥戴㤹㕥づ㈹㌲愳㘹㝡慤㕢㌴㑤㙦〴㥢昶愹户㙥㐱㔷㘳㠲攰㔶㠰㤲㜱ㅢ㈱㤴ぢつ摥敤㔹昴㌴㈹摦ㄷ㘶㔱㘴っ昵愹攰㘳㐲收ㄱ㈰㐳挸㜵ㅤ㕦㜶㙤㘸㥡㠳㤳搶晢摥㠶㍥搰㥢扦㘳愴㜷攸捤㕤扤㐳㝦搱摢戴愲㙦〷㝢㠹㝦敤愹㘳敥㐴戵昱㈱㠲扢〰㍡㜴っ㑦摦㙦搷㔳愰捣㘲㈷㠵戹扤昴扡㈸㉢㜷㜹㘳㑤㉡つ㌴㙣㉤㥢晥㐵ㄹ挲㠳㜱㙡ㅥ戶戰攷晢戲㡥㐳㙤㑤ㄵ昰晣㜲㝤㝢㘱㜰摣昷ㅣ㤶敦摡挸挱晢㐲㌱攴昳摡㐰慥挳㐶捥戰㌵㔳㍥愷ㄴ攵㔰〷摦搷㕢㐸愴㍡戵㤳ㄷ晢㘵㥦㉦㜷㈵㐹ㅦ㤲攴挳搸㔶攳ㅥ〰㐸〹昱㉦㍤㈵捡〱㌶晢㠸㙡搶㙥戱搲挳㤷㜱㍡改昰㈱㜶挹㤱愱挸㘱㍢ぢ晦㐱㌰攲㤴㙤愷㈹㉣㠶㥣㈵改㔷攱㕢戰敢戲ㄴ戹㘵㈹㙡㜶㘵挵晢㐴㔶っっ㜴㥤愷㌳晣㙢㡡㑥㍡愴㐴㈶户㘷㔶㘶㥣挵㕢㐴㐵㌷㈴㠵㑡㠶㙢愸㈹㠱㐸㜹㙣扢㉢㘲晡㄰㌱昷㘲攳㡣㠳〴搳〴㠷〰昴㥦㐳搲㙣㜷攳ㄹづㅢ㕣愷㑢扢㔲挹ㄵ㠹〶攵㈲㝣扤愷戰㍡挲搷晣〱挱晤〰ㅤ收てㅤ㤰ㄹ㠴愸㔰㥥㈲㐴ㄵ挶戰捥摢昲㌲㘹㘰㡦㠵挰搲㕣㈳〸㍤㠷㤱愵ㄱ㙢摥㍢攳㠵昳㜶戰㠶㐸搴戸ㄵ㘷ㅥ㕢㤵㉥愸换㠷敤搳㔱收慤慤挹㥡㘱㤵扤〶㐴摢愹昹㥤㜰㌰挷㜶挰㤶㔴㘷㜳㑤㈰昵㜷㍥挶㄰〲㍢慤晣慤昴挶㙥换晢捤㐳摦㘸㙢㐷㤷敤戰㉥㠷慣㠸改㤸㉦㕡搸㐵㐴づ㙡㠳搶昲慡㉦攵晣㠸㜵挲户㙢㜵摢㤵㐴〶㙣㑣〶敢ㄶ攴㐵㐴〹㤶㍣挶〰㍤㜷挴㕡昶㑤㌷㔸㌳ㄹ㔰摣搸摢昶愴挲㈲扡㌵㙢扢〱㕥愳戰挸晣愸㔵㕥昵㉥㈳㘲摢㜰摣ㄳ收㕡戰㈳戰㐲愲㡦㤲㐲㡤搰㠴愶㠹愲㔶散ㄷ㍦㍣㤰攷㜲攴扤㍣㠱挲㔵㑥愷捦㍣㐳㝢搳慥㡦㘳㌴戴搳㌹愷㘱㐴㡦㥡㠵〳㤹㔲㤸㥣㙡㍣挸㍥ㅦ〵㜸昸挴戹㔳慤挸摣㍢㡡㔹敢昴昲㘷挸㜸㐵ㄶ捤㐰〸㝤㜴㝢㈲㔲㘱ㄹ㈹〷ㅣ〸㡣昳愹㤳晣㑡㤶㙡㐳敡摢搳捡ㅥ㐷㈴㘹搸㕡㌰㔷㘴ㅤ昱㘸挷っ昷㐴て㌴㘳ㅤ戳ㅥ挴㜵㜳㥥攳㤸㈴㉤㤲㘵戹㙡㤲㠲㘷ㅡ愱㜷摡㜶つぢ㐰搱㕦㕣㘴㕥㐱㤱㜹㐵ㄵつ㕢㘷ㄹㅡ㔴㜹㡥攵㕤㌴㝤㍢㕣㜵散㙡㤱てっ摦敤〸㥡〴㤳㔳昲㈶㈹㤱ㄹㄳㅤ搶晣㌹㤸㙣挱ㄴ搰㍤〵㌹捡慤㈳晡㐱戹㥡㈸攰㐷昴改㔸㠲㠰㔱㥥㔲攳㡦㌰㥡慥㙥㐷㐰攴愸㜴㌵戹㠳㜱昵㘹㤴㐴㐲㠸㔸捦㈰ㄱ㜸〵㔳㐲㥥㉥敥㠲㜵捥戵㐳㘰㡦ㄸ㍢㙥㠷昳〱㔰づ㠰慣㍡摥摥愸戰㥡敡㌴搹搴ち户㜴㔷戵愹㠹㥢扢敢搳㝡攳㡥㑤慡㈳㡤㤲㔲㈴㕢㌵㔲㥡㘵㤳㌹敥㈴㔵㈳㤴攲㑥戴㡤挸㜲㥢戶昶㥤㔲攴ㅤ㈸㈶㐵㌳㌹攳㘳㡡㔰㄰攸㡤㜵ㄴ㝤昶搹攴㤱㡡搸搰〶㈸㔱㑦㐵㘵㈳㜱㐸昰ㄴ慥㥤搴㘴㈹㝥〲㝦敦㠹戳㡢㡤戰慤挶扣㌲ㅥ搷捣搴敢㡢㉥慣㠴慡改搷㜶〸㑢㘳㙤㤱㠶㔱摣搹慦昶㡦戶㌷挵㠸㌱ㅢ㌲㉣㤲攱〷〶ㅢ㠲戹㔲ㄱ㔵㕡㘷㈳摣敡㘶㜱㤱㑦愷愵改㉡っ㤴挳摡扣㕣㔷㘶㔸换㤲ㅦ㔷ㅤ㥡愷㐵㈵㐷つ㙢㘶㈵㠰㑡て㈹挷攳㥣㘲㜰挳㍡㑢户ㄴ㉥㌱㐰散挶戹愵㙡㠸搰㙥㜳〰㥥っ㜶づ㜶戰㈳㔱攸㠴搶ㄹ㈵㘸㈱㠳㜰摢ㄷ㐱摥改ㄳ愳㄰愴㤶㑡晦㜹㑣㝣攳㐵愶扦㍥㤶㑢㌲㌱ㄳ㌱摣㤵㘱㍤〰戹改挸㈴戹㘸㍣〹㤸㐷㤲㑤〹慤攱愴㡣㈶挶〸㑤㍥㍦挴㉤ㅥ挶戲㐶挹㌶㜵摣㜳ぢ㙤㘸搳晡挶ㅥ敢㤴㕢慤㌷㙡㔲愹攲㐴㔶㉢㡤扣㈳昰愵慥〰㐶摣㤴戱㉦昱愶㥣挲㔱㡡㑢㈶㤲晡户扢㡤㘳攸慥㠴ㅣ挶㠸㔴ㅦ〳㤰ㄹ㙥㌹ㄵ㄰敢扡愷㐰晢㜰㙦敢〲㠳扡㍣〷㤱搶㔵㐴㔹戶㠰晢㜸捤㈸戲攲戶㔴戳〵㙦挱愳捤㥥㉡㍡㘹㐷㐵㍢〲㐷㔸㘷㈴昰ち〵ㄸ㈳㝤㜲〷〷挹㕤㡤愳扢㔷㥦㔶㡦戹慢㐰㠵挲㠰㘰㡣㤷愷愰ㅣ㜶ㄵ㡣㐴㠳㕢㙢㔹摤㠲搱㕦㕡摥挶っ㠰㘰ㄸ㤸〶㉤㕡㐶〶捥ㅣ昲㕢ㅢ㌸户愰㔵㐶㠴㌴ㅤ㑣㘵㡣㜲ㅣづ㝢㈰つ摣挴㠳昴戲〷㈵ㄴ敥㔳ㄷ挳㤲扢㠹㤳づ㡥㐰㥥㝦㕤㐷攱㤲ㄹ攲晡㡢扢扦愳㜸愶㔶愳戹ぢ晦摣㡥挰㉡慥㙥㐴收攸扥㡥㑢㔹㙡㑤戴敦㙥敦愸㠸㉦ぢㅥ㥡㥦㍡㘹㠶搵搵㜲戸ㄱ㕤摣敡㤷㈴昴ㅦ挱ㅦ戱改摢㘹㌳攷㕤㕥㐴㕤攷摥㤷㉥戹摥㘵㔷捤㑢て㜸敢てㄴ㠲㉢㤴㠳㥣㘴㈹昷㝢晣愸愴攵昴搷㌰攲㜶愶捤〱㕡づㄲ㡥愳㔲㈴つ㈶㤰捦愰ㄳ搸敥捤㕢〳愴㤳㝤ㅤ㜴愲〴挱㉥愱戸ㄷ摦㌵㐲ㄱ㝦て戴㤲㔸愲㈳㌹昶晣㍢㘰㝤昱㐳㤴㄰攱㜸㡥挵㠸㝥㉢㜲ㄹ愸㔳㠲㍣扥攲挱ぢ㈱晦㝦戰㤴㜰昳愶散昴扦挰捣攲〷㥤㈸扡㤹㈸晡㝥ㄷ㡡〴慦㠱㈸晥㝤ㄸ㤹㈴改っ捦扥慤㐰㌸搷戴㝢〰㝤捦㉦晣晥ㅦㅥ㐰ㄷ㘲攲㔰㌶ㅡ㐲㙤㜷攲戹㘹㈲っ㜴㤹〸っ摥㉢ㄳ攱㌴㌲㠲㔱晣挸㐴㠸㝤㈰㡢㈸搸摡㐴㘰㙣㉦挳㄰㑣㠵㕡㔳㙥つ㥥挰慥㜳攸ㅦ㍢㠹㡢户㌲㐰㍣ㅦ㑡㉢㤸㠳㐷敡晡敥攲㈵搳㌷㥤晤慡晣㠴㉦愱捣晣㘵摣攴㔶㕤搸攳挶㑤㙢㔴愷㑤㝣ㄵ㠹㤷㝤搷㥦戲扤晢敢挰㔴㤴㈲昷扤㈸㡡挲㍢昰㤴〸㥥ㅢ㜲㝦扡敦㙦㑥晣晡挹㘷㡦昱戶㕡㑣慢晡㍤挸昷ㄳ戲愷㍤㠱愰㙥敡愲挸戵晣㌰攷㌴㍥㔱戲搷敡㜲搶昴㤵ㄵㄴㄸ㑥㤲㡤〸㉦㐵㤸ㄱ昱敤〴ㄳㄳ昷ㅥ㈲ㄳ㜳慡挳摤愹㍥㙣㔲㉥挲愹搴挴㤵㑦㉦〹ㅢ㡡㥥㡡慣㑦㙢㔳晦㍢愸愲户㌹㤱㜶㉢㤱愷㑥㈶㈱晥戶㔳搷ㅤ愱慥㡢づ㌲っ晢㈷㔲ち昱〷㔲㐸晡㈰挳ぢ〱㑡㑡㥤㐵㐶扦ㄷ㈰㈳戲搶ㄹ攲愵㍦㘰㔷〸挸收愵扦㍥㍦㘲挱㉥〲㡢㠹㉦扥摦ㄳ㉤㙤搱㐴㌵㌱㔴慢㙣㥡㌲㌲敡昰挲㠲改愴㜴ㄹ㤹㈴改㠷㤰摢戶㍢㡡㉦ㄹ㜱愲挰㕢挴搸扡㐳㕦㕢挹㜹挸㙤攰收〷昴㑣㐱㈹っ㜷㉦㡢㜱㈰㔵㌱扡愸㘹㈹㉡㈲ㅣ㡤戲捤㑥㐳㜱ㄵ㜴㤶扢ㅦ愷㔲〴晦昸愵㄰敢㈷㕢㐳㕦摢㔹㐳ㅤ攷づ㘲㠱晣㠵晤㜵㜳〶㘳攳慤攴ㄸ㐸搸㙤戵㉡㐶搷挳捦愱ぢㄷ㥤ㄳ㐶㉢慢㥥挵ㄱ晣㐹㌸㙢㐰敢搲晦㡣㕥㉢捥㍡捦摥っ㘳户改晦㡦愳㘰㑢晤㉦ㄸ㝢㔳㠸晣㐴㥣攱㠳捥昸挹㤶㈱ㅢ敥〸㍣摢〸摥愸㠳戱愱戲っ㜹㐷戹㌲㍥㕥㡤慡㤵〴㠷摦㉢摦㜹㌵愲搹㤷戶敤㔰㑦〱挸搸㤰晥ㅤ㠸愰㥥晤摢攵㔶㜲扡㉤㝣ㄲㅤ昷㥤戶慢扥ㄷ㜸㔶㌸㔱㐶搰㜷㠲摦㥥㔹戰㜹㘶挴㕦㜶ち戵摢戱ㄳ挳㥦㐲㥦㌳㡢㄰搸㘷㘴昸㙥挵㈲ㄹ㔹搸㕥㈴㠳摦㈱㡤愵挲㑢搴づ挱㌵搶愳つ戳㡥㑦㔷ㄷ攱敢っ㔹戴㈳㤴㕤攴㜱敥扣愱挱慤挳ㅤ慤㐷攰て㤲昵㈹〴挷搴ㄲ㍥昹㈹敥㙢攷ㅥ戴户㡤搷ㄶ戰㘵㝦㍥户㤲晥㉡㜰扡扤户戴㤳っ摦挹㉦㤲㑢㐶㠵㄰㤷昶㡦攱敦昶ㅤ戴ㅣ㙤ㅣ㜴ㅥ㝦搰㑤㐷搸㘴ㅤ敥戳㙤㐴扦㉦愰慢㤸㈱挰慦㘱挶ㄹ㍥〸㝡昹挸㡡攲㥢㔸ㄶㄹ〰昹㕣愱ち搰㥢慡㕦摥㡣慡挷ㅥ㘶㑦㈴挱㌳〶挹戱㈴㕥㐲㐳㙥㔷戴㙣戰〴㤷㉤搴㔹〲㜹㈳改㠱㝣㑥昰㉣愱㈶昲㜵㜴㘸㑥挴㐶㘹敦㠹晣昹㘶ㄳㄱ戴〲搴㐲搳攳㡦㈵㕡挴愸愳摡㜰〸㕣〲て㘰㉣㔱㈶愳㤴㡦ㄴ㍡㠵㈸挶昰㐳愲〸改㥦攳扦㙦ㅣ晢昹敢㑣晦㜱㑣㈸㠹㠸慡昶㔵㔰㈲慡㔵㍣㥦㕥㠵㡦搲摥慢昸搲㘶慢ㄸ愳戰攴㑣㡣㄰㘰㘴㐰㔴昰㐷慤慡㠱っ㌷㤴扦攲〲〱㝥摢㘶㌱㘶愲㐴昵扤㡣っ晡㜲攷㔵慢㉢挸㈴㝤㜵㙥㐴挶㔷㍥捡㔰攲㡤㐸㍡㜵ち㤱㔷戶㄰愹挷愲ㄳ扢㘳㜷㠴㤰挰㤲昸搹㙣㑦搹㕥攸㌳搴㉦㍥㥢㈰收攴挹攴ㄳ㉡㉤づ㍥㠱㌰㈲搳㤴㠴挴㡤ㄴ㝦㤶㌴晥敥昷㕡扥㔳㔴㈰㠱㝡愲挶㈴㌸搵昸戹愴昱㈱㝣㥥愵摡攴㜸㤵㠰改㡤愴㌱〹㔳㌵㝥㌶㘹晣摢㐳晢㥢㡤ㄳ㍡㡣㐶搶㐹㈴ㄹ㐶慦㍡〶愴㍥搵ㅥ㐵㜳摤愲㈲ㅤ戲愲㘲㡡㔰ㄵ㐳慥㉢㔵㍡㡣㕢㈱㍥㍥㤶㕥挰㈵㈷摣〵㠱戴㡤晥捦㠴㔳戸晣㌴㙦㠶㈶扥㠵㕥㐷搴搹㌷搴ㄳ㍢ㄷ慣㐵ㅦ〵㠳搶愹〰㠷慢摡㡥㈲ㄱ搸〵昹㘸㝦户昰捥㘷搸㤰慤晤㐸愲㘵ㅡ㉦㤳昴愷㐵㔴㠴㈵㉦㍥㥤㘰㌶昷㑣㡢㘶㡣愷㠱ㅣ㠸㐹㐰㘶㡣㘷〰愳㠸捣㍥ㄶ㡣㤱晦ㄵ㜳㝦㥡ㄵ㥦㈱㜸ㄶ愰㈴挸散愴㠳挲㜳〰愳挹晦㔸㌱戱慥ㅣ㈷㥡㜸㌲㜹㔹㥡㡣㡣捦戲挳攷〰〶攰挷ㄵ㌱ㄱ㤶㡣捦愳㈴晤㔲ちづ昵搲㉦戰攲㡢〴㕦〲㈸改㥣散戶㜷㡤㙢敡㔳㠵㝤ㄹ㕤挵㌳〴昸㌵㥥㡦㌳㝣搰戹て㝦搸摢㘸收㤹㌸昹挲ㅦ㌱捦戶㑦昹ㅦ挲愷昹ㅢ㕣昴〰晥㘷ㄲ㕤㔹昸㜹敤愳晤㡤㐵㈶愰㜱慥㝥搷戰搹敦㘰ㅣ慥慢ㄵ㑡攱㠸㔴㉡㐵慤㈰㠸㙦㉥㔸㜸㜸〳摦㜲㔴㔵〸㐱ㅡ㔰ㄵ㙥㕣㜱っ〵挶㔷搸㤴㌸㈶㥥㡣慦昲㠹愸㔵㥢昸戵㌸挳〷㐱扣慡敥㡦挷摤㤳ㄷㄲ搷慡挲敥㜸㈱昱慦㉡㔶搳㉦㝣㤱㠳㈹㘴㈱搳慥㤵㠸㌴㐵㐳㉦㈱㌳㌲㌰捡戹㍤㠶㕦敤㡡愸㕥愸㕤戸昰搶㘸㝥攲挶晣挷晦㜸昸挵㌷晥昱捤ㄷ㝥昱㈷㐷㝦昳扢㤷㕦晥挵扦扤昰晡敦㝥戴㜲昴愷慦扥晡㤳㠷扦昵晡㥢㝢慤㙦㙢摦㝢㙢攱摢㑦㑤㕦㝡敡〹敢摣㍤㈷㥥晡挴攳㡦㑥㉦㕤㌳㌹㌰㌰㌸㜸搷昸捦㙥戸㝢散㤹㈷㝥㈰㝥晣慢敢㕤愱㤶㡢ㄷ戴㑦㠳换㔶搳㜸〵ㄹ㑣㠳㌳㝥㑦愷挱攵慡㡤㕡㠹㌷㙡ㄶ〵㐵㌸㌷㌸〱㔵㘱戶㔷っ晤て㝡慤戳敢</t>
  </si>
  <si>
    <t>㜸〱敤㕣㕤㙣ㅣ㔷扤摦㌳摥㔹敦慣敤搸㡤搳戴㈹愵㜵㈹㙤愱づ㙥㥣㈶戴〵㐲昰㐷㤳戸㌸戱ㅢ㍢㈹㠸㡦捤㜸昷㑣㍣捤捥㡣㍢㌳敢挴愵㔲㉢㘸㠱慢ぢ㔴㉡ㅦ愲㔰愰慡㔰㈵㕥戸㤷㤷〲昷愲㉢㕤改㑡ㄷ愱㈰昱〰て㔷扡て扤攸ちㅥ㐰㔷㤱敥ぢて〸昸晤捥捣散捥敥㝡挷敥戶〵ㄷ昹㌸晥晢捣昹㥡㜳捥晦昳晣晦㘷㤲ㄳ戹㕣敥捦㐸晣换㤴㘷收收愵㡤㈰㤴捥挴㡣㔷慢挹㑡㘸㝢㙥㌰㌱攵晢收挶扣ㅤ㠴㝤㘸㔰㈸摢愸て昴㜲㘰㍦㉥㡢攵㜵改〷㘸愴攷㜲挵愲愱愱㥥㠳昰㜷㈴㜹㌰搸㙢㌰て戰㍣㌳扤戰昲㈸㐶㕤ち㍤㕦ㅥㅣ㍢ㅦ昵㍤㌶㌹㌹㠱㥦㈳㐷敥㥦㌸㜴㜰㙣愶㕥ぢ敢扥㍣收捡㝡攸㥢戵㠳㘳㡢昵㤵㥡㕤昹戰摣㔸昶㉥㐹昷㤸㕣㌹㜴敦㡡㜹攴晥挹㈳㐷㡦㕡て㍣㜰晦㈰㕥㥤㍢㌳㌳扤攸㑢㉢㜸㠳挶搴㌹攵㈳戳戲㘲㜳㙤㔲晡戶㝢㜱㘲㘶ㅡ晦㔲昳挷搳㝤ㄳ㑢慢㔲㠶㝣戵昴愵㕢㤱㠱㠱㡥〳捥㔴㄰搴㥤㌵㙥㥥攱㥣挰㔲㉢㘶㄰敡捥㡣慣搵っ㈷ㄹ戵攸㉣㘰敦㙡收挶愰戳㈴摤挰づ敤㜵㍢摣㈸㌸换ㄸ愸㍡攴㥣ぢ攴㔹搳扤㈸捦㤸㡥搴㥤㤳㜵扢㥡㡦㔲慥敦慥㘴㠸昴挴搴昲㈷愶〲㘷㘶搵昴搵㡣〲㙥㑣㐶摢ㄳ㝥愵戵敤敤摤挷攵搴搵ㅢ㌸收ㅤ摤摢愱收扣改㌷㕡㡥㜷㙦ㄹ㉦扥㜵〶昷㜴㙦㥦摡愳搶㍥敦敥摥㐷㙤㘵㙢㙢㌱㄰搳户摡㔱㉣挶㈸㄰昴ㄳㄴ〹㠸㐰愳㐴㌰㐰㌰〸㈰昲晦て㉥㐹㜷㘴㤵㔶㌶戵昲㡡㔶慥㘸攵慡㔶㤶㕡搹搲捡ㄷ戵昲慡㔶戶戵昲愳㕡昹ㄲ摡㈴愹搸摦慦挵改昳㔷㍦㔹昸晤扦晤㘹敥戳晢㥦㍢晤㡤㙢㕦扥㍡戸〷㡤ㅥ㡥㈷㌵敢㥢㤷㐱㙡㑤㉡㍥㍣㜱㠸㍦㕢㜳〵㤸挲㍡㙡摤㘷㑤㑥㔶㡦ㅥ㌲敦㌵㜵㉥㉢〳昹㉤㠴㌲㠲戶㠳搶㈳戶㕢昵㉥㉢摣摤㍣㙤〶戲戹㜱攳㜱摤戴㔷㜷慢挱摢㌶慦㕣ち捤㔰摥搴㕥搷ㅣ愴愳摢ㄲ搸㑡〶敡㝤户戴㜷㍢㙦搶敡㜲敡㡡ㅤ㔵扦扤慤摡㔹昴扤㤵敥戵㈷㝣昹㔸愳戶㘳㐶㔳㄰㙡敢㙡散㡥㔵㐶㔵搱扣挶㘶㔶扤㐰扡㙡㝡攳捥愲㕤戹㈴晤㈵㐹㤱㈸慢㙡愹搷戳㉡收晡昱〵ㄷぢ〵户㔶摦㤱㉥戵ㅥ扣ㄲ㠲㤹㘵ㄵ昳㕤㤳㝥戸戱㙣慥搴攴晥㤶㈶搱㍢㔱㜱愰愵昸㠴㔷愹〷㌳㥥ㅢ晡㕥慤戵㘶慡扡㙥㐲搲㔴㑦㝢㔵㤹捦攷㤴㔰㠰挰敤敢ㄳ㈲㜷㜷㜷㕥㔰㠸㐸愱㤸㡣㝣㘳㉢搹㑤㥣挵敡戰㡡㥡㈴㑤㙡敦摣㘲㌰捥㔷挹㤸っづ㑣慤㠹晡㠳㉦㝤搷ㄶ挳㌶㌰昷收㌶搶戴搱㜸昵て慥㑢㌷㍣㘵扡搵㥡昴㌳戵㥦攰㡣㡣㘱〰晤ㅡ〴㐲搷摤愳慡ㄳ㔷挴㠶㝥搹慥㠶慢㠵㔵㘹㕦㕣つ㔱〶つ㔹㉣㜲㙢㍢㤲㜱ㅤ㡡㡣扤〴愳〰愵㔲慥戰㡦㡤ち㈵愴㥣㑥改㤴挱换㉤㠲㥣晤㕡㜸㜹搰㍡㘱搷㐲ㄹ〹攵㘱ぢㄸ㠹戴㥡㐲摦㄰㐹搴㌷㉢㤱挲搸㘷捤㠰㑡㑤摢つ㌷㥡㝣摢挱㈵ㄱㄱ敤捡㠲ㅤ㈷ぢ㈸ち㕡攵㐱〶慦㠱㘸摡愴㐱㜶攳ㄴㄱ㤱つ㌲㌴㍢㐶㙥㈵㌲戶捦㤰ㄱ㘸㥦㈶㐲戶㍥搴㕤㐶㤰搸㍢㠹㤴㥤扡昲攳慥㌴摢捣㤶㡦愴搹昵搸㌸㘳㍦挱つ〴㌷ㄲㅣ〰㄰扦㠱㠴愳㤴㐳扥㌵ㄹ㙦挳戳㜱㌳挱摢〱㈰㥦っ捡㥣㔸㔴搱㠶摡㡥ㅤ挹㜶㐳戰㤳㤵㔱ㅣ㠹㈲㕡挶つ㍢㜳挸㔱㠸㡥慤捥㥤愱㙢昳㑡挷摥搹㥤㌶搳换㈱㐵㘶㌴㑤慦㜵㡢愶改㡤㘰搳ㅥ昵搶慤攸㙡㡣ㄱ摣〶㔰㌲摥㐱〸攵㐲㠳㜷㝢ㄶ㍤㑤捡户㠴㔹ㄴㄹ㐳㍤㉡昸㤸㤰㜹〴挸㄰㜲ㅤ挷㤷㕤ㅢ㥡收攰戸昵㤶户愱て㜶攷敦ㄸ改㙤㝡㜳㔷敦搰㕦昴ㅡ慤攸摢挱㕥攲扦扢敡㤸㍢㔰㙤摣㐹㜰ㄷ㐰㥢㡥攱改晢戵㝡ち㤴㔹散愴㌰户㤷㕥ㄷ㘵攵㉥㙦慣㐹愵㠱〶慤㘵搳扦㈸㐳㜸㌰收㘶㘱ぢ㝢扥㉦㙢㌸搴㔶㔵〱捦㉦㌷戴ㄶ〶㈷㝣捦㘱昹慥㡤ㅣ扣㈵ㄴ㐳㍥慦昵攵摡㙣攴っ㕢㌳攵㜳㑡㔱づ㜵昰扤摤㠵㐴慡㔳㉢㜹戱㕦昶昹㜲㔷㤲昴㈰㐹摥㡤㙤㌵敥〶㠰㤴㄰扦敡㉡㔱づ戲搹㝢㔴戳㔶㡢㤵ㅥ扥㡣搳㐹㥢て戱㐳㡥っ㐴づ摢㘹昸て㠲㈱㘷挹㜶ㅡ挲㘲挰㔹㤴㝥〵扥〵扢㈶㑢㤱㕢㤶愲㘶㔷㔶扣㐵㘴㐵㕦㕦挷㜹㍡挳扦愶攸愴㑤㑡㘴㜲㝢㘶㘵挶㔹扣㐹㔴㜴㐳㔲愸㘴戸㠶ㅡㄲ㠸㤴挷戶扢㈲愶〷ㄱ㜳て㌶捥㌸㐴㌰㐹㜰ㄸ㐰晦㌹㈴捤㜶㌷㥥攱戰晥㜵扡戴换攵㕣㤱㘸㔰㉥挲慢㕤㠵搵㔱扥收扤〴昷〱戴㤹㍦㜴㐰㘶㄰愲㐲㜹㡡㄰㔵ㄸ挳㍡㙦换换愴㠱㍤ㄶ〲㑢㌳昵㈰昴ㅣ㐶㤶㠶慣㔹敦㡣ㄷ捥摡挱ㅡ㈲㔱愳㔶㥣㜹㘴㔵扡愰㉥ㅦ戶㑦㕢㤹户戶㈶慢㠶戵攴搵㈱摡收㘶㜷挲挱ㅣ摢〱㕢㔲㥤捤㌵㠱搴摢昹ㄸ㐳〸散戴昲户搲ㅢ扢㉤敦㌷て㝤挳捤ㅤ㕤戶挳㥡ㅣ戰㈲愶㘳扥㘸㘱ㄷㄱ㌹愸昶㕢换慢扥㤴戳㐳搶㐹摦慥搶㙣㔷ㄲㄹ戰㌱ㄹ慣㥢㤷ㄷㄱ㈵㔸昴ㄸ〳昴摣㈱㙢搹㌷摤㘰捤㘴㐰㜱㘳㙦换㤳ち㡢攸搶戴敤〶㜸㡤挲㈲昳挳搶搲慡㜷ㄹㄱ摢扡攳㥥㌴搷㠲ㅤ㠱ㄵㄲ㝤㤴ㄴ㙡㠴㈶㌴㑤ㄴ戵㘲慦昸攱㠱㍣㤷㈳敦攵〹ㄴ慥㜲㍡㝤收ㄹ摡㥢㜶㝤ㅣ愳愱㥤捥㌹つ㈲㝡搴㈸散换㤴挲攴㔴攳〱昶㜹ㅦ挰㐳㈷捦捤㌵㈳㜳慦㉢㘶慤搳换㥦㈱攳ㄵ㔹㌴〲㈱昴搱敤㠹㐸㠵㘵愴ㅣ㜰㈰㌰捥愷㜶昲㉢㔹慡つ愹㙦㑦㌳㝢〲㤱愴㐱㙢摥㕣㤱㌵挴愳ㅤ㌳摣ㄳ㍤搰㡣㜵捣㕡㄰搷捤㜸㡥㘳㤲戴㐸㤶㑢ㄵ㤳ㄴ㍣㔵て扤搳戶㙢㔸〰㡡晥攲㈲昳ち㡡捣㉢慡㘸搰㍡换搰愰捡㜳㉣敦愲改摢攱慡㘳㔷㡡㝣㘰昸㙥㐷搰㈴㤸㥣㤲㌷㐹㠹捣ㄸ㙢戳收捦挱㘴ぢ㈶㠰敥〹挸㔱㙥ㅤ搱て捡搵㐴〱㍦愲㐷挷ㄲ〴㡣昲㤴ㅡㅦ挰㘸扡扡ㅤ〱㤱愳搲戵攴づ挶戵㈷㔱ㄲ〹㈱㘲㍤㠳㐴攰ㄵ㑣〹㜹扡戸ぢ搶㌹搷づ㠱㍤㘲散㠴ㅤ捥〶㐰㌹〰戲敡㜸㝢㤳挲㙡慡搳㜸㐳㉢摣摡㔹搵愲㈶㙥改慣㑦敢㡤㜷㙥㔲ㅤ㘹㤴㤴㈲搹慡㤱搲㉣㥢捣㜱㈷愹ㅡ愱ㄴ㜷愲㙤㐴㤶摢戴戹敦㤴㈲慦㐳㌱㈹㥡挹ㄹㅦ㔴㠴㠲㐰㙦慣愳攸戳捦㈶㡦㔴挴㠶㌶㐰㠹㝡㉡㉡ㅢ㡡㐳㠲㜳戸㜶㔲㤵愵昸〹晣扤㈷捥㉥搴挳㤶ㅡ昳捡㘸㕣㌳㔵慢㉤戸戰ㄲ㉡愶㕦摤㈱㉣㡤戵㐵ㅡ㐶㜱㘷慦摡㍦摡摥ㄴ㈳挶㙣挸戰㐸㠶ㅦㄸ㙣〸收㑡㐵㔴㘹㥤つ㜱慢ㅢ挵㐵㍥㥤㤶愶慢㌰戰ㄴ㔶㘷攵扡㌲挳㥡㤶晣愸敡搰㌸㉤㉡㌹㙡㔸㔳㉢〱㔴㝡㐸㌹ㅥ攷ㄴ㠳ㅢ搶㔹扡愵㜰㠹〱㘲㌷捥㉤㔶㐲㠴㜶ㅢ〳昰㘴戰㜳戰㠳ㅤ㠹㐲㈷戴捥㈸㐱ぢㄹ㠴摢扡〸昲㑥㡦ㄸ㠵㈰戵㔴晡扦攳攲ㅢ捦㌳㝤敦㜸㉥挹挴㑣挴㜰㔷㠶昵〰攴愶㈳㤳攴愲搱㈴㘰ㅥ㐹㌶㈵戴〶㤳㌲㥡ㄸ㐳㌴昹晣㄰户㜸ㄸ换ㅡ㈶摢搴㜰捦㉤戴愱㑤㙢ㅢ㝢慣㌹户㔲慢㔷愵㔲挵㠹慣㔶ㅡ㜹㐷攰㑢㕤〱㡣戸㈹㘳㕦攲㑤㤹挳㔱㡡㑢㈶㤲㝡户扢㡤攳攸慥㠴ㅣ挶㠸㔴ㅦ〳㤰ㄹ㙥㌹ㄵ㄰敢戸愷㐰晢㜰㙦昳〲㠳扡㍣〷㤱搶㔱㐴㔹㌶㡦晢㜸㡤㈸戲攲戶㔴戳㜹㙦摥愳捤㥥㉡㍡㘵㐷㐵㍢〲㐷㔸㘷㈴昰ち〵ㄸ㈳㍤㜲〷〷挹㕤㡢愳扢搷㥥㔴㡦戹㙢㐰㠵挲㠰㘰㡣㤷愷愰ㅣ㜶ㄵ㡣㐴㠳㕢㙢㕡摤㠲搱㕦㕡摥挶ㄴ㠰㘰ㄸ㤸〶㉤㕡㐶〶捥っ昲㕢ㅢ㌸户愲㔵㐶㠴㌴ㅤ㑣㘵㡣㜲ㄴづ㝢㈰つ摣挴㠳昴戲〷㈵ㄴ敥㔳ㄷ挳㤲扢㠹攳づ㡥㐰㥥扦扦慤㜰搱っ㜱晤挵㍤搰㔶㍣㔵慤搲摣㠵㝦㙥㐷㘰ㄵ㔷㌷㈲㜳㜴㕦摢愵㉣戵㈶摡㜷户户㔵挴㤷〵て捦㑥㥣㌲挳捡敡㔲戸ㄱ㕤摣敡㤵㈴昴㥦挰ㅦ戱改摢㘹㌳攷㕤㕥㐴㕤攷摥㤷㉥戹摥㘵㔷捤㑢て㜸敢てㄴ㠲㉢㤴晤㥣㘴㈹昷㘷晣愸愴攵昴㝦挵㠸摢㤹㌶〷㘸㍡㐸㌸㡥㑡㤱㌴ㄸ㐳㍥㠳㑥㘰扢㌷㙥つ㤰㑥昶戵搱㠹ㄲ〴扢㠴攲㕥㝣挳〸㐵晣ぢ搰㑡㘲㠹㡥攴搸昳㤷挱晡攲挷㈸㈱挲昱ㅣ㡢ㄱ晤㌶攴㌲㔰愷〴㜹㝣挵㠳ㄷ㐲晥㝥戰㤴㜰昳愶散昴㔷㘰㘶昱愳㜶ㄴ摤㐲ㄴ晤戰〳㐵㠲搷㐰ㄴ晦㍥㠴㑣㤲㜴㠶㘷㕦㔳㈰㥣㙢摡㍤㠰扥改ㄷ㝥晦㠶〷搰昹㤸㌸㤴㡤㠶㔰摢ㅤ㜸㙥㤸〸㝤ㅤ㈶〲㠳昷捡㐴㌸㡤㡣㘰ㄴ㍦㌲ㄱ㘲ㅦ挸〲ち戶㌶ㄱㄸ摢换㌰〴㔳愱搶㤴㕢㠳㈷戰晤づ晤㘳愷㜰昱㔶〶㠸攷㐳㘹〵㌳昰㐸摤搰㔹扣㘸晡愶㜳㐰㤵㥦昴㈵㤴㤹扦㡣㥢摣慡ぢ㝢摣戴㘹㡤敡戴㠹慦㈲昱戲敦晡㔳戶㜷㝦ㅤ㤸㡡㔲攴扥ㄷ㐵㔱㜸ㅤ㥥ㄲ挱㜳㐳敥㔳晢扥㝦昲㝦ㅥ㝦晡㌸㙦慢挵戴慡摦㡤㝣㉦㈱㝢摡ㄳ〸敡愶㉥㡡㕣捦て㜳㑥攳ㄳ㈵㝢慤㈶愷㑤㕦㔹㐱㠱攱㈴搹㠸昰㔲㠴ㄹㄱ摦㑥㌰㌱㜱敦㈱㌲㌱㈷摡摣㥤敡挳㈶攵㈲㥣㐸㑤㕣昹昴㤲戰愱攸慡挸㝡戴㌶昵㝦㠶㉡㝡㡤ㄳ㘹戵ㄲ㜹敡㘴ㄲ攲㥦摡㜵摤㔱敡扡攸㈰挳戰㝦㈲愵㄰㝦㈰㠵愴て㌲扣㄰愰愴搴㔹㘴昴㝢〰㌲㈲㙢敤㈱㕥晡〳㜶㠵㠰㙣㕣晡敢昱㈳ㄶ散㈲戰㤸昸攲㝢㍤搱搲ㄶ㑤㔴ㄳ㐳戵捡愶㔹㐲㐶ㅤ㕥㔸㌰㤹㤴㉥㈳㤳㈴晤㌰㜲摢㜶㐷昱㈵㐳㑥ㄴ㜸㡢ㄸ㕢㜷攸㙢㉢㌹て扡㜵摣晣㠰㥥㈹㈸㠵攱敥㘵㌱づ愴㉡㐶ㄷ㌵㉤㐵㐵㠴挳㔱戶搱㘹㈰慥㠲捥㜲て攰㔴㡡攰ㅦ扦ㄴ㘲晤㜸㜳攸敢摢㙢愸攳摣㝥㉣㤰扦戰扦㙥挹㘰㙣扣㤵ㅣ〳〹扢慤㔶挵攸㝡昸㌹㜴攱愲㜳挲㘸㘶搵戳㌸㡡㍦〹㘷昵㘹ㅤ晡㥦搱㙢挵㔹攷搹㥢㘱散ㄶ晤晦ㄱㄴ㙣愹晦〵㘳㙦ち㤱ㅦ㡤㌳㝣搰ㄹ㍦搹㌲㘴挳ㅤ㠱㘷ㅢ挱ㅢ㜵㌰㌶㔴㤶㈱敦㈸户㠴㡦㔷愳㙡㈵挱攱昷捡户㕦㡤㘸昴愵㙤㍢搰㔵〰㌲㌶愴扦っㄱ搴戵㝦慢摣㑡㑥户㠵㡦愱攳扥搳㜶挵昷〲捦ち挷㤶㄰昴ㅤ攳户㘷ㄶ㙣㥥㈹昱摤㜶愱㜶㍢㜶㘲昰ㄳ攸㜳㘶〱〲晢㡣っ摦愸㔸㈴㈳ぢ摢㡢㘴昰㍢愴㤱㔴㜸㠹摡㈱戸捥㝡戸㙥搶昰改敡〲㝣㥤㈱㡢㜶㠴戲㡢㍣捥敤㌷㌴戸㜵戸愳昵㘱昸㠳㘴㙤〲挱㌱戵㠴㡦㝤㠲晢摡扥〷慤㙤攳戵〵㙣搹㥢捦慤愴扦〴㥣㙥敦㉤慤㈴挳㜷昲㡢攴㤲㔱㈶挴愵晤攳昸扢㝤〷㉤㐷ㅢ〵㥤挷ㅦ㜴搳ㄱ㌶㕥㠳晢㙣ㅢ搱敦ぢ攸㉡愶〸昰㙢㤸㜱㠶て㠲㕥㍥戲愲昸㌶㤶㐵〶㐰㍥㔷愸〰㜴愷敡ㄷ㌶愳敡㤱㠷搸ㄳ㐹昰㡣㐱㜲㉣㠹㙦愲㈱户㉢㕡㌶㔸㠲换ㄶ敡㉣㠱扣㤱昴㐰㍥㈷㜸㤶㔰ㄳ昹㍡㍡㌴㈶㘲愳戴晢㐴扥戶搹㐴〴慤〰戵搰昴昸㈳㠹ㄶ㌱㙡愸㌶ㅣ〲㤷挰〳ㄸ㐹㤴挹㌰攵㈳㠵㑥㈱㡡㌱晣㤸㈸㐲晡㐵晣昷搵攳㍦扦捡昴晢攳㐲㐹㐴㔴戵慥㠲ㄲ㔱慤攲搹昴㉡㝣㤴㜶㕦挵ㄷ㌷㕢挵〸㠵㈵㘷㘲㠴〰㐳㝤愲㡣㍦㙡㔵㜵㘴戸愱晣ㄵㄷ〸昰摢㌲㡢ㄱㄳ㈵慡敦㘵㘴搰㤷㍢慦㕡㕤㐱㈶改慢㜳㈳㌲扥昲㔱㠶ㄲ㙦㐴搲愹㔳㠸扣戲㠵㐸㍤ㄶ㥤搸ㅤ扢㈳㠴〴㤶挴捦㘶扢捡昶㐲㡦愱㝥昱戹〴㌱愷㑥㈵㥦㔰㘹㜱昰〹㠴ㄱ㤹愶㈴㈴㙥愴昸㙣搲昸〷慦㌴㝤愷愸㐰〲昵㐴㡤㐹㜰慡昱㌳㐹攳挳昸㍣㑢戵挹昱㉡〱搳慢㐹㘳ㄲ愶㙡晣㜴搲昸㜷㠷て㌴ㅡ㈷㜴ㄸ㡤慣㤳㐸㌲㡣㕥㜵っ㐸㝤慡㍤㡣收扡㐵㐵㍡㘰㐵挵ㄴ愱㉡㠶㕣㔳慡㜴㄰户㐲㝣㝣㉣㍤㡦㑢㑥戸ぢ〲㘹ㅢ晤㥦〹㜳戸晣㌴㙢㠶㈶扥㠵㕥㐷搴搹㌷搴ㄳ㍢ㄷ慣〵ㅦ〵晤搶㕣㠰挳㔵㜵㐷㤱〸散㠲㝣戴扦㕢㜸攷㌳㙣挸收㝥㈴搱㌲㡤㤷㐹㝡搳㈲㉡挲㤲ㄷ㥦㑥㌰㥢㝢慡㐹㌳挶㤳㐰づ挴㈴㈰㌳挶㔳㠰㔱㐴㘶ㅦぢ㐶挸晦㡡戹㍦捤㡡捦㄰㍣つ㔰ㄲ㘴㜶搲㐱攱ㄹ㠰攱攴㝦慣ㄸ㕢㔷㡥ㄳ㑤㍣㥥扣㉣㑤㐶挶攷搸攱昳〰㝤昰攳㡡㤸〸㑢挶㍦愰㈴晤㔲ちづ昵搲㝦㘴挵ㄷ〸扥〸㔰搲㌹搹㙤敦ㅡ搷搴愳ち晢ㄲ扡㡡愷〸昰㙢㍣ㅢ㘷昸愰㜳ㅦ摥摦摤㘸收㤹㌸昹挲ㅦ㌱捦㤶㑦昹ㅦ挴愷昹ㅢ㕣㜴ㅦ晥㘷ㄲ㕤㔹昸㜹敤㝤扤㡤㐵㈶愰㜱慥㝥搷戰搹慦㘳ㅣ慥慢ㄹ㑡攱㠸㔴㉡㐵慤㈰㠸㙦㉥㔸㜸㜸〳摦㜲㑣㔵〸㐱ㅡ㔰ㄵ㙥㕣㜱ㅣ〵挶㤷搹㤴㌸㈶㥥㡣慦昰㠹愸㔵㥢昸搵㌸挳〷㐱扣慡敥㡦挶摤㤳ㄷㄲ搷慡挲㙥㝢㈱昱慦㉡㔶搳㉦㝣㥥㠳㈹㘴㈱搳慡㤵㠸㌴㐵㐳摦㐴㘶愸㙦㤸㜳㝢〴扦摡ㄵ㔱戹㔰扤㜰攱て挳昹戱㥢昲ㅦ昹搰攰昳慦晥散搷捦晤昲攳挷㝥晢挷ㄷ㕥昸攵晦㍥㜷昵㡦㍦㔹㌹昶㥦㉦扤昴ㅦて㝤攷敡慦昷㕡㉦㙡慦晣㘱晥挵㈷㈶㉦㍤昱㤸㜵敥敥㤳㑦㝣昴搱㠷㈷ㄷ慦ㅢ敦敢敢敦扦㙢昴愷㌷扥㙢攴愹挷㝥㈴晥晤扦㙥㜰㠵㕡㉥㕥搰㍡つ㉥㕢㑤攳㕢挸㘰ㅡ㥣昱㥢㍡つ㉥㔷㙤搴㑡扣㔱搳㈸㈸挲戹挱〹愸ち戳戵㘲攰㉦攱㝣戴挲</t>
  </si>
  <si>
    <t>Simulation started on 9/25/2017 at 5:21 PM</t>
  </si>
  <si>
    <t>Simulation stopped on 9/25/2017 at 5:23 PM</t>
  </si>
  <si>
    <t>Worksheet: [TZA-TD-ERR-092517.xlsm]Summary</t>
  </si>
  <si>
    <t>Worksheet: [TZA-TD-ERR-092517.xlsm]ERR &amp; Sensitivity Analysis</t>
  </si>
  <si>
    <t>Assumption: Long run marginal cost of generation, excluding losses (US$/kWh)</t>
  </si>
  <si>
    <t>Certainty level is 65.59%</t>
  </si>
  <si>
    <t>Entire range is from 1.2% to 17.1%</t>
  </si>
  <si>
    <t>Base case is 12.3%</t>
  </si>
  <si>
    <t>After 10,000 trials, the std. error of the mean is 0.0%</t>
  </si>
  <si>
    <t>Assumption: Number of initial connections as a percentage of ex ante estimates</t>
  </si>
  <si>
    <t>Long run marginal cost of generation, excluding losses (US$/kWh) (D13)</t>
  </si>
  <si>
    <t>Certainty level is 56.92%</t>
  </si>
  <si>
    <t>Entire range is from -1.8% to 17.4%</t>
  </si>
  <si>
    <t>Base case is 11.8%</t>
  </si>
  <si>
    <t>Certainty level is 0.36%</t>
  </si>
  <si>
    <t>Entire range is from -4.5% to 10.6%</t>
  </si>
  <si>
    <t>Base case is 6.3%</t>
  </si>
  <si>
    <t>Certainty level is 0.00%</t>
  </si>
  <si>
    <t>Entire range is from -11.6% to 5.8%</t>
  </si>
  <si>
    <t>Base case is 1.2%</t>
  </si>
  <si>
    <t>Certainty level is 98.99%</t>
  </si>
  <si>
    <t>Entire range is from 8.4% to 23.8%</t>
  </si>
  <si>
    <t>Base case is 19.1%</t>
  </si>
  <si>
    <t>Certainty level is 83.84%</t>
  </si>
  <si>
    <t>Entire range is from 3.2% to 20.2%</t>
  </si>
  <si>
    <t>Base case is 15.1%</t>
  </si>
  <si>
    <t>Certainty level is 76.40%</t>
  </si>
  <si>
    <t>Entire range is from 2.6% to 18.4%</t>
  </si>
  <si>
    <t>Base case is 13.6%</t>
  </si>
  <si>
    <t>Certainty level is 20.08%</t>
  </si>
  <si>
    <t>Entire range is from 0.2% to 12.6%</t>
  </si>
  <si>
    <t>Base case is 9.0%</t>
  </si>
  <si>
    <r>
      <rPr>
        <vertAlign val="superscript"/>
        <sz val="8"/>
        <rFont val="Arial"/>
        <family val="2"/>
      </rPr>
      <t>1</t>
    </r>
    <r>
      <rPr>
        <sz val="8"/>
        <rFont val="Arial"/>
        <family val="2"/>
      </rPr>
      <t xml:space="preserve"> The upper graph presents the yearly benefits accrued as a result of the project, minus the yearly costs to MCC of implementing the project.</t>
    </r>
  </si>
  <si>
    <r>
      <rPr>
        <vertAlign val="superscript"/>
        <sz val="8"/>
        <rFont val="Arial"/>
        <family val="2"/>
      </rPr>
      <t>2</t>
    </r>
    <r>
      <rPr>
        <sz val="8"/>
        <rFont val="Arial"/>
        <family val="2"/>
      </rPr>
      <t xml:space="preserve"> The lower graph was produced by running a simulation of the project's ERR 10,000 times, each of which varied the "Specific Parameters" listed in the table above according to a specified probabilistic distribution. It is meant to illustrate the uncertainty around the final ERR figure presented in this spreadsheet, and to give an idea of how likely higher and lower ERRs given this uncertainty. </t>
    </r>
  </si>
  <si>
    <t>Last updated: 9/25/2017</t>
  </si>
  <si>
    <t>㜸〱捤㕣ぢ㜸㔴搵戵㥥㍤挹㑣戲㈷〹㠹扣㝣㐳ㄴ㄰㌱ㄲ㠹㠰㠰㠸㈴㈴〴㠲攱㈱〹愰〲挶㐹收っㄹ㤸〷捥㑣㠰㔴扤扥敡愳㕥慤慦慡搷ち㠵㙡搵晡㘸搱㝡慤户㕡㙢㙦戵搲晡愸敤搵慦扤㙤㍦㐵㠵搶捦㐷㉢慤户慤慤㈲昷晦搷㌹㘷收捣捣㤹㐰愹昹㍥づ㌹㙢搶㕥㙢敤扤搶㔹㙢扦昷㌹㜸㤴挷攳搹㠷㡢扦扣㑡㠹ㅣ搳搱㥦㑡ㅢ戱晡收㐴㌴㙡昴愴㈳㠹㜸慡扥㈹㤹っ昶户㐷㔲改ㄲ〸昸扢㈲攰愷㝣㕤愹挸ㄷ㡣昲慥つ㐶㌲〵㈱㥦挷㔳㕥慥扤攰㤷㕢㜷㡤㥤搰捣愵㑢〹㈰攵搱㝥㠲㌲〲㡡㙡㑤㄰〰愸慣〰攸㙣㥥戳戸㝢㉤ㄴ㜷愴ㄳ㐹攳攴摡攵㘶昱戳ㅡㅡ敡昱㙦捡㤴改昵㤳㑥慥㙤敥㡢愶晢㤲挶慣戸搱㤷㑥〶愳㈷搷㉥改敢㡥㐶㝡捥㌲晡㍢ㄳ敢㡣昸㉣愳㝢搲攴敥攰㤴改つ㔳愶㑥つ捦㤸㌱扤戲ㄲ㈵㉦㙡㥥戳㈴㘹㠴㔳㥦㔷㤹㔵㉣㜳㜱昳㥣晡㐵㐶晡昳㉡㜳〸捡㐴㤱㉤㠹㔸㌰ㄲ晦㥣ち昵搱晤㤳㕢㡣㥥〸攳㘴ㄸ挹㐸㝣㑤㍤捣捥㜱㌴㔲搳敡㕢攱昱㥥㘰㉡摤㙣㐴愳㑢㡤㌰㐳㔴ㄹ愳捦㡣愴ㄱ敦㌱㔲㐳㘲㜳㌷昵ㄸ㔱㡢㥤㉡㡦㉤て㈶ㄷ〵㘳㐶㈹㤱敡㤸ㄹ户戶㤰ㄱ㑦㐷搲晤㔵戱㘵㈹㘳㘹㌰扥挶愰㠸㉦㌶慦㉦ㄲ㉡㉤㔵愵愵㥥㤲昱㙥挶㐸㙣敡㕢㤳㍤捤扤挱㘴㕡㔲㡣㕡㠳㥢慣愳㠶㠸攱㌹㘶戱ㄶ搵收攵㘲㤸㍡㈲戱戳㡣㘴摣㠸㔲〹㠳㔷㤷㈷㈴㍥㌱㕤㥦㜱㡥晤㌴っ㡣慡戰㥡〶ㅦ㠵㕡㜴㌵㐱つ㠰晦㌰㠰㡡戹㑢㤷㥥㕥㝢㔶㘴つ愲愷㠷㤲㌵っ㐰㤵㝥㠰㈶㤶㥦搵摢ㄵ昴㜶㜵㝢扢㝡扣㕤㈱㙦㤷攱敤ち㝢扢搶㜸扢㝡扤㕤ㄱ㙦搷㕡㙦搷㍡攴戴慦昲戲㌲慦㜵㤵ㅤ㜵㕤搳昷摢ㄶ㌵摥㜶户㍥㙥搴㝤㥤㑦㉡戶㉡㘹㕥㈳㠰攸㤱〰晥挳〱㑣㔳摡ㄸ敡愰㍥㠲慣㈳〱㤴晡㍤㑣愱㌹扤扢摦晥㤲晦晣㥤㡢敥㥡戹㜹㕦㝣捦㐹捦㉢㌶㑣㈹攷㘸ちㅦ〳攰㍦ㄶ㈰㈰㡦搴㠹㈸〶昵㈸㜲㐶〳㈸昵愶㔵捣㑤㐳昶慥晤昴攴慢ㄶ晤攰改㤶换㍢㝢摥昹戹㘲搳㤶㘲㡥愳昰昱〰晥㌱〰㌵㔲㑣㔳㌴㕡扢搴㔸挳ㅥ㐵㡦㈵㝦ㅣ㠰㔲扦戱ち晢挶㥥ㅦて扢攱挱㡥挶ㅢ愶慦摣昱敢挳㐷㥤慥㔸晦愴戰昱ㄴ㍥ㄱ挰㍦〱挰㝣戶㤶㐴㠸㙥㍥㠹慣㍡〰愵㕥戳捡㜹扤昷㌷攷摣㤱㍡戶改扡换扣慢搶晣昲㐷ㄳㄵ㝢ㄹ㈹㘷㈲㠵敢〱晣愷〰㤸捦戶戰摢攸て敡㐹攴㌴〰㈸昵㌳慢㤸㥤摦晦愰㜵晢摣㤵㜳㥦㤹昰挸挲㌳㝥戹愴㔱戱㥦㤲㘲㈶㔳㜸ち㠰㝦㉡㐰㤵㍣摢挲㐴㌲戱〶户㍥㡤捣㘹〰㑡晤挴㉡改㡤㠶愱㍢㉥㥣扦㜹挱收昴摡㉤㜳ㅦ扥愳㐶戱戳㤳㤲㘶㔰昸㜴〰晦㑣〰昳挱ㄶ㙥っ挶扦㄰搴㘷㤰㌵ぢ㐰愹ㅦ㔹攵㥣㌶㘲晥戰〵㐳㍦㔹昰戵愷ㄷ㝣㌸昲㤹㤷㘶㔶捥〶晢㙣慢㑥戶㈴㠳ㅢㄱ敤㙣㥦㜱㙡晤㈴晥摢㝦㘷㠹扥㌲㍣㌵㍣㉤摣搰㄰㥡㍡㈹㌸㌹攸㘳慤㍥搰㈶㍡ㅣ戲㤵攱ㄵ㤱㜸㈸戱搱㙣戳攱搶㐸㌴㙤㈴㈵㔱ㅤ挶㡦搹敦㐸扡㉡㍣㜷ㄳ㍡散ㅥ戳㜹てて㌷ㅢ挹㌴㍡扡㜴㝦戶捤ㅦ㌳㈷㤸㌲戲挹㍡慢散㌹㠹扥㜸㈸㜵戴㍢戳㈳ㅤ㑣ㅢ㐷攵昳戲㠵ㄴ㘴敢㐰㈷㘸愴挴愴㔱昹搹㤶〷愳㝤㐶搳愶㠸挹㍥㌶㡦㡤敥㌰搱㕤㥣摢㥡㌴㉥捣㜰ぢ㉣㙡挲㜰扡㐱捡㉥㜸㑡㤳㘵摡㔵摢摣㥢㐸ㄹ㜱㌱慦㉥戶㈴搲戳捥㐸㜶ㄸㅣ㡣㡤㤰㍣敡〸戲慣㍥戹㙥㜱ㅣて㡡㕥㌶㜴扣㤳㑡㐷ㅢ昱㤰ㄱ㠲扤敢攱攵晥捥㘰㜷搴ㄸ㤹㈳㘲敡〴攳挸ㅣ㜲㙢愲愷㉦搵㥣㠸愷㤳㠹㘸㉥愷㈹戴㈱㠸㜱㈰戴㌰ㄱ㌲㑡攵昲㤸㔰㜹㑡㑡㤴昲㥣攸搶愱戲散ㄴ扢㕣㘷㈵㐱慤ㄹ㔸搸㔱㠹㌸ち戸㜶搵㤹㤲㠱㌸㉡ㄹ攵㈷っ㘸㠹戳ㄲ㔲㝡搲㠰搲㉥㤵㤴㤹㡥挸㙤㜸昵㑢ㄱㅦ挴㈱㙡戰㔵㝡挷ㄶ㉦㌲㕢㉦昷㘳愹㈳㉡㥣㝢㔱㝡〰愷㐹戱㤹扡㌷戸挲㕥敦㌰敢改攷㙥挰㘸㍦㍦ㄸて㐵㡤攴㠰㌳㐷㐵㡢㜴㈳㐱ㄳ挱ㅣ㠲㘶㠲ㄶ〰摦㔳攸攳㡡㝡㤴㠳㥣摡愴晡㝤ㅢ㈳愱㜴慦扦搷㠸慣改㑤㠳㠶ㄹ㘷㜹㌹摤晤㤶㜵㍦㠷㈹攷㉥㑥㘲㜵㉢挱㍣㠲昹〰㠱㠰挷摦㠶㕦㡦㍦愰ㄷ昰攷㉣㠰㙡㝢扡㔳㙢搶捣㠰挷挷愱晣㥦㥦㜰㜰㥥慢㘵㝥㠳〹㘸捡ㄷ㐳戹愹㤲ㄲ㌷㙦捣て愶㝡搳㙣㠸〳㌲㉢㔸㕥㍢挱㐲㠰捡㐵〰㡢收ㅢ㔱㌴攳捦㙢敥敡攳散㘴扦㜳㈴ち㡤㡣㜵昴挷㝢㝡㤳㠹㌸㈶晢㉤挱㜴戰愹〷ㄳ挱㤴ち晡㘳敤㠹收扥戴㍦㌶㍦㠲㥦捡搸㔲㘳扤ㄱ㑣㌷愳㥢㑥㔷挵摡㌱㠹㤴㝥戴㉤戴挹ㄷ㌳攷㝦㉤㐶慡㐷㜳愲搸㠶㙥㘹㤳ㅦㄸ晡搹捡ㄸ㍢ㅡ㘳㔳㥡㐵㤷挵㤶〴㌱搱㑣㙢〸搵㐹㉥ㄳ㘳捥㉡愱搹戹〳㔶ち㈵搴〸敡㈸愵㐲〸㘶㐹ㅥ搶ㅣ㡣愰ㄸ㙥㑢㉤㤸摦㠲㤶愵㈳搱㔴扤攵摥晡㤶〴ㄶㄲ㠶㉣㜷攸㜶扦ㅦㄵ捣㍦㘰戰昲ㅢ㍡㘷㥡㡢㝢扡捤㘲㘱捡扣㘴愲㙦㍤㘷㥢㥦㔷㌹㉣换愳ㄷ〳㙣晤搳㠳㌳挷㙤搹扥捦晡扤ㄴ㑤㐸㉥捤挹愸㘶㝤㘷ㄲ㍦㜲改愵昸〹っ挴昳㜱扡敡摡搳ㄶ㤹ㄴ㜳搲㔸ㄹ挳搳㜶㈶つ㤹攵㤷㑢愲㝦扤㔱ㄵ㕢㤱㐸慥敢㑥㈴搶㌱昸㐳㈴㤵敡㌵㡣戴㑣㥤慤㤵〲㜱愵㔴㐹㐹捥攴搸㌱挷收愴摢扦ㅣ愰㡡㔳㐷扢挴㤴㝦〵㐸㈵ㄸ㔱晣攷〰ㄹ搹㜹㕥搳挴捥㤶㠹㤸㠶㑤㥣㌴攳搴愹つ搳敡㌷㐵㔳㌱㜵㍦㥥㥤㔳摤㙢㙥昷㑦㝡昷扤攵㡤晦㍥㙥㑢㙢攲愶晥ㄱ敡㍥㡢㔱㌰㤷收ㄴ㕡㘶昴㉢㠱攸㔵〴慢〹捥㈷攸〲㔰摢㤰㤵㍤搵敤㐸昰捥昶㌷㐱捡㜴ㄳ昴〰愰扦ㄱ晦愳扢㌱㐸㘳㜷ㄳ昰愸㤱昸㘱ㄷ愳搷㄰昴〲㈸捥捤搹捥㍣㍡〲㔰㌴愲㥣搳ㄷ㐶㌴ち㙡㐰て挰㔳㥣昵㌳慡㥡㕥搴昴㥢愶捦搴つ㤶てち㥣㜳扤挵㈸㔸㈰㜰㕤㈰捥改㘳㈱ㅢ〸㌶ㄲ㙣㈲攸〷㔰㔷㕢捥攱挳昲捥㍡攷㈲捡㕣㑣㜰〹㠰挳㌹㤷㤲㘶㌹㠷㙢づ㜱捥攵㈴㕥〱愰戸攲㌰㥤㜳㈵戰愲捥攱㐲愵搰㌹㔷㠳ㅡ搰〳昰搴㘸㐸戸㌹㈷㔵捣㌹㐹㡢㔱戰散㌹づ㈵㠹㜳㙥愴㈹㌷ㄱ摣㑣㜰ぢ挱慤〰㉡㙡㌹㠷〱攱㥤㜵捥㙤㤴㘱㘵搲㜷〰㌸㥣㜳㈷㘹㤶㜳㡥〷㉥捥戹㡢挴捤〰㡡㉢㈸搳㌹㕢㠰ㄵ㜵捥ㄸ㘶㈸攸ぢ戶㠱ㅡ搰〳昰ㄴ搷㘶㙥捥㌹户㤸㜳捥戱ㄸ〵换㌸慥摥挴㌹て〰搱てㄲ㍣㐴昰㌰挱户〰搴㔲换㌹㈱㈴㜸㘷㥤戳㥤㌲㡦㄰㍣ち攰㜰捥㘳愴㔹捥攱捡㔰㥣昳㌸㠹摦〵㔰㕣ㄶ㥡捥㜹〲㔸㔱攷㑣㘰㠶〲攷㍣〹㙡㐰て挰㔳㜵㤰㜰㜳捥散㘲捥㌹搳㘲ㄴ慣㑤㈷愲㈴㜱捥戳㌴攵㌹㠲ㅦㄳ㍣㑦戰〳㐰㑤户㥣昳ㄳ㈴㜸㘷㥤昳㔳捡扣㐰昰㈲㠰挳㌹㉦㤳㘶㌹㠷换㕤㜱捥㉢㈴晥ㅣ㐰㑤〲㌰㥤昳ぢ㘰㐵㥤㜳ち㌳ㄴ㌸攷㌵㔰〳㝡〰㥥㙡㠰㠴㥢㜳挶ㄵ㜳捥㔸㡢㔱戰攲㥥㡣㤲挴㌹慦搳㤴㌷〸㜶ㄲ扣㐹昰ㄶ㠰ㅡ㘵㌹攷ㄲ㈴㜸㘷㥤戳㡢㌲扢〹㝥〷攰㜰捥㍢愴㔹捥攱㈲㕥㥣昳㉥㠹敦〱愸搳〰㑣攷扣て慣愸㜳愶㌲㐳㠱㜳晥〸㙡㐰て挰㔳搳㈰攱收㥣㡡㘲捥〹㔸㡣㠲㑤㠴ㄹ㈸㐹㥣昳㌷㥡昲㌱挱摦〹晥㐱昰〹㠰㉡戵㥣戳ㅤ〹摥㔹攷散愵捣㘷〴晢〰ㅣ捥攱㈴挹㜶づ昷㈵挴㌹㈵㈴㜲㙦㔸㥤〱㤲改ㅣㅦ㤲㐵㥤㌳㤳㈵ㄷ㌸愷ㅣ㔹〲㝡〰㥥㥡㠵㝣㙥捥昹搳㘷㐵㠶昲㍤ㄶ㈳㝦㘷挴搷㠸㤲昲㘷㝡戲扤㤷㔹㌳㍡㔶愳㌲捤〸㉦㡢㐷搲愹㡡㜰㔳㕦㍡搱ㅡ㐹户㘰扤ㄵ〶〰㉡㔹㡥㤲攵㤵㈳㔳㕤㜸㜹挴搸搸㠹戹捥攸㐲ㄶ㜶㍥㥢晢㔲改㠴㑣㘲㐷ㄵ昲㕢ㄲ㡢ㄲ改㤶㐸㙡㝤㌴搸㍦搶㠵㙤㜲㔶昴ㅡ㜱慣昷㤳㔸昶敦㑦㈸戱㝥扤ㄱ㜲戱戱㈳搱㤷散㌱摡㕡づ㠵ㅤ〳㘵捥挶㍤㤸昰愱㥡愹㜱挵㔷挸づ扦㜳搵攸挵㈴㔱ㅤ摣㠲搳㝦ㄸ慢敤㌸㡦ㅥ㡡㕦て戴愲戲敢㘱慣㠸㔸敤㌵敤户㤲㌸㜶㈱㉡㈰ㅣ〸㈳戰㈶慤捡摡收㙡㡢愷㈲㈱㈳㘰愵ㄶ㐶攲㐳㉣㜴㜱㕦㍡㠷ㄳ摣㌴捣攲㘰㉥扢㌸㡥攰昷〴㤳愱㐳㈱㉥㜸㌰㕣㘶㔰㤴ㅦ晦づ捥搵㘶㌱ㅥ捦ㅥ晢㌸㘹捦愵㘸敥挳㉤㕦捦〱摢㜵㘹㤱㘹㤰㐰ㅣ㥢㌸散搹慡攸敥っ戹㥣愹㠵㐶㌰㉥㔱攸㐸㠷㕡㡣つ㐳㐴挲㐰ㄵ挷㤱㐳搴ㄸ㤶㥢㤴ㄵ愶づ㌷㜵愷ㄲ搱扥戴㌱㈴㠳㐹㔳搷攱愵㐶㌴挸つ戹捡っ戶愴㈷㡤㉤换㑣㜹摣㙣㍢㜴㈲〴㡦㤴㕡㔱㔲ㄲ㈷晦〰㍤㕣敥㐳戰ㄵㅤ㘴㔴ㄱ扦戰㕣㝦㥣慤扥㝡㈷慦〷㘶㝢㙣㈴挰换攳㙢㐶昱〷扥攳挶㤶㌴捣摥〸㌶晢㌸改扥㉡㙤ㅡ㌷扢慡挲搲昳㘱㐷㥢愷㑤搵㙣㍡㔱ㅣ〵愶㈳㍤挱㘸戴㝦㐸戸㉤摥ㄳ敤ぢㄹ敤挱㙥㈳㙡昷摡㠹㘴散㄰㠹㤷ㅣ愴㥡戱ㅡ挰㉦搶㌶㘴ㅢ㑥㔳敤晤扤㠳敥攸㍣㝡〴㈲㈵㠳㉥捡挰愲搰㙡㜷㉤㜰昶㍦扤扤ㄹ㐰愶愱搹捤㜹㌹挴㐳搷㔶㐰㘲㥦挶慤㥥捣づ愹戴㌸㠷㔸㝢愲㍤㠱摤敢㤰㠳㌴㍦㘲㤲づ㤹㜶㈵㘱昲晢晤〷㍢挴㤸㙤攱㝢戳攱㌳㕣攸昴慣㡢㐳つㅢ〷㜷㈲昳㌷㠹ㅣ㔳ㄱㄹ晤愵ㄳ攴㕣慢㥡㍤㤸㌹㜵攸㡣愴愳㐶㐵㔸昸㠲㤷戳㐹搰㥢㘵攱捥㕥㙣戸戴㔴㠵攷㈵㈳愱㘸㈴㙥㜰ㅡ㠲搳ㄴㅥ㥣戶ㅢ㙢戰敦扦㈴㤱㡡昰攸扥㉡摣㤹っ挶㔳敢戹慦搶搳㍦㌴㈷㈵挱昲㠵攷㐴攲㘸㐰愶㑥攲搵攱㡥摥挴㐶㥣晥昷挵攲昳㠲敢㔳㠷㐴愰㔰㥢慤换㙣㔵㕥攵昵慡㜲㙦昹挱㡥㔵戲つ挶〹㠱攷㔴㤴敢㈵戰挲㌵て搸〰㙤㤶㤱戲㑥㕥搸㘶㘹㔷捥ㄱ戹敢戶㙦收昵〹昶挳晡㐸㘴慡㍣ち㘰挱扣㘵㙤搹昳扡㝦改〵〷摦㝣㤴㍣挰㜰㈰㔵㈳㜳㌸㌰〲挲㐳捣敡㐲ㅡ㙢㡦㤶愸㌳㤵㕦〵〳㘱㤱㘱㙤挴〸㑡㜱愲慤搸戶慤㐴攳㐷昷㡢敤㙥昴扢㐳捣〴㈷㜵戱㘰㌴㘵昱㥡ㄳ戱㔸㤰搵㡢㔵戳〳㝤户㔱㉥㌳㙣昴㈶㍡っ㈰㜵搰㈲〵㌷㠱ㄴ摣㈴㈴っ挹㍣昰ㄳ㥣㘵㈵搶〴㤳㤱㜴㙦㉣搲㔳捥〴て攵づ㠹㝡㠹㉡㔴ち㘷摡㤷㔴㑥㑣㔷昳户搶捤摤㘰㠴扢ㅥ㉢〸扡㡥攱㐷敤昵捡㌸慥づ昲㌴〵搵㔷㜳㝥慢㡦〱昰㜹㘱〴扡㝥搳ㄴ挷㈴っㄴ改㠸搴〲ち攰搶挷〲ㄲ攱㕤摡づ㌰攰〶㜷ㄹ〴〲敤㠹㘰愸ㄵ攷戶㠹㘴㤹昵㐲㑥㌹㐲换㙥㈵㔹挳㐳㡤㘶㥣〸攲愴㜱〳收挲挹㜲ㄲ㍡㜰㕣㔰捡攳㄰扦ㄹ㐳㑥㌰㍤㍥㕦㐵戹㥢慥㌶扢慣戱搶收慦昳摤愳戶㠲昲㍦㌸㝢扡昴戶㠱〰愷ㄲ㝡ㄴ㥥㐳㡦收㌳㉤㐴㤲捦㤳㈷㔰㑢㠱攳〰㝣㡢挱捣㙦㈵㐵て〰㑡㈰散㡢昱㘰愲㍣挶挷挱㤴挳㡦攳ちㅣ㜰挰㈵晥㡡昲㐵攰敢攳㔱散换㉦扤挴㤵㉢昶戱〰㙣晤㝥攰㤶㠱㘳愸㝦㉣㠰㕡〹㘲㈳㙥晦㌸愶戰㉣㌹〱扦㠸㠳㉣㑢挶〳挷㠰愱㔶㠱搴㠴摢扥ㅣ戱挴㠴晡㐴㑢㙡㌵搸㥣㔴㌳㡡晢㥢愰㈹敥㘰㜳㤲收搱ㄳ㈰㥥㥤㈵搴㔹㠵㜵㠱挵㤹㐲挱㔸搶㝢挲㜷捥㌳搶捥戶挶㌲ㄵ㠴っ挷㌳㡦㙣㍡㡢敥扣晥㔳㜵㠳换㍥㔴㑦㐴搹慡〷ㄸ扢㈶㔸愹昹捣晡ㄴ㠰晤㔷㔵㙥㥡㐳搰愳㈷戱㄰㉢愱搶〰戱摤ぢ搴㜶㙦〳〴昴愹ㄴ散㜵ㄷ㤸㑣㠱㈹ㄴ㠸㐰㠰㜵㐰㑦㐵㉡ㄳ戶愸㈳㥢㈳㙣愷㌱摢㌴㘶敢㠳㐰㈳㙥晦㜴愶㄰戶ㄹ昸㠵㕤ㄲ戶搳㠱㌳㙣摣ㄲ㙦挲㙤㕦戹㘱㥢㘹㐹㙤〴晢㠰挳挶扤㜵㌳㙣㘷㈰㝢㌶㙣㘷㕡㠵昵㠳敦ㄶ戶㤲搵㕦㔹昵挲㥤㉦㘶挲㜶ㄱ攴捣戰ㅤぢ㡣㤶攷て㝢敡㘲㤰㈵㙣㡤㘰慡㑢㤰戲挳挶㘷搶㜳〰昶ㅦ㌶捥㝤㈰㠸㜳㕤ㄶ㘲㈵搴攵㐰㕣挲搶〲〱㍤㤷㠲㔷戸ぢ戴㔲㘰ㅥ〵慥㠴㠰㠴㙤㍥㔲㤹戰㕤敤挸㠶ㄶ㘹㔷㠷㌶㘶㕢挰㙣㌷㠲搸㠸摢㝦ㄶ㔳〸㕢㍢㝥㘱㤷㠴㙤㈱㜰㠶敤㈶㤰㥡㜰摢㔷㙥搸ㄶ㔹㔲摣捤㍦攰戰摤〲㘱㌳㙣㡢㤱㍤ㅢ戶戳慤挲㙥〵摦㉤㙣扢扥㜸㜵昷愷㈵扢㌳㘱扢つ㜲㘶搸挶〰愳攵〵㘱攳戹㠱㠴慤〳㑣㜵〷㔲㜶搸昸捣㝡ㄹ挰晥挳挶㠳〶〸攲㤰㠸㠵㔸〹㜵ㄷ㄰㤷戰慤㠰㠰㍥㠷㠲㍣㠵㜰ㄱ㌸㤷〲攷㔱㘰ぢ〴㈴㙣㉢㤱捡㠴㙤㥢㈳㥢愳戵慤㘲戶搵捣昶〰〴ㅡ㜱晢捦㘷ち㘱敢挲㉦散㤲戰㕤〰㥣㘱㝢㄰愴㈶摣昶㤵ㅢ戶愰㈵昵㄰搸〷ㅣ戶㠷㈱㙣㠶慤ㅢ搹戳㘱ぢ㔹㠵昱愸挲㉤㙣捦㌵敤摥㍡昵愱户㌲㘱摢づ㌹㌳㙣ㄳ㠰搱昲㠲戰㍤〲戲㠴㉤っ愶攲搱㠶ㅤ㌶㍥戳敥〵搸㝦搸ㅥ㌳换昶攸〸ぢ戱ㄲ敡㜱㈰㉥㔱㔹换㜲搷㔱㤰攷㈳㉥〲㔱ち挴㈸昰〴〴㈴㙣㜱愴㌲㘱攳愱㠸㥤捤ㄱ戶〴戳慤㘷戶㘷㈱搰㠸摢㝦㈱㔳〸㕢ㄲ扦戰㑢挲㤶〲捥戰㍤〷㔲ㄳ㙥晢捡つㅢ愷搳㤴攲〹挸〱㠷敤㜹〸㥢㘱敢㐳昶㙣搸㌶㕡㠵敤〰摦㉤㙣㐳摥扥敦㥥㉤挹て㌳㘱晢㈹攴捣戰㥤〲㡣㤶ㄷ㠴敤〵㤰㈵㙣晤㘰慡ㄷ㤱戲挳挶㘷搶ㄷ〱散㍦㙣㍣㥣㠱㈰づ㐴㔹㠸㤵㔰慦〰戱摤ぢㄴ㙥㤰戹捤㈵㄰搰晦㐶挱㥦扢ぢ㕣㑡㠱换㈸挰戳ㅣ〹摢攵㐸㘵挲挶攳ㅡ扢㕣㐷搸慥㘰戶㉢㤹敤㜵〸㌴攲昶㝦㤱㈹㠴敤㉡晣挲㉥〹摢搵挰ㄹ㄰ㅥ扤㌴攱戶慦摣戰㕤㘳㐹敤〴晢㠰挳昶㈶㠴捤戰㕤㡢散搹戰㕤㘷ㄵ昶ㄶ昸㙥㘱㍢慦愷攳㌷㔷㡦㝡㉦ㄳ戶㕤㤰㌳挳㌶ㄵㄸ㉤㉦〸摢㙥㤰㈵㙣搷㠳愹㜸ㅣ㘴㠷㡤捦慣扦っ戰晦戰扤㘳㤶敤搱㌷戲㄰㉢愱摥〵㘲扢ㄷ愸ㅤ戶㥢㔸敥捤ㄴ㝣捦㕤攰ㄶち摣㑡㠱昷㈱㈰㘱晢ち㔲㤹戰昱㈰挹㉥搷ㄱ戶摢㤸敤㜶㘶攳愱㑦㈳㙥晦ㅤ㑣㈱㙣晦㠱㕦㍢㙣㜷〲㘷搸㜸㈸搴㠴摢扥㜲挳昶㔵㑢㡡愷㐶〷ㅣ㌶㥥㉥㤹㘱扢ぢ搹戳㘱摢㘲ㄵ昶〹昸㙥㘱摢摡㌵攳挶摤㡦扥㤳〹摢㕥挸㤹㘱㥢〹㡣㤶ㄷ㠴㡤攷㔳ㄲ戶慤㘰慡㝤㐸搹㘱攳㌳敢慦〳散㍦㙣㡡㜹㤱㔵摦㙤㈱㑣㈸㥥㘸搹敥㐵摡づ摢㍤㈰敢㙦㔰戰搴㕤攰㕥ち摣㐷〱ㅦ㠰㠴敤㝥㈰㤹戰㤵㈳㘱㤷敢〸摢㌷㐱搶て〰昸㜸っ㜱㘰〷ㅦ㘵㌰慢挶㜱ㅡ挵㐵㝡敡戰昰搹㝤挱㈸㕥慥㕦㡣つ搱㌴㐹㠷挲㉡戸搴摣㤶捥㝦㘵㌸昷㥤㝢㥣改挸㈳慣㕣㕤㠵㈷换昷㐱慥慣昵㙣㈹㑡ㅥ摣戶㜵挰户ㅣ㐷㠳〷愶〵㈱昱㤴㙤攰摢㘸㕤㕤㥥㜲敡㉣挱ㅤ搰て㠱挱㔶㌴っ扦㤴搱てㄳ㕡㤷ㅡ敥㐶昵㡤〰㜵㠰摤愳扣ㅤ㕦㤶㌷㉣扢搶攵慥㐶㕤㤴㕦搹戸㉤㤲㜳㌷㤱扥㐵昵㠷扢搹愰㡥戴愹摢㉤㠴㡦攳攳ㅥ挱㝥户㈵㑡㈱㠹戳㉣㙣㔰㜴愴晢愳搸ㄴ㈲捡㌷戸㑣㡣慢㘰㤳つ愳ㄳ㐹㌴㤲搲晣㜷㌶㌳㜹㘷愳愸㡡攱㜹敦挸㑡㌶㜲戸晦攱㕢㠲㄰ㄵ捤て〱㐷㔴㤸㠷㤷晦㔱搰㠷㉦㡣昴㈴ㄳ愹㐴㌸㕤摢㠱捤捤㕡扥㌵ㅤ挶㌶㜷㤳㙦ㄱ㑡㜴搵挹〷㉢㡤昳㍢ㄴ〹㜴㘰㕤㍣戱㌱㉥搶昸㔲㝣㜹㥣摡㜴㔹ㄹ搵〴㜰换㌵〶㔱慦攱㕥〹㌳敢挷㠰㔴㤵搴㡣愲㈴慥㥡搱㌶㔲㙢㈳挷㔹㐸昵昱㐰㔸ち㝢㠰捦昵慡ㄹ㠳㤲ㄹ㑤晦㝦〲㌹慣㜹㑥㔷敥㈷㌷晥挷㐱慥〴㔹昶㕣㤶攲扤㙢晦㜷㐱ㄹ〲㡡㘳摦戲㘶慣㔵㡡㝥〲㠸㝣扥㈲ㅦ戲愸ㄳ㤰㘴〷ㄵ㔰慤昰㈳ㅢ㤰搹㄰㥥㈲つつ㠱ㅢㄴ昸昳攴㌶㠴ㄳ㕤愹摣㘷㘰㘳搰㑦㤳㕤攷㉡㈳㍢〴㉣敦ㄹ㡢㑤㜵敡ㄴ㈴㔸㔹㔵㈳っ㘰ㄵ〱ㄱ慦晦㠰挲㄰慢㌳㐱㘱㤸㜳挳挴㝤〲〹搳戳㐰㄰愶〶ㄱ㐷㤸㑥戵㤱挹㌶㌲挵㐲慡愷〲ㄹ㥣㌰㜱攷㠰捦愲ㄹ㈶捤愰㘸挶愱㘶㥡㑤摦㐱搲㐸㑡㡣〰㔰㌳㤰㌴ㅤ㝦ㅡ㥥㉣敢昸ㄷ㐱愷攳戹挵㠰扦㍣挷捦㜴愵㥥〱慡㌸晥㘵戲捦㜴㤵㘹戴愹慦㔸㠸㌸㝥づㄲ攲昸㐹㌰愲搰昱昵慥㡥㙦㐶㈶㜱晣慢㐰攰昸ㄶ晣昰慡㤹㙢㈳慤㌶㌲捦㐲慡攷〳ㄹㅣ挷㜳敤敦收㜸㙥〷〸晤㔷㐰攴敢㈶㝤㌴㡣㔴摣㄰㌰ㅤ㝦㐲㡥攳㝦ぢ㍡ㅤ扦㄰扦昸换㜳㍣㌷〵ち愹㡢㐱ㄲ挷扦㑥昶搹慥㌲ㅤ㌶㜵愷㠵㠸攳㤷㈱㈱㡥慦㜵㜵晣㈸㔷挷㉦㐷㈶㜱晣㉥㈰㜰晣ち晣昰慡攱摡㕣㤰㜳㙤㠴㡢㜱㕥搵㉢㠱っ㡥攳㔷愱㘴㌷挷慦戶改敦〰㤱敦挱昴㜱戰㐴㜵㈱㘹㍡㝥㘴㡥攳摦〷㥤㡥扦〰扦昸换㜳㝣搰㤵摡つ慡㌸晥て㘴㠷㕣㘵挲㌶昵㐳ぢㄱ挷昷㈲㈱㡥慦㜱㜵晣㄰㔷挷㜳戵㉤㡥晦〸〸ㅣ捦㤵㌵慦㥡㜵㌶挲愵戴㔰㘲ㄶ㔲捤㤵昴攰㌸㍥㠱㤲摤ㅣ捦㈵戹搰晦〶㐴扥㥤搳攳㘱㤳㑡㈲㘹㍡摥㥦攳昸㑦㐰愷攳㔳昸挵㕦㥥攳搳慥搴㍥㔰挵昱㝢挹摥攸㉡搳㙦㔳昷㔹㠸㌸晥㈲㈴挴昱ㅥ㔷挷㝦戶搷慤㡦扦ㄸ㤹挴昱㈵㕥㜱晣㈵㐸昳慡攱晡㔸㤰㑢㙤攴㌲ぢ愹扥ㅣ挸攰㌸晥ち㤴散收昸㉢㙤㝡ㄹ慣㤴㡦つ昵㐴ㄸ愷慥〲摤㜴晣㕦昱㜴搹㍥扥〲㘲㜴晣搵攰攳㉦捦昱搷戸㔲慦〵㔵ㅣ㕦㠵捣㡡㉢收挲㥣戲搶㘵㜹搵㤴〱㈲㡥攷㕡㔷ㅣ扦〷㐶ㄴ昶昱㝦㜴㜵晣㡤挸㈴㡥ㅦ㠶愲㔰攳戹扡攵㔵㜳戳㡤摣㘲㈳户㕡㐸昵㔷㠰っ㡥攳㙦㐳挹㙥㡥扦摤愶ㅦづ㉢攵昳㑣㍤ㄹ㐶㉡㉥㡣㑤挷晦㍥挷昱㐷㐳㡣㡥扦ㄳ㝣晣攵㌹㥥㡢攳㐲敡㕤㈰㠹攳㡦愵㔳户戸捡㙣戵愹愳㈹㠳㠲挵昱㕦〷㈶㡥㝦搳搵昱㙦戸㍡晥㙥㘴ㄲ挷㡦㐱㔱㜰晣㍤㉣づ㔷捤㌷㙣攴㕥ㅢ戹捦㐲慡敦〷㌲㌸㡥晦㈶㑡㜶㜳㍣ㄷ戶㐲ㅦて㉢攵㙢㔶㍤〳㐶慡㠷㐰挷㥦㐷㥦〴㍡〵㜸搷搸㡢㈸昵㉤㥢㥤愱㤰扤ㅤ㔴㜹攴㤳攵㤱㝤㡦㈱㍤戳昸㥢㠲㡥㘹㙤ㅤㄶ㔷㌹㕦㍣捥挵ㄷ㡣晤㈸挵㔳㠲㜳㐸㥦㑣㠹㑢扤愷ㅦ㕣㔹㕣扡㔶愲㈸摥扥㔷ㄱ慣㝦愱ㅣ晡㈴扢摥㘴㠹愳㜱敢㝡㤸慡㥥〰搳敤つ搸㥦㐱愵敢挷㉣㉦㕢㡣㠲㡦㔹㥥㐲㐹搴愴愷㌸扣慦㥥戶愹㌹㑥㝦〶㔴㜱晡㘹攲㜴昵㉣搲㜴扣晡㈹㑡攷搳㡡㠱搳㘹攰づ㤰摤っ㝣慥㤸㠱捦㕡㡣㠲て㑡㌸戹挵㥦㐷㥦改㌴昰㘵㥢㥡㘳攰㉢愰㡡㠱㡤愶㠱慦㈲㉤〶㍥攳㌴㜰づつ晣ㄵ㔸㙥〶㍥㔹捣挰敦㔹㡣㠲㡦㍡㝥㙢㥢㌲摦㘹攰敢㌶㌵挷挰㥤愰㡡㠱ぢ㑣〳㌹㈹ㄳ〳ㅦ㜷ㅡ搸㑥〳㌹ㄳ㜲㌳昰㤱㘲〶㙥户ㄸ〵ㅦ㔶㜰戲㠴㍦㡦㕥敡㌴㔰㘶㐱愴收ㄸ昸㈱〴挵挰㑥搳挰㡦㤰ㄶ〳ㅦ㜲ㅡ戸㥣〶㜲挶攰㘶攰㝤挵っ扣搷㘲ㄴ㝣摣昰〹㑡挲ㅦ扥愵㜲ㅡ戸搷愶收ㄸ戸て㔴㌱昰㝣搳㐰づ昲㘲攰搷㥤〶㕥㐰〳㌹戲扡ㄹ戸戹㤸㠱㜷㔹㡣㠲てっ㌸昸㡡㠱㘱㈰㜶ㄷ愵㘴㔴㉤昰㈰挷㔱㌱戰ㄷ㐸㔵㠹攲㘰㈸〶摥攱㌴㜰㉤愸㡡㈳㤰㥢㠱户ㄴ㌳昰㘶㡢㔱昰㤲㍦〷㈹㌱㜰㍤㤰㡣㠱㌲晡ㄴㄸ挸昱㐶っ㑣〲㠱㠱ㅣ㌴挴挰ㅢ㥣〶愶㐱㔵散愹摤っ扣戶㤸㠱搷㔸㡣晣ㄷ敤㙢搸户㡢搲㉦〰搱ㄷㄱ㕣っ㄰昰戱晦㍥愹㜸㘷㙢扥㄰㤴晤っ扦ㅡ㡦攳ぢ㜳慢愹㈲㙣㝥〵捦㉥㔷摥慢㡥㌶㜳戳愹ㄲ敦〶㈵昱㈱㝣㍢㕥㜷挳ㅢ㐱昸捦㍣慣扤て扣〶挷㜷㌴散户㑦戴愴㤸搹ㅦ㕥㥣挴敢㈸㘵攱戶ㄴ㕥慡ぢ㤵攳敢搲㌴晥㘳㠲昸愱戰㘵㡡㥤戳㔲㌸〸㤷昹捡㤰敢愶ㄵ㜷愳昲摦㔶㜱扣㌹㤸昵㠷晤昶愸㤷慦ㄴㅤ摣㠶愹晦ㄲ㤸㤳晤㈲㕡㜶挹㔲㕥㜵〵攲㉥扢㉤敦㥦㝡愴㙣挴攰戵㈵㡦扥ㄴ戲昲㌱愱㤲㘷挰㔱㤱扥㥣愴㌶ㄸ㉣挰攳攳㘸㤶晦㔰摣㍥㙣㘵㡥扣敦戸㉢㉡昸愴㥤㜷㍥搹戸㜷昲敡愶ㅡづ㔸㔲愵慥㘴㤹㕦㈴戸ち㈰愰㌸㍡戱㕡㘹摡敡㔵晤慥戶㕤㑢㠱ㄵ㈸㉦㙢摢㜵㈴㘵㙤㔳ㅣ挸㘸㕦㐶㈳㐷㈰搱㜸㍤㈵㙦㈰昸㌲㐰㐰㜱戸㜱㘸㕣敦慡昱㘶捡攷㙡扣㤵㈴㠷㐶㡥㑣㌹ㅡ㌹愴㠸挶摢㈸㜹㍢挱ㅤ〰〱挵昱挳愱㜱㡤慢挶慦㔲㍥㔷攳㘶㤲ㅣㅡ摢㤱捥搱挸㌱㐲㌴㝥㡤㤲㕢〹戶〱〴ㄴ〷〴㠷挶昳㕤㌵摥㐳昹㕣㡤昷㤲攴搰挸戱㈳㐷㈳㍢㝤搱㜸㍦㈵扦㐹昰〰㐰㐰戱㠷㜷㘸㕣收慡昱㘱捡攷㙡晣㌶㐹づ㡤ㅣっ㜲㌴戲ㄷㄷ㡤㡦㔰昲㔱㠲敦〰〴ㄴ扢㙣㠷挶㜶㔷㡤㡦㔳㍥㔷攳ㄳ㈴㌹㌴戲㜷捦搱挸㙥㔹㌴㝥㡦㤲㑦ㄲ㍣〵㄰㔰散㠳ㅤㅡ㥢㕤㌵晥㠰昲戹ㅡ㝦㐸㤲㐳㈳扢㙢愷㐶挵㝥㔶㝡昵㌳㔱㈴攷㘶晣㈶慢摣敢㔷散㝢㠵㌱换㘲捣ㄲ㠶㔲散㡦㠵㜱㠶挵㘰㙢搳㍦〶搵挷㠶㝣挰㍤っ挷愱㠳㍣慤㜸ㅥ㝡ㄴ扢〸ㄹ换㜶〰挱㥦摣㡡㡤㕣慣㥢㥥昷㍣㙣昸挲㤸㤶昷㍣散っ㠴㜱㥡昳㜹㕥〴㔵戱昱㑢攷昴ㄲ㔳㙣昷愲昰㘵㈰昸㌳ㄵ㕥て㑣戲㥦㥡愷㤰敤㕥ㄸつ㜹ち扦㙣㌳㈶㌹ㄵ晥〲㔴挵戶㉦ち晦㠷㈹㌶㝢㔱昸㉡㄰晣㤹ち搹挴愵摣㤳昳ㄴ戲搹ぢ愳㉥㑦㈱扢〲㘱㥣攴㔴昸㉢㔰ㄵ㥢扥㈸晣㕦愶搸敡㐵攱慦㠱攰捦㔴挸ㄶ㉥搹㑦挸㔳戸搵㘶㡣换㔳戸捤㘶㡣㜵㉡㝣ㅤ㔴挵㤶㉦ち摦㘰㡡㡤㕥ㄴ敥〴㠲㍦㔳㈱ㅢ戸㈸慣捤㔳挸㐶㉦㡣搱㜹ち搹ㄱ〸㘳㤴㔳攱㉥㔰搵挳〰愲㜰㌷㔳摦㈶㠰ㅥ晤㍢㈰昸㌳ㄵ戲㝤㑢昶愳昲ㄴ戲捤ぢ攳挸㍣㠵散〷㠴㜱㠴㔳攱扢愰㉡戶㝢㔱昸ㅥ㔳㙣昲愲昰㝤㈰昸㌳ㄵ戲㜹㑢昶攱㜹ち搹攴㠵㌱㉣㑦㈱扢〱㘱っ㜵㉡晣㄰㔴挵㘶㉦ち昷㌰昵㐳〲㍥攱㥦㠰攰㑦敥㙡㌶㑦昶っ摥㑤慡攷㠲搰〵ㄷ㝣㕣㕤㕡㝢㔴改㌹㡤㤵㜷扥昹挲摢户扣戶㙡搶㍢㥦㙥摥晣摡敥㕢㕥晡昴晢摤戳㜶摣㝤昷㜳ぢ戶扥昴昶搰昰㌶敦㜷㍦㙥摦㜶㜱挳扡㡢㉦っ㉦㍢㘹摥挵攷慥㍤扢㘱挹㘱㜵㈵㈵㘵㘵攳㠷晤攴㠸ㄳ㙢㉥扢昰扦搴㝦晦晡昰戸㤲㈶㐹戵㝦愶㑥㕣散挶㙡搸㌴愵㍦晢〸㠸晥㍦㠰㉡㙦㌵㥢搶愰摡㈲慤ㄵ敡昵㕦愰㠹㤷搸挲㔶㉢戶晣ㄵ㠸晥ㅢ〰㙣㘱慢ㅢ㔴㕢愴㈱挳〴晤㌱㌴昱ㄲ㕢搸愰挵㤶扦〳搱晦〰㠰㉤㙣㤰㠳㙡㡢戴㜱㤸愰㍦㠱㈶㕥㘲ぢ摢扡搸昲㈹㄰扤ㄷ〰戶戰慤づ慡㉤搲晣㘱㠲晥っ㥡㜸㠹㉤散〶挴㤶㝤㐰㌴㔷㈸戰㠵捤㜸㔰㙤㤱㥥〱㈶㘸挵㈵ㄱ㉥戱㠵㍤㠴搸攲〵㔵攳㜵㜳摡挲ㄶ㍥愸戶㐸愷〱ㄳ㜴愹搳ㄶ㜶ㅥ㘲ぢ晦昳㐵敤㌷㙤㘱攳ㅦ㔴㕢愴㍦愱㉤㘵㑥㕢搸慦㠸㉤攵戴㠵晦ㄹ㘷㤵户㠶慤㥥挴慡㔲挵愶㉥㍤搵㕦㍦㌵㘷ㄴ㜳㐰㉦挷ㅢ㘰㙣晥挲昸㡢挵攰ㄷ㑡扡ㄲ〵搴戰愱㕡搹搹㍡㐵敡愳扣散㙣戱挲昸戳㌳㝢㌵戳戳㙤㔹搹搹愰㐴㙡㑦㕥㜶㌶㌲㘱㝣攸捣㍥㤴搹搹ㅣ慣散㙣〳㈲昵㠷扣散㙣ㄷ挲昸挰㤹㝤〴戳戳〶㕢搹㔹㙤㐵敡扤扣散慣捡挲㜸搷㤹晤〸㘶㘷愵戳戲戳愶㠹搴㍢㜹搹㔹晢㠴昱㝢㘷昶愳㤹㥤昵挴捡捥捡㈱㔲扢昳戲戳挲〸㘳㤷㌳晢㈸㘶㘷㘸慤散㡣愷㐸扤㤵㤷㥤㌱ㄶ挶㥢捥散挷㠱慡ㄸ㍤ㄹ㝢㡥㘷㡡挱㤰搴ㄸ愶攸㕢㐹㡤㘵㡡慥㤲搴㌸愶昸攴㤲㍡㠱㈹㍥㠸愴挶㌳㐵扢㈴㜵㈲㔳㔴㈳愹〹㑣㠹ㅡ㔶ㅢ㝢戳〷戸㐷㠹扡〲慡愸㉤愰㡡晡〲慡㤸㔱㐰ㄵ㜳ち愸㘲㔶〱㔵捣换愷㔶晣㍦㔹戲ㅡ㜲</t>
  </si>
  <si>
    <t>㜸〱捤㕡㝤㙣ㅣ挷㜵扦戹扢㕤摥ㅥ扦捥㤶攴搸戱ㅤ㥦㘲搹戱㑢㡡㈶㘵㔱戶愳愸㌴㜹ㄴ㈹搹搴㐷㐴捡敡㤷㝢㔸摥捤㤲ㅢ敥〷戳扢㐷㤱㑥ㄳ㍢戵㥢愰㑤摡挶戱㤳戸㠱敢挴㐹ぢㄴ㘹㥡〴慤㤱㈰㐵㕢昴挳攸ㅦ㠵㤳㍦ち㈳㐰㤰㈲㔵㡤愰攸㐷㥡㉡㑤搲戴㠰〱昷昷㥢摤㈳敦昶㡥ㄲ㉤慢㠰㐷扡户㙦㘶摥扥㤹昷收捤㥢㌷㙦㤹ㄱ㤹㑣收㌵ㄴ㍥㔹昲㐴㙥㥡摦〸㈳改㡥㔴㝣挷㤱戵挸昶扤㜰㘴㌲〸捣㡤㌹㍢㡣㜲㈰搰慢㌶晡㐳慤ㅡ摡㡦挸㐲㜵㑤〶㈱㠸戴㑣愶㔰㌰戲攴㤲晣㑡捤㡡挱户っ㌶ㅢ愰捡ㄸ㍡㐰㕦て挰㐲㘵敡搴攲㝢㌰挸㝣攴〷㜲戸晣㔰捣敡挸搸搸〸晥ㅤ㍣㜸敦挸攸㜰戹搲㜰愲㐶㈰㡦㜸戲ㄱ〵愶㌳㕣㍥摤㔸㜴散摡㠳㜲㘳挱㕦㤱摥ㄱ戹㌸㝡昷愲㜹昰摥戱㠳攳攳搶㝤昷摤慢㜱戴〳搳戲㘶㜳㕡㔲〶戶户㌴㔲㤹挲晦㤶戱㔰扢〷ㄲ〶㠱㜴㑣㡡㜸㐶㕡〶㕥扢挱㥤っ挳㠶扢捡愶戱㜳㝥戰ㄲ㉥㑢ㄹ捤㌶散㝡愹戵㠷つ慤愴〷戶㈵㍤㐰搲㍥户攲㑢换戲㙢戶昴愲㍤㐹〵昳㐳つ攳㐲收〵㝦挰㍤扡㕥㤳㑥㐵㍡づ㥡挲㝥昷㙣㈸捦㤸摥㤲㍣㘹扡㔲㜳挹㈵㠷㤲挹收㌳戹摥㘴㠱搸戸ㄳ㕣ㅦ摢㠹㌲摡挶攷攲㠸㔶摥㙣挸晦て㑣愵戵戱ㄷ㡤搹慡㤹慤㉥㘶慢戵㙣戵㥥慤捡㙣搵捡㔶㤷戲搵攵㙣搵捥㔶摦㤳慤慥㠰愶㔹ち㍤㍤搹愴㝣敦愳㍤捦晣昱ㅦ㍥㝥敡搹㈷扦昳攲摥㤷慦㝦㑡晣ㄴ扣挹晦愹挳て㝥敤搰㘳挳㤵ㄷ㥣捡户慦昹捣㑢敦ㄷ晦㥤㜴㜴扣昱㤳愴攳ㄳ搵敦㍥昲搸搷㝦昰挰㈷愷㌲晢ㅥ㍥晣攴ぢ昱㘸ㄷ㈶㡡㐶ㅦ㔱昱愳㠴敥㠵愷㝢㙦晡㡢摢扥㜲散㤹㍤㔳慦㡣ㅦ㝤㜵戱㙦〰扤㈷㉢㔳愷〳㈸晣㉡搹㕥摦㈰㜹㥥㠲戵㥤㤴搱搵攲㔹〲㑦戰㥣昶㕤搳昶慥ㄲ㔳㡤扢㜱㝣㈷㜶戱戵㈱ㄲ攳㉣攰㑤挳㥤づ愳搳㘶攰㠶㝤㉥昵㈷〳改搵㘴㤸戲攲㠲晢㤰ㄹ搰㠰昳㐴〶摤㜸晦ㅤ慦挳敥敤㘸愳㥢㡤㡢㝣ㅥ晦㌳戹㜷㜴㥢㤹㕡愸㤱挹搰慤㉣㥢㐱愴㙡㕣挲㉢戳敥㜲㙡〴慥搹扣敤㍥㈸〳㑦㍡ㅣ㠴㉢㌹㤴㈲㔲㕥㈴㕥㠷㑤㜷搲ㄴ㠷慢搴戱㘵昴㙢搰㝡晢㐲㘰㘳㉢㌷ㅣ㌳ㄸ㍥㘱㝢㐷㐶㐷挶㠷攷散ㄵ改搸㌲㡣㡥㡣つ㥦㌰搷㡦㡣㡤摣㙤㕣ぢ㕡㘳ㄷ㠰扥ㅢ攰㘷捦搹㡥〳搷攵挹㌰摣ㅦ昹晢㔷捤㡤㌲攸㙤搷㡣㘴㔸㌶昱扦扣㉡㠳ㅡ㜴㘹㉥挹戲㙦㤵ㄷ捤㔰㙥㔱ㄸ㝢挸敤㍡〰㈱晥㌵搹〱ㅤ㝢㡢摥㤸㠶愰㕦て戰昷愴ㅦ戸昰慦㈷愴挹㌹㡥ㅤㅡ㍤㌸㍣ㅦ搵愷攵ㅡ㙡愳慣ㅡ㌷㠰捣㜸㉢㕦戸ㄱ攰晥㌹摦㕢㉡〷つ慦散㥡挱㤲敤㤹㑥戹收㠷ㄱ攷戲㈴㍤ㄹ㈸挷㍡㕣㤶敢㌵愷㔱㠷㈴㘵挷て㐳捣晤㡥戳昳晢敥㕡㌹户㝣愷㜱ㄳ昹摤っ㈰挴㉢摢散㘶挱挳㐲捤昱ㄶ㈰㙦㙢㥦攳㠱晢㐶敦㘹㥤愳㔱〶㡤戱ㄷ㐰㝦㍢挰搴挹㠶扢㈸〳㑥挸昶散挸㔶ㄳ昴扣攴㔰敢愶㐳戹㕥㌶扤愸㔵㡤户㤲攳㍥〰㈱扥㤳㑣昱户㥥摥昳敦ㅦ昸昶慢昷㝦攴㤶〷㕦㥤ㅤ捦㍦慣搱捦扣㝥㉢攴改㘸㈸捦㡥愳㉣搴摣ㄹ㍦〸㜳戹㙥愷敦㌱㌳㕣㡥捣㐵㐷㕥戲㤳㉥摡戸㥤攰ㅤ〰㝤㜷〰扣㍢㌹㈹愶〳昳㍣ㄶ㘰换㜷ㅣㄸ挱㤲敥攴㜰挵搹㙡㡤㕢昷㔸㘳㘳昵昱㔱昳㙥㔳愳㤱敥㜴㜷㜲㑢昴㔹攷㙣慦敥㥦㔷摢昵愶㈹搸攸搶敥ㅤ㑡晡愶晣㠶㔷て㙦散摥㌹ㅦ挱攰摦㥡敥摢㘲搲昱摡㍣㑥㝣ㄹ慡昱摥㤶㝥敤㈱搳㘹挸挹㜵㍢敥扥㌹搵つ㔷收㉦㙥摦㍢ㄳ挸昷㙥昶㜶捣㘸ㄲ愱搲㥡攲摤㈱㘵摣ㄵ捦慢㕣㔹昶㐳改愹改つ戹愷敤摡㡡っ收㈵〳㉤㔹㔷愲敥㘱㔷攲㑦㠷㑥㜹㄰ㄴ㔱㐰晤敤慤慤搶搱昵㐸㝡㜵㔹挷㝣攱〳愲㡤〵ㅡ挷㜵㙤㈴昱㤸攸戸愱慤㜹挶慦㌵挲㡡敦㐵㠱敦戴昷㑣搶搷㑣昸昰晡〹扦㉥攱㠲昳㉣ㄹ㤱挹攵㠴挸晣㑣㌷㍦㐸扥攱㠸㕡㠸㤶㈵愶㐷扥扥摤散㐶捥㐰㍡㐸攱㐸摡㘴㜶摦㘵㤸㈹扥㘴㜳攷昶㠴㉤㌲㌱㉡㈵昵ㅤ摢㔳慢㌹㙥慥摣晦㉦㜱㌶扢㉢㤱晥攸ㅡ㝣昳㌱搳慢㍢㌲攸戶㜱㌷㘳㙡挱ㄹㄹ㜷〲㘸摦㠲㡢搹㔶㝢昴㠲㘲㕤㙣㘸攷敤㝡戴慣㉦㑢㝢㘹㌹㐲ㅢ攲敥㐲㠱慡敤㈸挶㄰㥡㡣㘱㠲晤〰挵㘲㐶ㅦ㈱㤱㕥㌴敥㡡敢㠲攷つ晤㤷㌱㑡㌰〶愰昱攴搸搱昱㤸㘷ㄴ搰敦㑥㑢换㐴㡣慥昶㤶㌰㌵㌷づ㔹愷㘵㔸㌳㜸敥ㅦ㠷愵慥敢挰戰昵ㄸ〹挳扦慥㐷搳㘶㘴昶戸㠸㈰愰㈳〳㐴㐳敡慤ㄸ攳㥢晤慡慤昹㜶㌱愹㠱㐳㐹愱㉤㕣㝡㔵㐳捣〹㘶ぢ㙢捤攴ㄲ㜸㘹㈱㌰㜷㥥昱㝡摡捣摡㈳〱〴攱昵㔹改㉤㙣慣捡㤰攴〵扤摢㕡㙥㝡攸戴㜱㤳搹愹摡攲搹挸㜶挲ㄱ捣㜴㌶昰ㅢ慢㔷㤳て㜹ㄹ〷〰㥡㐵晢〶㙣㘸攷㌲昱挶搷戳挶戵愹㔶㌳〵㜲㘳㡢挱〸挴愰慤㠰搹㙢㜸愸㘲ㅣ挲愳㜸愹㍥㡤〱挷敢㠹㥡ㄸ㠱昴戹搰搰㐲㈰搵㕤愷愰㉡搰㜶扦换㑢搵愲敦慦搰㥥〶㔴㙤昳㌶搶㥢挴㤲扣〲〹㈱㜲摢摥㠹㜸〴改敦〴攸㥦㜴㥣㜲㤳㘳愸ㅦ㐶㔳づ㔱㥥晥㉥㈰搷㉤晣挲攴晥㠵改晤㐷捦㥣搹㍦㝡摦㠱昱戱㝢㐶搶㥤搰ㄵ㝦〳搹㜹㈷改戸㝡晣㜵搲搱ㄱ㔰㌱㐰㔲㘱摣〴㄰昱㤷㈰攳㡥〶摥㕥㡣㐹搴㡤㈹㠲ち〰昶愵搲㌵戶攵搱戸㉡ㄸ㘴愹㙤㌹㐳愲㔹〰挱㘰㐹〵㜵挷㠰㌴㡢昸ㅡ昸㜳挵搵慡㌱㉡敢㕣戵㌹戴ㄶ㡤㑢昴〹㠶㘰㕣㌹㠳㥡㌲愸ㅢ㠳㝡ㄱ㝦〴挶㕤ㄵ昰挵愴㈳㝤昷ㄲ㘵扣愶ㄴ㜰㤶敦㝦〱㘴摤ㄵ㜰づ摤挶捦ㄱ晣㍣㐰㡢〲㝥㌱慥㡡扤㜸㉡〵晣ㄲ㠹ㅥ〶㄰っ挵㤴〲㝥ㄹ㐸戳㠸攷㌱挶愶〲ㄸ昵㜵㉡㘰ㄱ慤㐵攳ㄲ㝤㠲〱㕥㌷〵㝣㙡㍢〵㝣㌲改㐸挷㠲㜹〶㘰㤷昴㄰っ搳㡡㜳扥㔹㥦㌱㙢挸㝡昴㈴㌹㡦㐲挵㜷㔷攱づ㠳ㄲ㝤㐹〵㠷㌰づ昷㌵扢㉥㠳〲ㅢ收㤱㙡挹㌳㑥搴㤵ㅦつ㘱扤戹㡣愶昵ㄶ扡㡤㜵扣挹㙢㕦㜲ㄴ戵愶㜲㡥㜷昰晦晥扢敦愵戹㘲ㄵ㜸愱㌷㜸㘳㌷ㅣ〰挱㌸㤲昲愴〸㕣ㄲ㜸〰ㅡ捦慣搷ㄱㅢ㈸昶搶㐳戶㍣㑦㜷㍡㘰㈱挷㔱㘹㠴㤱慦㝣㝦扦㌵敤㥦昴愳㘹㍢㕣㜵捣㡤㕤㔶㠲㥣㕢㤶ㅥ攲愲〰攱㔱慡捤㕦㕤㤵㜵挳㥡昷ㅢ戸〵ㅤ㥦㝥㌳挴㑤㔰〷搴愶㐲愶㉣摣㤲戸戲㔰〰㔷つ㠱挵㐰挹㘸㍣挰搳㘷㡡扡㠵戶㐴㕦ち愵愳ㅢ摣搲攸㠲ㅤ㌹戲搷㔲㤱㡦挲ぢㄶ戴㠸㘰戳摥㘳㉤㉣挳搷㑥昷㕢戳㠱㕤挷つ㔳㜲㌱㜶挷愴㜳ㄲ㌷户晡㘹㍦挴㙤挹昷晡慤㠵挰昴㐲㥡愵㔷摢戸戶慤愶捣㔰戳愶㙣㉦挴㌰㙡ㄵ㠹て㕡昳换晥㜹搸㕢挳昵㘶捤搵昰㑤戱㉡昴㡤㜱㔱㑢㈳戲㈲㥢ㄵ㠵㙣攱㑡搷㐷昷挱敤㉤㕢户晡㌲㙣㌵ち散挵〶㤵愶〶攲㠱㥣㔷愷㜲扣㡣挳愸愷捦攴㤶㘵㑣㠵戳㥣㙦㕢㕥愵敢慤㜰㌳㝥ㅣ〰戹戱捡㜷摥ぢ昰挰散搹攳㕢ㄷ扤㌷㤶㐹㘵搰戸攳戸㥡慥㜹㈰㌶㈳挶摡戴㉡散㑥㔸〳㙢㘹搳㉣㕡㡡㠶㔶㍡戰㠵捥㈰㌸散戳收捣㐵改攰㌶㡣㑣挷㐰㕣㘱㘸㡦搴㐴㤸昴挱扤戹㈶捤㡥㜹愰昹㥡改挸㠲㌵搹㠸㝣㈴㔷っぢ㐰搹㘶搲㘴慥愳挹㕣㔷㑤㝤搶ㄹ摥㌴㘳てち㕥晥㤲ㄹ搸搱戲㙢搷ち慣昰㌶昸愶戰㔷昸㄰挶晡捤搲昴㈷改㜰㌶づ㉡戱摣㈳戸㝦㔱㜵㕣㝥㔸㜵㔶攸昸㈷慥昰㈲〲敦愳㑥㔰〳㘷㑣㐶换〲搰ㅤ愹㜲戱昹愱攰攲愳㘸㔱㤶㉤敥㈲〱㝥〶㙦㈲㐴搴㡦㤷㠹㉥㈷㐷㠳㠴㙢㈴攲㐵愳ぢ挱㜹ㄲ慣〳㘸摣㍣㘹㠱摢㈳㜳挴敦㑣搹攷㔵㠲㤱㜷㠶〲攲㙢㜵搹搰搴ち昷戶㕣ㄲ昴昸㝥㔰㘸㘶㉤昵㜹㤸㡥慣ㄷ㘳挷挵换〸㘵捣㈲扢㥥㉤攸改昴㐶挷戰㘰收捥㑢㜵㝢㄰㡣㤸昵つ㠰ㄹ㕡㈰昸㔷摦㘰摥㉥ㅤ㜴ㄷ㡢挶晢挰㍥㔳ㄴ㠷〰㥢㍡攳㔱㥡㥣搷扦〲搴㜸㍦㠰攰㈹捥㈳戹攵〰ㄱ㤳愸昲㄰挹攸ㅦ〰搸ㄵ攷捦㉥敢戰挴ㄴ㠸改戴㡣㐷〱〴㠳㔴晡㠲㑤摢昸㈰昰换摢〶㠳㔹㥡㠳昱慢〹挲㡡㤸〱㘸㡡〱戴㈹挶攳㐰㡤㈷〰〴愳摤㉥〴扦㐶㠲て㤱㠰〱㌰敤㐳晦㌰挰戱愶摥摦㜰㌶戲㡢收㝦ㅤ〳㐰昳㜳㠰捤ㄹ㕤挳㤶㌸㔲晡つ愰挶㐷〰〴愳摤戴收ㄹ攲挶㥡晦㈸戰ㅤ㙢㥥㐱戱搲晣㙦〲ㄱ㡣㡥摢㌴晦摢㘸戸扣收ㄹ㐵㉢捤㝦㉣㐱㤴收ㄹ㑡㌷挵〰摡ㄴ攳㐹愰挶挷〱〴挳散㉥〴㑦㤱攰㘹ㄲ㌰昲㔶㥡晦〴㤰〷㥡㥡扦ち㘹搶㉥扡晦ㄴ㠶㠰敥ㄷ〱㥢㜳攲㐹㤷攸晥ㄹ愰挶敦〰㤴㔶〰㔸㑡㑥晣捣㤴摣㈶攲㈵㠸攰改愸昴昱改〴挹攱愹搱挳愵㝤㑣㠷㔳愵㈷㉥㕡㜴慦昳搱㠶㠳㈳㡤㈸㝤㑥㡣㌱㌰㡦扢ㄱ昴昸〱扥愰收搳〹㥣捤㜷㤹愳改摤㥤㑡㡥愹搷搸㐳敦慤㐹摣㉢戶㝤㥦ㄲ㙣摤搵昹づ㡢晥㉣挰敥ㄳ㜶㉤昰㐳摦㡡捡昳〸搹捡㑣㌶㕡㤹捣攸愴㔶〳挷慥㘳㔲戰扣挷捦㡢㙢扣晥ㄷ㔷㍣晦扣愷㘶愳㠵捣戹㉡㝤昵昴㜰㤸㈲㝥慡摣ち㉤㤶攸改昹戲昱ㅣ㐰㝦慥㐴慦捥㔲愲㘷㘷㈹搱㡤戳㤴攸捡㔹㌴扡戰㥤晡㔵昲ㄶ㡢愲㈶敡㐲收㝢㝡挴㙤愹捣㕥㠷㍦摥㑣捥攸㍡摤戱㘶㐲攴㥤扤搴慥㔱扥捣〳捦昸㉣挱昳〰挵ㄲ扤㉢㡤㐵晦ㅣ挰㌵㤵愹㙡晢㐷㉣晤昳㘸敥㐳戳㍡㜲捥㈰㈳慡晦ㅥ㕡〶搰搲ㄲ搴㤵攸㥥挹挵昸㝤㠲㕤〴搷〲〸攵㕤㔹晢〳搶昰㈳㤱昸㈰〰㙤㔳㥣㠳㈰戴〸攰ㄹ㠳换捣ㄵㄵ㘷搱挲㔵㙤㕦ㄵ晡㔸戵㉡㕦〴㠲㔵㜹㥣搴㈸愵㈷攲㘷愶㐴〷捡㔲晡㔰晣捣〸扡㌷慥㡣㤸〷㍢㙡㑤捤昱㑢㘸㌱扥っ㔰㉣搱挳愹㌶㑡㙦㝣㥥㠰攲㤵攸昴㔴晢㥦戰㠹挹ち昵㙤㐸㈸㥦挵摡㔷〱㌶攵愱捦㔲昲ㅣ挷㄰㥤昲捣愲戵㔳ㅥ㝡㉥㈵捦㥦〲㠱㍣昴㔲㉣㈵㝡㉡㤶搲㔳昱㌳㔳愲㙢㘲ㄱ㜴ㄹ㑡㥥愳慤昲晣ㄹ㕡㡤㍦〷㈸㤶攸㌵扡挹㐳㐷愲摡晦㡡戴㝢〹捡〰㈵扡ぢ㌵㠹ㄷ㠱昴攷㌴㕡晣攱㤴㌹㜶㡦攳㠷搲㌹晡愳挸戹㙦搰扡㜲戸挶挷ㄱ㑡㍥晢捥㉢攳愵慥捦㘰㐵㝦愸ㅤ㠶慣㙦㠰て㔷㘹换愹㤰攳㉤昸ㄹ㝦ぢ㌰昸㔹〰㍤昹攱搱㉣ㄷ㈷ㄲ散晥昸㔹㐸㥥愵攴戹晢晥挱攷搱愳摥㝣㔸散晤昸愴㜶攱搱捦晣昰ぢ㠷㙦晢摤㉦扦㤶㍣㘹昸㈸ㄷㄲ㑥ㄷ㈷扥昱ㄲ换㡦㈷〴㜷挸㜵昸愵㜳㔱㠷㈰㘶搷㕣搴㜸搲㤱㑥挶㤵戸愷搴攲扤〴愴㍦㈷戸㌱戸㠰攲㙥扣㐱慤㈹㐱扦㠹㤶㐱㥡扣㠶ㅦ愷摣㔲戶ㄷ㜴㤰晢㐳扤戱㥤㠰捦㝥敥搶慦扦晡攱ㄷ㈷扥㜲攳㔷昷晦㥤昳戱〹挱慤搲㑤戰㤱敤〴摢㥦㜴愴㤳㙣㈵㙥㉥㈵搸换㐰㈰ㄸ㜷㠸ㄲ㙣愸㔵戰㙦愱㜵㤰戶晦晡〴攳㐶戹愴㘰晦昱摣扢㠶㕦晥昴摦㑦扣㙦昷㤷㘶晦改㤱㈷㈶〴昷㑣㌷挱㙥摦㑥戰摢㤲㡥㜴昲㑣攳㉥扢㕣㍥愹攵昳ㅥ晤戵㘶昱㉣敥戵攲㘶㙥っ㥣挶昸㜲慥づ戲㍥㕣晤〲㝣㘰㥢㐳㤶〳㤷㐷㝣摦㑦扣㌷戲ㅦっ晡㥢㈹㌶㐳搵昸戲㙥㥤ち㤰㜳敢戱㡥㠷挸㑥搵ぢ昸㐴ㄱ㐵昸㥢㠰㌷挳扤㄰愱㐵㥥づ〴㉥㠴ㅦ攵戲㕤㑦㜵ㅥ搷㤷戸戲㙦改愳昹摤㉣换ㅢ攳㤵㈵慡昴㝦挰㘰慤㜹㤰㝡㑢ㅥ㈴㉦㙥挵㌲挷㝥晤戱捣㙢㥣㌶㑦㔷攳扢㜸攸晦〸挰昴扢㍡㈳〰㡡挶〵戴挴昷捥ㄱ㘰ㄹ㡤晥㈷㉤㈰㘳慤ㄹ㙡㈰昵〵慣户㤷㔲㌷㡢攰㜶愷㈵改慦〰㌴攳敥昶愹摤摣㜵㙡摦〳扤挱愹㙤㑤敢㥦搹挴ㄹ㈹㤰ㄱ摦〴捡愹㌵㡢攰ㄶ㔴㠳晤ぢ㤰敥㠳扤愵敢㘰晦〶晡搴㘰摦㘷㔳换㘰摣挱慤㠳㘹搴摤㡥ㄷ㤷㡥㝤ㄷ戶㐱昲㐷㝣捣㙥っ㌹晣ㄳ扥㙥㈹攳昶㘴搲て昰慡戸㐰㠰㥦昱㥦〹挲㡡愰㡥㌸つ攳㈲㙢㔴㡦愲昹㘱㠲㈸ㅡ㡡愶㘸晥㡢慤㤴㑡搱晣愸㤵㐶つ㠱〶攳挷〰捤㔲攲㔰㜹晣㡣㥦〰挰戳愹㐱㔸㙦愳攲㘰㡡敡愷㌱㤵ㅡ愶㠳㡡挳㈹慡晦㔵㔴愵㈶ぢ㐱摥捦攱㈷㜴㉣っ捦㠱㈹㔴ち㈲㈳挸㑥㜵㘸愹づ㜲㔰ㅤ昹昶㡥摥晦〳㌹户㥡晦</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</si>
</sst>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0.0_ ;[Red]\-#,##0.0\ "/>
    <numFmt numFmtId="168" formatCode="0.0%"/>
    <numFmt numFmtId="169" formatCode="0.0"/>
    <numFmt numFmtId="170" formatCode="0.000"/>
    <numFmt numFmtId="171" formatCode="_(* #,##0_);_(* \(#,##0\);_(* &quot;-&quot;??_);_(@_)"/>
    <numFmt numFmtId="172" formatCode="#,##0.000"/>
    <numFmt numFmtId="173" formatCode="_-* #,##0_-;\-* #,##0_-;_-* &quot;-&quot;??_-;_-@_-"/>
    <numFmt numFmtId="174" formatCode="_(* #,##0.0_);_(* \(#,##0.0\);_(* &quot;-&quot;??_);_(@_)"/>
    <numFmt numFmtId="175" formatCode="_-* #,##0.000_-;\-* #,##0.000_-;_-* &quot;-&quot;??_-;_-@_-"/>
    <numFmt numFmtId="176" formatCode="#,##0_ ;[Red]\-#,##0\ "/>
    <numFmt numFmtId="177" formatCode="#,##0.00_ ;\-#,##0.00\ "/>
    <numFmt numFmtId="178" formatCode="#,##0_ ;\-#,##0\ "/>
    <numFmt numFmtId="179" formatCode="_(&quot;$&quot;* #,##0_);_(&quot;$&quot;* \(#,##0\);_(&quot;$&quot;* &quot;-&quot;??_);_(@_)"/>
    <numFmt numFmtId="180" formatCode="&quot;$&quot;#,##0.00"/>
    <numFmt numFmtId="181" formatCode="&quot;$&quot;#,##0.0"/>
    <numFmt numFmtId="182" formatCode="&quot;$&quot;#,##0"/>
    <numFmt numFmtId="183" formatCode="_(* #,##0.0000_);_(* \(#,##0.0000\);_(* &quot;-&quot;??_);_(@_)"/>
    <numFmt numFmtId="184" formatCode="0.0000"/>
    <numFmt numFmtId="185" formatCode="_([$$-409]* #,##0.00_);_([$$-409]* \(#,##0.00\);_([$$-409]* &quot;-&quot;??_);_(@_)"/>
    <numFmt numFmtId="186" formatCode="_-* #,##0.0_-;\-* #,##0.0_-;_-* &quot;-&quot;??_-;_-@_-"/>
  </numFmts>
  <fonts count="60" x14ac:knownFonts="1">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
      <sz val="10"/>
      <name val="Times New Roman"/>
      <family val="1"/>
    </font>
    <font>
      <sz val="10"/>
      <name val="Arial"/>
      <family val="2"/>
    </font>
    <font>
      <b/>
      <i/>
      <sz val="10"/>
      <name val="Arial"/>
      <family val="2"/>
    </font>
    <font>
      <b/>
      <sz val="12"/>
      <name val="Arial"/>
      <family val="2"/>
    </font>
    <font>
      <i/>
      <sz val="10"/>
      <name val="Arial"/>
      <family val="2"/>
    </font>
    <font>
      <sz val="10"/>
      <color indexed="12"/>
      <name val="Arial"/>
      <family val="2"/>
    </font>
    <font>
      <b/>
      <sz val="10"/>
      <color indexed="12"/>
      <name val="Arial"/>
      <family val="2"/>
    </font>
    <font>
      <i/>
      <u/>
      <sz val="10"/>
      <name val="Arial"/>
      <family val="2"/>
    </font>
    <font>
      <b/>
      <u/>
      <sz val="10"/>
      <name val="Arial"/>
      <family val="2"/>
    </font>
    <font>
      <u/>
      <sz val="10"/>
      <name val="Arial"/>
      <family val="2"/>
    </font>
    <font>
      <b/>
      <sz val="10"/>
      <color indexed="16"/>
      <name val="Arial"/>
      <family val="2"/>
    </font>
    <font>
      <sz val="12"/>
      <name val="Arial"/>
      <family val="2"/>
    </font>
    <font>
      <sz val="8"/>
      <color indexed="17"/>
      <name val="Arial"/>
      <family val="2"/>
    </font>
    <font>
      <sz val="8"/>
      <color rgb="FF008000"/>
      <name val="Arial"/>
      <family val="2"/>
    </font>
    <font>
      <b/>
      <sz val="16"/>
      <name val="Arial"/>
      <family val="2"/>
    </font>
    <font>
      <sz val="14"/>
      <name val="Arial"/>
      <family val="2"/>
    </font>
    <font>
      <b/>
      <sz val="10"/>
      <color theme="0" tint="-0.499984740745262"/>
      <name val="Arial"/>
      <family val="2"/>
    </font>
    <font>
      <sz val="10"/>
      <color theme="0" tint="-0.34998626667073579"/>
      <name val="Arial"/>
      <family val="2"/>
    </font>
    <font>
      <u/>
      <sz val="10"/>
      <color indexed="12"/>
      <name val="Times New Roman"/>
      <family val="1"/>
    </font>
    <font>
      <u/>
      <sz val="10"/>
      <color indexed="12"/>
      <name val="Arial"/>
      <family val="2"/>
    </font>
    <font>
      <b/>
      <sz val="10"/>
      <color rgb="FF0000FF"/>
      <name val="Arial"/>
      <family val="2"/>
    </font>
    <font>
      <sz val="10"/>
      <color rgb="FF0000FF"/>
      <name val="Arial"/>
      <family val="2"/>
    </font>
    <font>
      <sz val="10"/>
      <color indexed="23"/>
      <name val="Arial"/>
      <family val="2"/>
    </font>
    <font>
      <b/>
      <sz val="10"/>
      <color indexed="55"/>
      <name val="Arial"/>
      <family val="2"/>
    </font>
    <font>
      <sz val="9"/>
      <color indexed="55"/>
      <name val="Arial"/>
      <family val="2"/>
    </font>
    <font>
      <b/>
      <sz val="10"/>
      <color indexed="9"/>
      <name val="Arial"/>
      <family val="2"/>
    </font>
    <font>
      <b/>
      <sz val="10"/>
      <color theme="0"/>
      <name val="Arial"/>
      <family val="2"/>
    </font>
    <font>
      <b/>
      <sz val="10"/>
      <color theme="0" tint="-0.34998626667073579"/>
      <name val="Arial"/>
      <family val="2"/>
    </font>
    <font>
      <vertAlign val="superscript"/>
      <sz val="8"/>
      <name val="Arial"/>
      <family val="2"/>
    </font>
    <font>
      <sz val="10"/>
      <color indexed="9"/>
      <name val="Arial"/>
      <family val="2"/>
    </font>
    <font>
      <sz val="9"/>
      <name val="Arial"/>
      <family val="2"/>
    </font>
    <font>
      <i/>
      <sz val="9"/>
      <name val="Arial"/>
      <family val="2"/>
    </font>
    <font>
      <b/>
      <sz val="9"/>
      <name val="Arial"/>
      <family val="2"/>
    </font>
    <font>
      <b/>
      <sz val="12"/>
      <color indexed="12"/>
      <name val="Arial"/>
      <family val="2"/>
    </font>
    <font>
      <sz val="10"/>
      <color indexed="42"/>
      <name val="Arial"/>
      <family val="2"/>
    </font>
    <font>
      <b/>
      <sz val="11"/>
      <name val="Arial"/>
      <family val="2"/>
    </font>
    <font>
      <b/>
      <sz val="8"/>
      <name val="Arial"/>
      <family val="2"/>
    </font>
    <font>
      <vertAlign val="superscript"/>
      <sz val="9"/>
      <name val="Arial"/>
      <family val="2"/>
    </font>
    <font>
      <sz val="9"/>
      <color indexed="12"/>
      <name val="Arial"/>
      <family val="2"/>
    </font>
    <font>
      <b/>
      <vertAlign val="superscript"/>
      <sz val="9"/>
      <name val="Arial"/>
      <family val="2"/>
    </font>
    <font>
      <b/>
      <sz val="9"/>
      <color indexed="12"/>
      <name val="Arial"/>
      <family val="2"/>
    </font>
    <font>
      <b/>
      <u/>
      <sz val="9"/>
      <name val="Arial"/>
      <family val="2"/>
    </font>
    <font>
      <sz val="10"/>
      <color theme="0" tint="-0.499984740745262"/>
      <name val="Arial"/>
      <family val="2"/>
    </font>
    <font>
      <sz val="10"/>
      <color indexed="17"/>
      <name val="Arial"/>
      <family val="2"/>
    </font>
    <font>
      <vertAlign val="superscript"/>
      <sz val="10"/>
      <name val="Arial"/>
      <family val="2"/>
    </font>
    <font>
      <b/>
      <sz val="10"/>
      <name val="MS Sans Serif"/>
    </font>
    <font>
      <b/>
      <sz val="9"/>
      <color rgb="FFFFFFFF"/>
      <name val="Arial"/>
      <family val="2"/>
    </font>
    <font>
      <b/>
      <sz val="8.5"/>
      <color rgb="FFFFFFFF"/>
      <name val="Arial"/>
      <family val="2"/>
    </font>
    <font>
      <sz val="8.5"/>
      <name val="Arial"/>
      <family val="2"/>
    </font>
    <font>
      <b/>
      <sz val="8.5"/>
      <name val="Arial"/>
      <family val="2"/>
    </font>
    <font>
      <b/>
      <i/>
      <sz val="10"/>
      <color rgb="FFFF0000"/>
      <name val="Arial"/>
      <family val="2"/>
    </font>
    <font>
      <b/>
      <sz val="10"/>
      <color rgb="FFC00000"/>
      <name val="Arial"/>
      <family val="2"/>
    </font>
    <font>
      <u/>
      <sz val="10"/>
      <name val="MS Sans Serif"/>
    </font>
    <font>
      <b/>
      <u/>
      <sz val="10"/>
      <name val="MS Sans Serif"/>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80A1B6"/>
        <bgColor indexed="64"/>
      </patternFill>
    </fill>
    <fill>
      <patternFill patternType="solid">
        <fgColor theme="6" tint="0.7999816888943144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80A1B6"/>
      </bottom>
      <diagonal/>
    </border>
    <border>
      <left/>
      <right/>
      <top style="medium">
        <color rgb="FF80A1B6"/>
      </top>
      <bottom/>
      <diagonal/>
    </border>
    <border>
      <left/>
      <right/>
      <top style="medium">
        <color rgb="FF80A1B6"/>
      </top>
      <bottom style="medium">
        <color rgb="FFFFFFFF"/>
      </bottom>
      <diagonal/>
    </border>
    <border>
      <left/>
      <right/>
      <top style="medium">
        <color rgb="FF80A1B6"/>
      </top>
      <bottom style="medium">
        <color rgb="FF80A1B6"/>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right/>
      <top/>
      <bottom style="thin">
        <color indexed="39"/>
      </bottom>
      <diagonal/>
    </border>
    <border>
      <left style="medium">
        <color indexed="12"/>
      </left>
      <right/>
      <top/>
      <bottom style="thin">
        <color indexed="39"/>
      </bottom>
      <diagonal/>
    </border>
    <border>
      <left style="medium">
        <color indexed="12"/>
      </left>
      <right/>
      <top style="thin">
        <color indexed="39"/>
      </top>
      <bottom/>
      <diagonal/>
    </border>
    <border>
      <left/>
      <right/>
      <top style="thin">
        <color indexed="39"/>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auto="1"/>
      </left>
      <right/>
      <top style="thin">
        <color auto="1"/>
      </top>
      <bottom style="thin">
        <color auto="1"/>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auto="1"/>
      </bottom>
      <diagonal/>
    </border>
    <border>
      <left style="hair">
        <color auto="1"/>
      </left>
      <right style="hair">
        <color auto="1"/>
      </right>
      <top style="thin">
        <color indexed="64"/>
      </top>
      <bottom style="thin">
        <color auto="1"/>
      </bottom>
      <diagonal/>
    </border>
    <border>
      <left style="hair">
        <color auto="1"/>
      </left>
      <right style="thin">
        <color indexed="64"/>
      </right>
      <top style="thin">
        <color indexed="64"/>
      </top>
      <bottom style="thin">
        <color auto="1"/>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rgb="FF80A1B6"/>
      </top>
      <bottom style="thin">
        <color indexed="64"/>
      </bottom>
      <diagonal/>
    </border>
    <border>
      <left/>
      <right/>
      <top/>
      <bottom style="medium">
        <color rgb="FFFFFFFF"/>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hair">
        <color indexed="64"/>
      </right>
      <top/>
      <bottom style="thin">
        <color auto="1"/>
      </bottom>
      <diagonal/>
    </border>
  </borders>
  <cellStyleXfs count="16">
    <xf numFmtId="0" fontId="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 fillId="2" borderId="0" applyNumberFormat="0" applyBorder="0" applyAlignment="0">
      <protection locked="0"/>
    </xf>
    <xf numFmtId="9" fontId="1" fillId="0" borderId="0" applyFont="0" applyFill="0" applyBorder="0" applyAlignment="0" applyProtection="0"/>
    <xf numFmtId="0" fontId="5" fillId="0" borderId="0"/>
    <xf numFmtId="0" fontId="6" fillId="0" borderId="0"/>
    <xf numFmtId="0" fontId="2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983">
    <xf numFmtId="0" fontId="0" fillId="0" borderId="0" xfId="0"/>
    <xf numFmtId="0" fontId="0" fillId="3" borderId="0" xfId="0" applyFill="1"/>
    <xf numFmtId="0" fontId="3" fillId="3" borderId="0" xfId="0" applyFont="1" applyFill="1"/>
    <xf numFmtId="0" fontId="4" fillId="3" borderId="0" xfId="0" applyFont="1" applyFill="1"/>
    <xf numFmtId="2" fontId="0" fillId="3" borderId="0" xfId="0" applyNumberFormat="1" applyFill="1"/>
    <xf numFmtId="170" fontId="0" fillId="3" borderId="0" xfId="0" applyNumberFormat="1" applyFill="1"/>
    <xf numFmtId="0" fontId="10" fillId="3" borderId="0" xfId="0" applyFont="1" applyFill="1" applyBorder="1" applyAlignment="1">
      <alignment horizontal="left"/>
    </xf>
    <xf numFmtId="170" fontId="11" fillId="3" borderId="0" xfId="0" applyNumberFormat="1" applyFont="1" applyFill="1"/>
    <xf numFmtId="9" fontId="11" fillId="3" borderId="0" xfId="4" applyFont="1" applyFill="1"/>
    <xf numFmtId="9" fontId="0" fillId="3" borderId="0" xfId="0" applyNumberFormat="1" applyFill="1"/>
    <xf numFmtId="0" fontId="10" fillId="3" borderId="0" xfId="0" applyFont="1" applyFill="1" applyAlignment="1">
      <alignment horizontal="left"/>
    </xf>
    <xf numFmtId="168" fontId="1" fillId="3" borderId="0" xfId="4" applyNumberFormat="1" applyFill="1"/>
    <xf numFmtId="0" fontId="5" fillId="3" borderId="0" xfId="0" applyFont="1" applyFill="1"/>
    <xf numFmtId="0" fontId="10" fillId="0" borderId="12" xfId="0" applyFont="1" applyFill="1" applyBorder="1" applyAlignment="1">
      <alignment horizontal="left" indent="1"/>
    </xf>
    <xf numFmtId="169" fontId="0" fillId="3" borderId="0" xfId="0" applyNumberFormat="1" applyFill="1"/>
    <xf numFmtId="0" fontId="0" fillId="0" borderId="0" xfId="0" applyFill="1" applyBorder="1"/>
    <xf numFmtId="0" fontId="10" fillId="0" borderId="31" xfId="0" applyFont="1" applyFill="1" applyBorder="1" applyAlignment="1">
      <alignment horizontal="left"/>
    </xf>
    <xf numFmtId="170" fontId="0" fillId="0" borderId="25" xfId="0" applyNumberFormat="1" applyFill="1" applyBorder="1" applyAlignment="1">
      <alignment horizontal="center"/>
    </xf>
    <xf numFmtId="170" fontId="5" fillId="0" borderId="25" xfId="0" applyNumberFormat="1" applyFont="1" applyFill="1" applyBorder="1" applyAlignment="1">
      <alignment horizontal="center"/>
    </xf>
    <xf numFmtId="0" fontId="0" fillId="0" borderId="33" xfId="0" applyFill="1" applyBorder="1"/>
    <xf numFmtId="168" fontId="0" fillId="0" borderId="0" xfId="4" applyNumberFormat="1" applyFont="1"/>
    <xf numFmtId="168" fontId="0" fillId="0" borderId="0" xfId="0" applyNumberFormat="1" applyBorder="1"/>
    <xf numFmtId="0" fontId="3" fillId="0" borderId="0" xfId="0" applyFont="1"/>
    <xf numFmtId="0" fontId="5" fillId="0" borderId="0" xfId="5"/>
    <xf numFmtId="0" fontId="18" fillId="0" borderId="0" xfId="5" applyFont="1" applyAlignment="1"/>
    <xf numFmtId="0" fontId="19" fillId="0" borderId="0" xfId="5" applyFont="1" applyAlignment="1">
      <alignment horizontal="left"/>
    </xf>
    <xf numFmtId="0" fontId="3" fillId="0" borderId="41" xfId="5" applyFont="1" applyBorder="1" applyAlignment="1">
      <alignment horizontal="left" vertical="center" wrapText="1"/>
    </xf>
    <xf numFmtId="0" fontId="3" fillId="0" borderId="0" xfId="5" applyFont="1" applyAlignment="1">
      <alignment vertical="center"/>
    </xf>
    <xf numFmtId="0" fontId="5" fillId="0" borderId="0" xfId="5" applyAlignment="1">
      <alignment vertical="center"/>
    </xf>
    <xf numFmtId="0" fontId="3" fillId="0" borderId="44" xfId="5" applyFont="1" applyBorder="1" applyAlignment="1">
      <alignment horizontal="left" vertical="center" wrapText="1"/>
    </xf>
    <xf numFmtId="0" fontId="3" fillId="0" borderId="46" xfId="0" applyFont="1" applyBorder="1" applyAlignment="1">
      <alignment vertical="center"/>
    </xf>
    <xf numFmtId="0" fontId="3" fillId="0" borderId="47" xfId="0" applyFont="1" applyBorder="1"/>
    <xf numFmtId="0" fontId="5" fillId="0" borderId="0" xfId="5" applyFont="1" applyFill="1" applyBorder="1" applyAlignment="1">
      <alignment horizontal="left" vertical="center" wrapText="1"/>
    </xf>
    <xf numFmtId="0" fontId="3" fillId="0" borderId="0" xfId="0" applyFont="1" applyBorder="1" applyAlignment="1">
      <alignment horizontal="left" wrapText="1"/>
    </xf>
    <xf numFmtId="0" fontId="5" fillId="0" borderId="0" xfId="6" applyFont="1" applyBorder="1" applyAlignment="1">
      <alignment horizontal="left" vertical="top" wrapText="1"/>
    </xf>
    <xf numFmtId="0" fontId="25" fillId="0" borderId="0" xfId="7" applyFont="1" applyBorder="1" applyAlignment="1" applyProtection="1">
      <alignment horizontal="left" vertical="top" wrapText="1"/>
    </xf>
    <xf numFmtId="0" fontId="25" fillId="0" borderId="0" xfId="7" applyFont="1" applyFill="1" applyBorder="1" applyAlignment="1" applyProtection="1">
      <alignment horizontal="left" vertical="top" wrapText="1"/>
    </xf>
    <xf numFmtId="0" fontId="5" fillId="0" borderId="0" xfId="5" applyAlignment="1">
      <alignment wrapText="1"/>
    </xf>
    <xf numFmtId="0" fontId="25" fillId="0" borderId="0" xfId="7" applyNumberFormat="1" applyFont="1" applyBorder="1" applyAlignment="1" applyProtection="1">
      <alignment horizontal="left" wrapText="1"/>
    </xf>
    <xf numFmtId="0" fontId="5" fillId="0" borderId="0" xfId="5" applyBorder="1"/>
    <xf numFmtId="0" fontId="20" fillId="0" borderId="0" xfId="5" applyFont="1" applyBorder="1" applyAlignment="1"/>
    <xf numFmtId="0" fontId="5" fillId="0" borderId="0" xfId="5" applyFont="1" applyBorder="1"/>
    <xf numFmtId="0" fontId="3" fillId="0" borderId="0" xfId="5" applyFont="1" applyBorder="1" applyAlignment="1"/>
    <xf numFmtId="0" fontId="21" fillId="0" borderId="0" xfId="5" applyFont="1" applyBorder="1" applyAlignment="1">
      <alignment horizontal="left"/>
    </xf>
    <xf numFmtId="0" fontId="21" fillId="0" borderId="0" xfId="5" applyFont="1" applyBorder="1"/>
    <xf numFmtId="0" fontId="14" fillId="0" borderId="0" xfId="5" applyFont="1" applyBorder="1"/>
    <xf numFmtId="0" fontId="15" fillId="0" borderId="0" xfId="5" applyFont="1" applyBorder="1" applyAlignment="1">
      <alignment vertical="center"/>
    </xf>
    <xf numFmtId="0" fontId="3" fillId="0" borderId="0" xfId="5" applyFont="1" applyBorder="1" applyAlignment="1">
      <alignment vertical="center"/>
    </xf>
    <xf numFmtId="0" fontId="5" fillId="0" borderId="0" xfId="5" applyBorder="1" applyAlignment="1">
      <alignment vertical="top"/>
    </xf>
    <xf numFmtId="0" fontId="5" fillId="0" borderId="0" xfId="5" applyBorder="1" applyAlignment="1">
      <alignment horizontal="left" vertical="top"/>
    </xf>
    <xf numFmtId="0" fontId="5" fillId="0" borderId="0" xfId="5" applyNumberFormat="1" applyFont="1" applyFill="1" applyBorder="1" applyAlignment="1">
      <alignment horizontal="justify" vertical="top" wrapText="1"/>
    </xf>
    <xf numFmtId="0" fontId="5" fillId="0" borderId="0" xfId="5" applyBorder="1" applyAlignment="1">
      <alignment horizontal="left" vertical="center"/>
    </xf>
    <xf numFmtId="0" fontId="3" fillId="0" borderId="0" xfId="5" applyNumberFormat="1" applyFont="1" applyFill="1" applyBorder="1" applyAlignment="1">
      <alignment horizontal="left" vertical="center" wrapText="1"/>
    </xf>
    <xf numFmtId="0" fontId="5" fillId="0" borderId="0" xfId="5" applyBorder="1" applyAlignment="1">
      <alignment vertical="center"/>
    </xf>
    <xf numFmtId="0" fontId="3" fillId="0" borderId="0" xfId="5" applyNumberFormat="1" applyFont="1" applyFill="1" applyBorder="1" applyAlignment="1">
      <alignment horizontal="justify" vertical="center" wrapText="1"/>
    </xf>
    <xf numFmtId="0" fontId="14" fillId="0" borderId="0" xfId="5" applyNumberFormat="1" applyFont="1" applyFill="1" applyBorder="1" applyAlignment="1">
      <alignment horizontal="justify" vertical="top" wrapText="1"/>
    </xf>
    <xf numFmtId="0" fontId="14" fillId="0" borderId="0" xfId="5" applyFont="1" applyBorder="1" applyAlignment="1">
      <alignment horizontal="justify" vertical="top" wrapText="1"/>
    </xf>
    <xf numFmtId="0" fontId="5" fillId="0" borderId="0" xfId="5" applyFont="1" applyBorder="1" applyAlignment="1">
      <alignment horizontal="justify" vertical="top" wrapText="1"/>
    </xf>
    <xf numFmtId="14" fontId="18" fillId="0" borderId="0" xfId="5" applyNumberFormat="1" applyFont="1" applyBorder="1" applyAlignment="1">
      <alignment horizontal="right" vertical="top"/>
    </xf>
    <xf numFmtId="49" fontId="19" fillId="0" borderId="0" xfId="5" applyNumberFormat="1" applyFont="1" applyAlignment="1">
      <alignment horizontal="left"/>
    </xf>
    <xf numFmtId="0" fontId="5" fillId="0" borderId="0" xfId="8"/>
    <xf numFmtId="0" fontId="18" fillId="0" borderId="0" xfId="8" applyFont="1" applyAlignment="1">
      <alignment horizontal="right" vertical="top"/>
    </xf>
    <xf numFmtId="0" fontId="5" fillId="0" borderId="0" xfId="9"/>
    <xf numFmtId="0" fontId="21" fillId="0" borderId="0" xfId="8" applyFont="1"/>
    <xf numFmtId="14" fontId="18" fillId="0" borderId="0" xfId="8" applyNumberFormat="1" applyFont="1" applyAlignment="1">
      <alignment horizontal="right" vertical="top"/>
    </xf>
    <xf numFmtId="0" fontId="9" fillId="0" borderId="0" xfId="9" applyFont="1"/>
    <xf numFmtId="0" fontId="12" fillId="0" borderId="34" xfId="9" applyFont="1" applyBorder="1" applyAlignment="1">
      <alignment horizontal="center" vertical="center" wrapText="1"/>
    </xf>
    <xf numFmtId="0" fontId="5" fillId="0" borderId="34" xfId="9" applyFont="1" applyBorder="1" applyAlignment="1">
      <alignment horizontal="center" vertical="center" wrapText="1"/>
    </xf>
    <xf numFmtId="0" fontId="5" fillId="0" borderId="48" xfId="9" applyFont="1" applyBorder="1" applyAlignment="1">
      <alignment horizontal="center" vertical="center" wrapText="1"/>
    </xf>
    <xf numFmtId="0" fontId="28" fillId="0" borderId="21" xfId="9" applyFont="1" applyBorder="1" applyAlignment="1">
      <alignment horizontal="center" vertical="center" wrapText="1"/>
    </xf>
    <xf numFmtId="0" fontId="5" fillId="0" borderId="0" xfId="9" applyFont="1"/>
    <xf numFmtId="0" fontId="5" fillId="0" borderId="23" xfId="9" applyFill="1" applyBorder="1" applyAlignment="1">
      <alignment vertical="center"/>
    </xf>
    <xf numFmtId="0" fontId="5" fillId="0" borderId="0" xfId="9" applyBorder="1" applyAlignment="1">
      <alignment vertical="center" wrapText="1"/>
    </xf>
    <xf numFmtId="9" fontId="5" fillId="0" borderId="23" xfId="9" applyNumberFormat="1" applyBorder="1" applyAlignment="1">
      <alignment horizontal="center" vertical="center"/>
    </xf>
    <xf numFmtId="9" fontId="0" fillId="0" borderId="5" xfId="4" applyFont="1" applyBorder="1" applyAlignment="1">
      <alignment horizontal="center" vertical="center"/>
    </xf>
    <xf numFmtId="9" fontId="5" fillId="4" borderId="23" xfId="9" applyNumberFormat="1" applyFont="1" applyFill="1" applyBorder="1" applyAlignment="1">
      <alignment horizontal="center" vertical="center"/>
    </xf>
    <xf numFmtId="0" fontId="29" fillId="0" borderId="22" xfId="9" applyFont="1" applyFill="1" applyBorder="1" applyAlignment="1">
      <alignment horizontal="center" vertical="center" wrapText="1"/>
    </xf>
    <xf numFmtId="0" fontId="5" fillId="0" borderId="22" xfId="9" applyFill="1" applyBorder="1" applyAlignment="1">
      <alignment vertical="center"/>
    </xf>
    <xf numFmtId="0" fontId="5" fillId="0" borderId="7" xfId="9" applyBorder="1" applyAlignment="1">
      <alignment vertical="center" wrapText="1"/>
    </xf>
    <xf numFmtId="9" fontId="5" fillId="0" borderId="22" xfId="9" applyNumberFormat="1" applyBorder="1" applyAlignment="1">
      <alignment horizontal="center" vertical="center"/>
    </xf>
    <xf numFmtId="9" fontId="0" fillId="0" borderId="8" xfId="4" applyFont="1" applyBorder="1" applyAlignment="1">
      <alignment horizontal="center" vertical="center"/>
    </xf>
    <xf numFmtId="9" fontId="5" fillId="4" borderId="22" xfId="9" applyNumberFormat="1" applyFont="1" applyFill="1" applyBorder="1" applyAlignment="1">
      <alignment horizontal="center" vertical="center"/>
    </xf>
    <xf numFmtId="0" fontId="3" fillId="0" borderId="11" xfId="9" applyFont="1" applyFill="1" applyBorder="1" applyAlignment="1">
      <alignment vertical="center" wrapText="1"/>
    </xf>
    <xf numFmtId="0" fontId="5" fillId="0" borderId="23" xfId="9" applyBorder="1" applyAlignment="1">
      <alignment vertical="center"/>
    </xf>
    <xf numFmtId="0" fontId="3" fillId="0" borderId="0" xfId="9" applyFont="1" applyFill="1" applyAlignment="1">
      <alignment horizontal="left" vertical="center" wrapText="1"/>
    </xf>
    <xf numFmtId="0" fontId="3" fillId="0" borderId="0" xfId="9" applyFont="1" applyAlignment="1">
      <alignment horizontal="right"/>
    </xf>
    <xf numFmtId="168" fontId="31" fillId="0" borderId="0" xfId="4" applyNumberFormat="1" applyFont="1" applyFill="1" applyBorder="1" applyAlignment="1">
      <alignment horizontal="center"/>
    </xf>
    <xf numFmtId="6" fontId="3" fillId="0" borderId="0" xfId="9" applyNumberFormat="1" applyFont="1" applyFill="1" applyBorder="1" applyAlignment="1">
      <alignment horizontal="center" vertical="center"/>
    </xf>
    <xf numFmtId="0" fontId="5" fillId="0" borderId="12" xfId="9" applyFont="1" applyBorder="1"/>
    <xf numFmtId="0" fontId="33" fillId="0" borderId="12" xfId="9" applyFont="1" applyBorder="1" applyAlignment="1">
      <alignment horizontal="center"/>
    </xf>
    <xf numFmtId="0" fontId="3" fillId="0" borderId="12" xfId="9" applyFont="1" applyBorder="1" applyAlignment="1">
      <alignment horizontal="center"/>
    </xf>
    <xf numFmtId="0" fontId="3" fillId="0" borderId="12" xfId="9" applyFont="1" applyBorder="1"/>
    <xf numFmtId="9" fontId="23" fillId="0" borderId="12" xfId="9" applyNumberFormat="1" applyFont="1" applyBorder="1" applyAlignment="1">
      <alignment horizontal="center"/>
    </xf>
    <xf numFmtId="14" fontId="23" fillId="0" borderId="12" xfId="5" applyNumberFormat="1" applyFont="1" applyBorder="1" applyAlignment="1">
      <alignment horizontal="center" vertical="center" wrapText="1"/>
    </xf>
    <xf numFmtId="14" fontId="3" fillId="0" borderId="12" xfId="5" applyNumberFormat="1" applyFont="1" applyFill="1" applyBorder="1" applyAlignment="1">
      <alignment horizontal="center" vertical="center" wrapText="1"/>
    </xf>
    <xf numFmtId="0" fontId="3" fillId="0" borderId="0" xfId="0" applyFont="1" applyFill="1" applyAlignment="1">
      <alignment horizontal="right"/>
    </xf>
    <xf numFmtId="179" fontId="3" fillId="0" borderId="12" xfId="2" applyNumberFormat="1" applyFont="1" applyFill="1" applyBorder="1"/>
    <xf numFmtId="179" fontId="3" fillId="0" borderId="0" xfId="2" applyNumberFormat="1" applyFont="1" applyFill="1"/>
    <xf numFmtId="0" fontId="5" fillId="0" borderId="0" xfId="9" applyFill="1"/>
    <xf numFmtId="0" fontId="2" fillId="0" borderId="0" xfId="9" applyFont="1"/>
    <xf numFmtId="14" fontId="23" fillId="0" borderId="12" xfId="5" applyNumberFormat="1" applyFont="1" applyFill="1" applyBorder="1" applyAlignment="1">
      <alignment horizontal="left" vertical="center" wrapText="1"/>
    </xf>
    <xf numFmtId="14" fontId="5" fillId="0" borderId="45" xfId="5" applyNumberFormat="1" applyFont="1" applyFill="1" applyBorder="1" applyAlignment="1">
      <alignment horizontal="left" vertical="center" wrapText="1"/>
    </xf>
    <xf numFmtId="0" fontId="23" fillId="0" borderId="21" xfId="5" applyFont="1" applyFill="1" applyBorder="1" applyAlignment="1">
      <alignment horizontal="justify" vertical="center" wrapText="1"/>
    </xf>
    <xf numFmtId="0" fontId="23" fillId="0" borderId="22" xfId="5" applyFont="1" applyFill="1" applyBorder="1" applyAlignment="1">
      <alignment vertical="center" wrapText="1"/>
    </xf>
    <xf numFmtId="0" fontId="5" fillId="0" borderId="51" xfId="5" applyFont="1" applyFill="1" applyBorder="1" applyAlignment="1">
      <alignment vertical="center" wrapText="1"/>
    </xf>
    <xf numFmtId="0" fontId="23" fillId="0" borderId="4" xfId="0" applyFont="1" applyBorder="1" applyAlignment="1">
      <alignment vertical="center" wrapText="1"/>
    </xf>
    <xf numFmtId="0" fontId="10" fillId="0" borderId="0" xfId="0" applyFont="1" applyFill="1" applyBorder="1" applyAlignment="1">
      <alignment horizontal="left" indent="2"/>
    </xf>
    <xf numFmtId="0" fontId="5" fillId="0" borderId="0" xfId="0" applyFont="1" applyFill="1" applyBorder="1"/>
    <xf numFmtId="173" fontId="5" fillId="0" borderId="0" xfId="1" applyNumberFormat="1" applyFont="1" applyFill="1" applyBorder="1"/>
    <xf numFmtId="9" fontId="5" fillId="0" borderId="0" xfId="4" applyFont="1" applyFill="1" applyBorder="1"/>
    <xf numFmtId="9" fontId="5" fillId="0" borderId="0" xfId="0" applyNumberFormat="1" applyFont="1" applyFill="1" applyBorder="1"/>
    <xf numFmtId="0" fontId="3" fillId="0" borderId="0" xfId="0" applyFont="1" applyFill="1" applyBorder="1"/>
    <xf numFmtId="0" fontId="5" fillId="0" borderId="0" xfId="0" applyFont="1" applyFill="1" applyBorder="1" applyAlignment="1"/>
    <xf numFmtId="0" fontId="36" fillId="0" borderId="0" xfId="0" applyFont="1" applyFill="1" applyBorder="1"/>
    <xf numFmtId="0" fontId="37" fillId="0" borderId="0" xfId="0" applyFont="1" applyFill="1" applyBorder="1" applyAlignment="1">
      <alignment horizontal="left" indent="2"/>
    </xf>
    <xf numFmtId="9" fontId="36" fillId="0" borderId="0" xfId="4" applyFont="1" applyFill="1" applyBorder="1"/>
    <xf numFmtId="173" fontId="36" fillId="0" borderId="0" xfId="1" applyNumberFormat="1" applyFont="1" applyFill="1" applyBorder="1"/>
    <xf numFmtId="0" fontId="3" fillId="0" borderId="0" xfId="0" applyFont="1" applyFill="1" applyBorder="1" applyAlignment="1">
      <alignment horizontal="left"/>
    </xf>
    <xf numFmtId="173" fontId="3" fillId="0" borderId="0" xfId="1" applyNumberFormat="1" applyFont="1" applyFill="1" applyBorder="1"/>
    <xf numFmtId="0" fontId="3" fillId="0" borderId="0" xfId="0" applyFont="1" applyFill="1" applyBorder="1" applyAlignment="1"/>
    <xf numFmtId="0" fontId="14" fillId="0" borderId="0" xfId="0" applyFont="1" applyFill="1" applyBorder="1" applyAlignment="1"/>
    <xf numFmtId="173" fontId="36" fillId="0" borderId="0" xfId="0" applyNumberFormat="1" applyFont="1" applyFill="1" applyBorder="1"/>
    <xf numFmtId="0" fontId="38" fillId="0" borderId="0" xfId="0" applyFont="1" applyFill="1" applyBorder="1"/>
    <xf numFmtId="173" fontId="38" fillId="0" borderId="0" xfId="0" applyNumberFormat="1" applyFont="1" applyFill="1" applyBorder="1"/>
    <xf numFmtId="173" fontId="36" fillId="9" borderId="0" xfId="0" applyNumberFormat="1" applyFont="1" applyFill="1" applyBorder="1"/>
    <xf numFmtId="173" fontId="38" fillId="9" borderId="0" xfId="0" applyNumberFormat="1" applyFont="1" applyFill="1" applyBorder="1"/>
    <xf numFmtId="0" fontId="5" fillId="0" borderId="0" xfId="11" applyBorder="1"/>
    <xf numFmtId="0" fontId="5" fillId="0" borderId="0" xfId="11"/>
    <xf numFmtId="0" fontId="5" fillId="0" borderId="0" xfId="11" applyFill="1" applyBorder="1"/>
    <xf numFmtId="0" fontId="5" fillId="0" borderId="0" xfId="11" applyFont="1" applyFill="1" applyBorder="1"/>
    <xf numFmtId="180" fontId="5" fillId="0" borderId="0" xfId="11" applyNumberFormat="1"/>
    <xf numFmtId="0" fontId="5" fillId="0" borderId="63" xfId="11" applyBorder="1"/>
    <xf numFmtId="9" fontId="5" fillId="0" borderId="0" xfId="13" applyFill="1"/>
    <xf numFmtId="0" fontId="5" fillId="0" borderId="0" xfId="11" applyFill="1"/>
    <xf numFmtId="0" fontId="5" fillId="0" borderId="63" xfId="11" applyBorder="1" applyAlignment="1">
      <alignment horizontal="right"/>
    </xf>
    <xf numFmtId="0" fontId="3" fillId="0" borderId="0" xfId="11" applyFont="1" applyAlignment="1">
      <alignment horizontal="right"/>
    </xf>
    <xf numFmtId="1" fontId="5" fillId="0" borderId="68" xfId="11" applyNumberFormat="1" applyBorder="1"/>
    <xf numFmtId="1" fontId="5" fillId="0" borderId="64" xfId="11" applyNumberFormat="1" applyBorder="1"/>
    <xf numFmtId="1" fontId="5" fillId="0" borderId="0" xfId="11" applyNumberFormat="1"/>
    <xf numFmtId="43" fontId="36" fillId="0" borderId="0" xfId="0" applyNumberFormat="1" applyFont="1" applyFill="1" applyBorder="1"/>
    <xf numFmtId="0" fontId="5" fillId="0" borderId="0" xfId="0" applyFont="1" applyFill="1" applyBorder="1" applyAlignment="1">
      <alignment horizontal="right"/>
    </xf>
    <xf numFmtId="0" fontId="5" fillId="9" borderId="0" xfId="0" applyFont="1" applyFill="1" applyBorder="1" applyAlignment="1">
      <alignment horizontal="right"/>
    </xf>
    <xf numFmtId="0" fontId="3" fillId="9" borderId="0" xfId="0" applyFont="1" applyFill="1" applyBorder="1"/>
    <xf numFmtId="173" fontId="5" fillId="9" borderId="0" xfId="1" applyNumberFormat="1" applyFont="1" applyFill="1" applyBorder="1"/>
    <xf numFmtId="173" fontId="36" fillId="9" borderId="0" xfId="1" applyNumberFormat="1" applyFont="1" applyFill="1" applyBorder="1"/>
    <xf numFmtId="173" fontId="3" fillId="9" borderId="0" xfId="1" applyNumberFormat="1" applyFont="1" applyFill="1" applyBorder="1"/>
    <xf numFmtId="0" fontId="5" fillId="9" borderId="0" xfId="0" applyFont="1" applyFill="1" applyBorder="1"/>
    <xf numFmtId="1" fontId="5" fillId="0" borderId="61" xfId="11" applyNumberFormat="1" applyBorder="1"/>
    <xf numFmtId="0" fontId="5" fillId="0" borderId="0" xfId="11" applyFill="1" applyBorder="1" applyAlignment="1">
      <alignment horizontal="right"/>
    </xf>
    <xf numFmtId="0" fontId="14" fillId="0" borderId="0" xfId="11" applyFont="1" applyFill="1" applyBorder="1"/>
    <xf numFmtId="0" fontId="5" fillId="0" borderId="0" xfId="11" quotePrefix="1" applyFont="1" applyFill="1" applyBorder="1"/>
    <xf numFmtId="1" fontId="5" fillId="0" borderId="0" xfId="11" applyNumberFormat="1" applyFill="1" applyBorder="1"/>
    <xf numFmtId="180" fontId="5" fillId="0" borderId="0" xfId="11" applyNumberFormat="1" applyFill="1" applyBorder="1"/>
    <xf numFmtId="171" fontId="5" fillId="0" borderId="0" xfId="1" applyNumberFormat="1" applyFont="1" applyFill="1" applyBorder="1"/>
    <xf numFmtId="0" fontId="3" fillId="0" borderId="0" xfId="11" applyFont="1" applyFill="1" applyBorder="1" applyAlignment="1">
      <alignment horizontal="right"/>
    </xf>
    <xf numFmtId="170" fontId="5" fillId="0" borderId="0" xfId="11" applyNumberFormat="1" applyFill="1" applyBorder="1"/>
    <xf numFmtId="182" fontId="5" fillId="0" borderId="0" xfId="11" applyNumberFormat="1" applyFill="1" applyBorder="1"/>
    <xf numFmtId="0" fontId="10" fillId="0" borderId="0" xfId="11" applyFont="1" applyFill="1" applyBorder="1"/>
    <xf numFmtId="0" fontId="5" fillId="0" borderId="0" xfId="11" applyFill="1" applyBorder="1" applyAlignment="1">
      <alignment horizontal="left" wrapText="1"/>
    </xf>
    <xf numFmtId="3" fontId="0" fillId="0" borderId="0" xfId="0" applyNumberFormat="1"/>
    <xf numFmtId="173" fontId="0" fillId="0" borderId="0" xfId="1" applyNumberFormat="1" applyFont="1"/>
    <xf numFmtId="173" fontId="0" fillId="0" borderId="0" xfId="0" applyNumberFormat="1"/>
    <xf numFmtId="0" fontId="0" fillId="0" borderId="0" xfId="0" applyAlignment="1">
      <alignment horizontal="left" indent="1"/>
    </xf>
    <xf numFmtId="0" fontId="5" fillId="6" borderId="0" xfId="11" applyFill="1" applyBorder="1"/>
    <xf numFmtId="0" fontId="5" fillId="6" borderId="0" xfId="11" applyFill="1"/>
    <xf numFmtId="0" fontId="36" fillId="6" borderId="52" xfId="11" applyFont="1" applyFill="1" applyBorder="1" applyAlignment="1">
      <alignment wrapText="1"/>
    </xf>
    <xf numFmtId="0" fontId="5" fillId="6" borderId="53" xfId="11" applyFont="1" applyFill="1" applyBorder="1"/>
    <xf numFmtId="0" fontId="5" fillId="6" borderId="54" xfId="11" applyFill="1" applyBorder="1"/>
    <xf numFmtId="0" fontId="38" fillId="6" borderId="55" xfId="11" applyFont="1" applyFill="1" applyBorder="1" applyAlignment="1">
      <alignment wrapText="1"/>
    </xf>
    <xf numFmtId="181" fontId="38" fillId="6" borderId="0" xfId="11" applyNumberFormat="1" applyFont="1" applyFill="1" applyBorder="1" applyAlignment="1">
      <alignment horizontal="center" wrapText="1"/>
    </xf>
    <xf numFmtId="0" fontId="36" fillId="6" borderId="0" xfId="11" applyFont="1" applyFill="1" applyBorder="1"/>
    <xf numFmtId="0" fontId="5" fillId="6" borderId="56" xfId="11" applyFill="1" applyBorder="1"/>
    <xf numFmtId="168" fontId="38" fillId="6" borderId="0" xfId="13" applyNumberFormat="1" applyFont="1" applyFill="1" applyBorder="1" applyAlignment="1">
      <alignment horizontal="center" wrapText="1"/>
    </xf>
    <xf numFmtId="181" fontId="38" fillId="6" borderId="0" xfId="13" applyNumberFormat="1" applyFont="1" applyFill="1" applyBorder="1" applyAlignment="1">
      <alignment horizontal="center" wrapText="1"/>
    </xf>
    <xf numFmtId="0" fontId="38" fillId="6" borderId="55" xfId="11" applyFont="1" applyFill="1" applyBorder="1" applyAlignment="1">
      <alignment horizontal="left" wrapText="1"/>
    </xf>
    <xf numFmtId="0" fontId="38" fillId="6" borderId="55" xfId="11" applyFont="1" applyFill="1" applyBorder="1" applyAlignment="1"/>
    <xf numFmtId="0" fontId="38" fillId="6" borderId="58" xfId="11" applyFont="1" applyFill="1" applyBorder="1" applyAlignment="1"/>
    <xf numFmtId="0" fontId="38" fillId="6" borderId="57" xfId="11" applyFont="1" applyFill="1" applyBorder="1" applyAlignment="1">
      <alignment horizontal="center"/>
    </xf>
    <xf numFmtId="0" fontId="38" fillId="6" borderId="57" xfId="11" applyFont="1" applyFill="1" applyBorder="1" applyAlignment="1">
      <alignment horizontal="right"/>
    </xf>
    <xf numFmtId="0" fontId="38" fillId="6" borderId="59" xfId="11" applyFont="1" applyFill="1" applyBorder="1" applyAlignment="1"/>
    <xf numFmtId="0" fontId="38" fillId="6" borderId="60" xfId="11" applyFont="1" applyFill="1" applyBorder="1" applyAlignment="1">
      <alignment horizontal="center"/>
    </xf>
    <xf numFmtId="0" fontId="38" fillId="6" borderId="60" xfId="11" applyFont="1" applyFill="1" applyBorder="1" applyAlignment="1">
      <alignment horizontal="right"/>
    </xf>
    <xf numFmtId="0" fontId="36" fillId="6" borderId="55" xfId="11" applyFont="1" applyFill="1" applyBorder="1"/>
    <xf numFmtId="3" fontId="36" fillId="6" borderId="0" xfId="11" applyNumberFormat="1" applyFont="1" applyFill="1" applyBorder="1" applyAlignment="1">
      <alignment horizontal="center" wrapText="1"/>
    </xf>
    <xf numFmtId="0" fontId="36" fillId="6" borderId="0" xfId="11" applyFont="1" applyFill="1" applyBorder="1" applyAlignment="1">
      <alignment horizontal="right" indent="2"/>
    </xf>
    <xf numFmtId="0" fontId="38" fillId="6" borderId="0" xfId="11" applyFont="1" applyFill="1" applyBorder="1" applyAlignment="1">
      <alignment horizontal="right" wrapText="1" indent="1"/>
    </xf>
    <xf numFmtId="0" fontId="36" fillId="6" borderId="55" xfId="11" applyFont="1" applyFill="1" applyBorder="1" applyAlignment="1">
      <alignment wrapText="1"/>
    </xf>
    <xf numFmtId="3" fontId="36" fillId="6" borderId="0" xfId="11" applyNumberFormat="1" applyFont="1" applyFill="1" applyBorder="1" applyAlignment="1">
      <alignment horizontal="center"/>
    </xf>
    <xf numFmtId="171" fontId="36" fillId="6" borderId="0" xfId="14" applyNumberFormat="1" applyFont="1" applyFill="1" applyBorder="1" applyAlignment="1">
      <alignment horizontal="right" wrapText="1" indent="1"/>
    </xf>
    <xf numFmtId="0" fontId="36" fillId="6" borderId="0" xfId="11" applyFont="1" applyFill="1" applyBorder="1" applyAlignment="1">
      <alignment horizontal="right" indent="1"/>
    </xf>
    <xf numFmtId="3" fontId="36" fillId="6" borderId="0" xfId="11" applyNumberFormat="1" applyFont="1" applyFill="1" applyBorder="1" applyAlignment="1">
      <alignment horizontal="right" indent="2"/>
    </xf>
    <xf numFmtId="9" fontId="5" fillId="6" borderId="56" xfId="11" applyNumberFormat="1" applyFill="1" applyBorder="1"/>
    <xf numFmtId="0" fontId="36" fillId="6" borderId="58" xfId="11" applyFont="1" applyFill="1" applyBorder="1" applyAlignment="1">
      <alignment wrapText="1"/>
    </xf>
    <xf numFmtId="0" fontId="36" fillId="6" borderId="57" xfId="11" applyFont="1" applyFill="1" applyBorder="1" applyAlignment="1">
      <alignment horizontal="right" indent="2"/>
    </xf>
    <xf numFmtId="0" fontId="35" fillId="6" borderId="0" xfId="11" applyFont="1" applyFill="1" applyBorder="1"/>
    <xf numFmtId="0" fontId="36" fillId="6" borderId="59" xfId="11" applyFont="1" applyFill="1" applyBorder="1"/>
    <xf numFmtId="0" fontId="44" fillId="6" borderId="60" xfId="11" applyFont="1" applyFill="1" applyBorder="1" applyAlignment="1">
      <alignment horizontal="right" indent="2"/>
    </xf>
    <xf numFmtId="0" fontId="44" fillId="6" borderId="60" xfId="11" applyFont="1" applyFill="1" applyBorder="1" applyAlignment="1">
      <alignment horizontal="right" indent="1"/>
    </xf>
    <xf numFmtId="9" fontId="44" fillId="6" borderId="60" xfId="13" applyFont="1" applyFill="1" applyBorder="1" applyAlignment="1">
      <alignment horizontal="right" indent="1"/>
    </xf>
    <xf numFmtId="180" fontId="5" fillId="6" borderId="56" xfId="11" applyNumberFormat="1" applyFill="1" applyBorder="1"/>
    <xf numFmtId="180" fontId="5" fillId="6" borderId="0" xfId="11" applyNumberFormat="1" applyFill="1"/>
    <xf numFmtId="0" fontId="36" fillId="6" borderId="58" xfId="11" applyFont="1" applyFill="1" applyBorder="1"/>
    <xf numFmtId="9" fontId="36" fillId="6" borderId="57" xfId="13" applyNumberFormat="1" applyFont="1" applyFill="1" applyBorder="1" applyAlignment="1">
      <alignment horizontal="center"/>
    </xf>
    <xf numFmtId="9" fontId="44" fillId="6" borderId="57" xfId="11" applyNumberFormat="1" applyFont="1" applyFill="1" applyBorder="1" applyAlignment="1">
      <alignment horizontal="right" indent="2"/>
    </xf>
    <xf numFmtId="0" fontId="36" fillId="6" borderId="59" xfId="11" applyFont="1" applyFill="1" applyBorder="1" applyAlignment="1">
      <alignment wrapText="1"/>
    </xf>
    <xf numFmtId="9" fontId="44" fillId="6" borderId="60" xfId="11" applyNumberFormat="1" applyFont="1" applyFill="1" applyBorder="1" applyAlignment="1">
      <alignment horizontal="right" indent="1"/>
    </xf>
    <xf numFmtId="0" fontId="44" fillId="6" borderId="57" xfId="11" applyFont="1" applyFill="1" applyBorder="1" applyAlignment="1">
      <alignment horizontal="right" indent="2"/>
    </xf>
    <xf numFmtId="0" fontId="44" fillId="6" borderId="57" xfId="11" applyFont="1" applyFill="1" applyBorder="1" applyAlignment="1">
      <alignment horizontal="right" indent="1"/>
    </xf>
    <xf numFmtId="0" fontId="44" fillId="6" borderId="0" xfId="11" applyFont="1" applyFill="1" applyBorder="1" applyAlignment="1">
      <alignment horizontal="right" indent="2"/>
    </xf>
    <xf numFmtId="0" fontId="44" fillId="6" borderId="0" xfId="11" applyFont="1" applyFill="1" applyBorder="1" applyAlignment="1">
      <alignment horizontal="right" indent="1"/>
    </xf>
    <xf numFmtId="0" fontId="36" fillId="6" borderId="55" xfId="11" applyFont="1" applyFill="1" applyBorder="1" applyAlignment="1"/>
    <xf numFmtId="44" fontId="36" fillId="6" borderId="57" xfId="15" applyFont="1" applyFill="1" applyBorder="1" applyAlignment="1">
      <alignment horizontal="right" indent="2"/>
    </xf>
    <xf numFmtId="0" fontId="46" fillId="6" borderId="0" xfId="11" applyFont="1" applyFill="1" applyBorder="1" applyAlignment="1"/>
    <xf numFmtId="0" fontId="46" fillId="6" borderId="0" xfId="11" applyFont="1" applyFill="1" applyBorder="1" applyAlignment="1">
      <alignment wrapText="1"/>
    </xf>
    <xf numFmtId="180" fontId="36" fillId="6" borderId="0" xfId="11" applyNumberFormat="1" applyFont="1" applyFill="1" applyBorder="1"/>
    <xf numFmtId="44" fontId="36" fillId="6" borderId="0" xfId="15" applyFont="1" applyFill="1" applyBorder="1" applyAlignment="1">
      <alignment horizontal="right" indent="2"/>
    </xf>
    <xf numFmtId="7" fontId="36" fillId="6" borderId="0" xfId="15" applyNumberFormat="1" applyFont="1" applyFill="1" applyBorder="1" applyAlignment="1">
      <alignment horizontal="right" wrapText="1" indent="1"/>
    </xf>
    <xf numFmtId="7" fontId="36" fillId="6" borderId="0" xfId="15" applyNumberFormat="1" applyFont="1" applyFill="1" applyBorder="1" applyAlignment="1">
      <alignment horizontal="center"/>
    </xf>
    <xf numFmtId="3" fontId="36" fillId="6" borderId="0" xfId="14" applyNumberFormat="1" applyFont="1" applyFill="1" applyBorder="1" applyAlignment="1">
      <alignment horizontal="center" wrapText="1"/>
    </xf>
    <xf numFmtId="182" fontId="36" fillId="6" borderId="0" xfId="11" applyNumberFormat="1" applyFont="1" applyFill="1" applyBorder="1" applyAlignment="1">
      <alignment horizontal="right" wrapText="1"/>
    </xf>
    <xf numFmtId="0" fontId="2" fillId="6" borderId="55" xfId="11" applyFont="1" applyFill="1" applyBorder="1" applyAlignment="1"/>
    <xf numFmtId="0" fontId="36" fillId="6" borderId="0" xfId="11" applyFont="1" applyFill="1" applyBorder="1" applyAlignment="1"/>
    <xf numFmtId="9" fontId="36" fillId="6" borderId="0" xfId="11" applyNumberFormat="1" applyFont="1" applyFill="1" applyBorder="1" applyAlignment="1">
      <alignment wrapText="1"/>
    </xf>
    <xf numFmtId="0" fontId="34" fillId="6" borderId="55" xfId="11" applyFont="1" applyFill="1" applyBorder="1" applyAlignment="1">
      <alignment horizontal="left"/>
    </xf>
    <xf numFmtId="0" fontId="34" fillId="6" borderId="55" xfId="11" applyFont="1" applyFill="1" applyBorder="1"/>
    <xf numFmtId="0" fontId="2" fillId="6" borderId="55" xfId="11" applyFont="1" applyFill="1" applyBorder="1"/>
    <xf numFmtId="0" fontId="2" fillId="6" borderId="65" xfId="11" applyFont="1" applyFill="1" applyBorder="1"/>
    <xf numFmtId="0" fontId="5" fillId="6" borderId="66" xfId="11" applyFill="1" applyBorder="1"/>
    <xf numFmtId="0" fontId="5" fillId="6" borderId="67" xfId="11" applyFill="1" applyBorder="1"/>
    <xf numFmtId="0" fontId="3" fillId="6" borderId="0" xfId="12" applyFont="1" applyFill="1" applyAlignment="1">
      <alignment vertical="center"/>
    </xf>
    <xf numFmtId="0" fontId="9" fillId="6" borderId="0" xfId="11" applyFont="1" applyFill="1" applyBorder="1" applyAlignment="1"/>
    <xf numFmtId="0" fontId="39" fillId="6" borderId="0" xfId="11" applyFont="1" applyFill="1" applyBorder="1" applyAlignment="1"/>
    <xf numFmtId="0" fontId="40" fillId="6" borderId="0" xfId="11" applyFont="1" applyFill="1" applyBorder="1"/>
    <xf numFmtId="0" fontId="5" fillId="6" borderId="0" xfId="11" applyFont="1" applyFill="1" applyBorder="1"/>
    <xf numFmtId="0" fontId="41" fillId="6" borderId="0" xfId="11" applyFont="1" applyFill="1" applyBorder="1" applyAlignment="1">
      <alignment horizontal="right"/>
    </xf>
    <xf numFmtId="0" fontId="14" fillId="0" borderId="0" xfId="0" applyFont="1"/>
    <xf numFmtId="0" fontId="3"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left"/>
    </xf>
    <xf numFmtId="0" fontId="0" fillId="0" borderId="0" xfId="0" applyFill="1"/>
    <xf numFmtId="0" fontId="3" fillId="0" borderId="0" xfId="0" applyFont="1" applyFill="1"/>
    <xf numFmtId="173" fontId="0" fillId="0" borderId="0" xfId="0" applyNumberFormat="1" applyFill="1"/>
    <xf numFmtId="43" fontId="36" fillId="9" borderId="0" xfId="0" applyNumberFormat="1" applyFont="1" applyFill="1" applyBorder="1"/>
    <xf numFmtId="0" fontId="0" fillId="9" borderId="0" xfId="0" applyFill="1"/>
    <xf numFmtId="0" fontId="3" fillId="9" borderId="0" xfId="0" applyFont="1" applyFill="1"/>
    <xf numFmtId="173" fontId="0" fillId="9" borderId="0" xfId="0" applyNumberFormat="1" applyFill="1"/>
    <xf numFmtId="0" fontId="2" fillId="0" borderId="0" xfId="0" applyFont="1" applyFill="1" applyBorder="1"/>
    <xf numFmtId="183" fontId="5" fillId="0" borderId="0" xfId="11" applyNumberFormat="1" applyFill="1" applyBorder="1"/>
    <xf numFmtId="9" fontId="2" fillId="0" borderId="0" xfId="4" applyFont="1" applyFill="1" applyBorder="1" applyAlignment="1">
      <alignment vertical="center"/>
    </xf>
    <xf numFmtId="0" fontId="2" fillId="0" borderId="0" xfId="0" applyFont="1" applyFill="1" applyBorder="1" applyAlignment="1">
      <alignment vertical="center"/>
    </xf>
    <xf numFmtId="0" fontId="42" fillId="0" borderId="0" xfId="0" applyFont="1" applyFill="1" applyBorder="1" applyAlignment="1">
      <alignment vertical="center"/>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vertical="center"/>
    </xf>
    <xf numFmtId="171" fontId="36" fillId="0" borderId="0" xfId="0" applyNumberFormat="1" applyFont="1" applyFill="1" applyBorder="1"/>
    <xf numFmtId="173" fontId="5" fillId="0" borderId="0" xfId="0" applyNumberFormat="1" applyFont="1" applyFill="1" applyBorder="1"/>
    <xf numFmtId="173" fontId="3" fillId="0" borderId="0" xfId="0" applyNumberFormat="1" applyFont="1" applyFill="1" applyBorder="1"/>
    <xf numFmtId="173" fontId="2" fillId="0" borderId="0" xfId="0" applyNumberFormat="1" applyFont="1" applyFill="1" applyBorder="1"/>
    <xf numFmtId="43" fontId="5" fillId="0" borderId="0" xfId="1" applyNumberFormat="1" applyFont="1" applyFill="1" applyBorder="1"/>
    <xf numFmtId="173" fontId="5" fillId="0" borderId="0" xfId="1" applyNumberFormat="1" applyFont="1" applyFill="1" applyBorder="1" applyAlignment="1"/>
    <xf numFmtId="0" fontId="3" fillId="0" borderId="0" xfId="0" applyFont="1" applyFill="1" applyBorder="1" applyAlignment="1">
      <alignment horizontal="right"/>
    </xf>
    <xf numFmtId="173" fontId="3" fillId="0" borderId="0" xfId="1" applyNumberFormat="1" applyFont="1" applyFill="1" applyBorder="1" applyAlignment="1"/>
    <xf numFmtId="173" fontId="5" fillId="0" borderId="0" xfId="4" applyNumberFormat="1" applyFont="1" applyFill="1" applyBorder="1"/>
    <xf numFmtId="0" fontId="5" fillId="0" borderId="0" xfId="0" applyFont="1" applyFill="1" applyBorder="1" applyAlignment="1">
      <alignment horizontal="left"/>
    </xf>
    <xf numFmtId="173" fontId="2" fillId="9" borderId="0" xfId="0" applyNumberFormat="1" applyFont="1" applyFill="1" applyBorder="1"/>
    <xf numFmtId="173" fontId="3" fillId="9" borderId="0" xfId="0" applyNumberFormat="1" applyFont="1" applyFill="1" applyBorder="1"/>
    <xf numFmtId="173" fontId="5" fillId="9" borderId="0" xfId="4" applyNumberFormat="1" applyFont="1" applyFill="1" applyBorder="1"/>
    <xf numFmtId="173" fontId="5" fillId="9" borderId="0" xfId="0" applyNumberFormat="1" applyFont="1" applyFill="1" applyBorder="1"/>
    <xf numFmtId="5" fontId="36" fillId="0" borderId="0" xfId="15" applyNumberFormat="1" applyFont="1" applyFill="1" applyBorder="1" applyAlignment="1">
      <alignment horizontal="center"/>
    </xf>
    <xf numFmtId="180" fontId="47" fillId="6" borderId="53" xfId="11" applyNumberFormat="1" applyFont="1" applyFill="1" applyBorder="1" applyAlignment="1">
      <alignment horizontal="center" wrapText="1"/>
    </xf>
    <xf numFmtId="0" fontId="47" fillId="6" borderId="53" xfId="11" applyFont="1" applyFill="1" applyBorder="1" applyAlignment="1">
      <alignment horizontal="center"/>
    </xf>
    <xf numFmtId="0" fontId="36" fillId="6" borderId="0" xfId="11" applyFont="1" applyFill="1" applyBorder="1" applyAlignment="1">
      <alignment horizontal="center"/>
    </xf>
    <xf numFmtId="182" fontId="36" fillId="6" borderId="0" xfId="11" applyNumberFormat="1" applyFont="1" applyFill="1" applyBorder="1" applyAlignment="1">
      <alignment horizontal="center"/>
    </xf>
    <xf numFmtId="0" fontId="10" fillId="0" borderId="85" xfId="0" applyFont="1" applyFill="1" applyBorder="1" applyAlignment="1">
      <alignment horizontal="left" indent="1"/>
    </xf>
    <xf numFmtId="0" fontId="10" fillId="0" borderId="23" xfId="0" applyFont="1" applyFill="1" applyBorder="1" applyAlignment="1">
      <alignment horizontal="left" indent="1"/>
    </xf>
    <xf numFmtId="0" fontId="10" fillId="0" borderId="22" xfId="0" applyFont="1" applyFill="1" applyBorder="1" applyAlignment="1">
      <alignment horizontal="left" indent="1"/>
    </xf>
    <xf numFmtId="0" fontId="13" fillId="0" borderId="85" xfId="0" applyFont="1" applyFill="1" applyBorder="1" applyAlignment="1">
      <alignment horizontal="left" vertical="center" wrapText="1"/>
    </xf>
    <xf numFmtId="0" fontId="5" fillId="0" borderId="12" xfId="0" applyFont="1" applyFill="1" applyBorder="1" applyAlignment="1">
      <alignment horizontal="left"/>
    </xf>
    <xf numFmtId="181" fontId="36" fillId="6" borderId="0" xfId="11" applyNumberFormat="1" applyFont="1" applyFill="1" applyBorder="1" applyAlignment="1">
      <alignment horizontal="center"/>
    </xf>
    <xf numFmtId="182" fontId="36" fillId="6" borderId="0" xfId="11" applyNumberFormat="1" applyFont="1" applyFill="1" applyAlignment="1">
      <alignment horizontal="center"/>
    </xf>
    <xf numFmtId="9" fontId="36" fillId="6" borderId="57" xfId="11" applyNumberFormat="1" applyFont="1" applyFill="1" applyBorder="1" applyAlignment="1">
      <alignment horizontal="center" wrapText="1"/>
    </xf>
    <xf numFmtId="180" fontId="36" fillId="6" borderId="0" xfId="11" applyNumberFormat="1" applyFont="1" applyFill="1" applyBorder="1" applyAlignment="1">
      <alignment horizontal="center"/>
    </xf>
    <xf numFmtId="180" fontId="36" fillId="6" borderId="57" xfId="15" applyNumberFormat="1" applyFont="1" applyFill="1" applyBorder="1" applyAlignment="1">
      <alignment horizontal="center"/>
    </xf>
    <xf numFmtId="2" fontId="36" fillId="6" borderId="57" xfId="15" applyNumberFormat="1" applyFont="1" applyFill="1" applyBorder="1" applyAlignment="1">
      <alignment horizontal="center" wrapText="1"/>
    </xf>
    <xf numFmtId="9" fontId="36" fillId="6" borderId="0" xfId="11" applyNumberFormat="1" applyFont="1" applyFill="1" applyBorder="1" applyAlignment="1">
      <alignment horizontal="center" wrapText="1"/>
    </xf>
    <xf numFmtId="0" fontId="5" fillId="6" borderId="0" xfId="5" applyFill="1"/>
    <xf numFmtId="0" fontId="20" fillId="6" borderId="0" xfId="5" applyFont="1" applyFill="1" applyBorder="1" applyAlignment="1"/>
    <xf numFmtId="0" fontId="5" fillId="6" borderId="0" xfId="8" applyFill="1"/>
    <xf numFmtId="49" fontId="19" fillId="6" borderId="0" xfId="5" applyNumberFormat="1" applyFont="1" applyFill="1" applyAlignment="1">
      <alignment horizontal="left"/>
    </xf>
    <xf numFmtId="0" fontId="21" fillId="6" borderId="0" xfId="8" applyFont="1" applyFill="1"/>
    <xf numFmtId="0" fontId="5" fillId="6" borderId="0" xfId="9" applyFill="1"/>
    <xf numFmtId="0" fontId="18" fillId="6" borderId="0" xfId="8" applyFont="1" applyFill="1" applyAlignment="1">
      <alignment horizontal="right" vertical="top"/>
    </xf>
    <xf numFmtId="49" fontId="19" fillId="6" borderId="0" xfId="5" applyNumberFormat="1" applyFont="1" applyFill="1" applyAlignment="1">
      <alignment horizontal="left" vertical="top"/>
    </xf>
    <xf numFmtId="0" fontId="5" fillId="0" borderId="0" xfId="5" applyBorder="1" applyAlignment="1">
      <alignment horizontal="left" vertical="top"/>
    </xf>
    <xf numFmtId="0" fontId="5" fillId="6" borderId="0" xfId="8" applyFont="1" applyFill="1"/>
    <xf numFmtId="0" fontId="5" fillId="6" borderId="0" xfId="9" applyFont="1" applyFill="1"/>
    <xf numFmtId="0" fontId="49" fillId="6" borderId="0" xfId="8" applyFont="1" applyFill="1" applyAlignment="1">
      <alignment horizontal="right" vertical="top"/>
    </xf>
    <xf numFmtId="169" fontId="0" fillId="0" borderId="78" xfId="0" applyNumberFormat="1" applyFill="1" applyBorder="1" applyAlignment="1">
      <alignment horizontal="center" vertical="center"/>
    </xf>
    <xf numFmtId="168" fontId="32" fillId="10" borderId="12" xfId="4" applyNumberFormat="1" applyFont="1" applyFill="1" applyBorder="1" applyAlignment="1">
      <alignment horizontal="center" vertical="center"/>
    </xf>
    <xf numFmtId="182" fontId="5" fillId="6" borderId="0" xfId="11" applyNumberFormat="1" applyFill="1"/>
    <xf numFmtId="9" fontId="5" fillId="6" borderId="0" xfId="11" applyNumberFormat="1" applyFill="1"/>
    <xf numFmtId="9" fontId="5" fillId="6" borderId="0" xfId="4" applyFont="1" applyFill="1"/>
    <xf numFmtId="9" fontId="42" fillId="0" borderId="0" xfId="0" applyNumberFormat="1" applyFont="1" applyFill="1" applyBorder="1" applyAlignment="1">
      <alignment vertical="center"/>
    </xf>
    <xf numFmtId="173" fontId="2" fillId="0" borderId="0" xfId="0" applyNumberFormat="1" applyFont="1" applyFill="1" applyBorder="1" applyAlignment="1">
      <alignment vertical="center"/>
    </xf>
    <xf numFmtId="171" fontId="5" fillId="0" borderId="0" xfId="4" applyNumberFormat="1" applyFont="1" applyFill="1" applyBorder="1"/>
    <xf numFmtId="173" fontId="42" fillId="0" borderId="0" xfId="0" applyNumberFormat="1" applyFont="1" applyFill="1" applyBorder="1" applyAlignment="1">
      <alignment vertical="center"/>
    </xf>
    <xf numFmtId="180" fontId="44" fillId="6" borderId="0" xfId="11" applyNumberFormat="1" applyFont="1" applyFill="1" applyBorder="1" applyAlignment="1">
      <alignment horizontal="right" indent="2"/>
    </xf>
    <xf numFmtId="182" fontId="36" fillId="6" borderId="0" xfId="11" applyNumberFormat="1" applyFont="1" applyFill="1" applyBorder="1" applyAlignment="1">
      <alignment horizontal="center" wrapText="1"/>
    </xf>
    <xf numFmtId="9" fontId="36" fillId="6" borderId="0" xfId="13" applyFont="1" applyFill="1" applyBorder="1" applyAlignment="1">
      <alignment horizontal="center"/>
    </xf>
    <xf numFmtId="0" fontId="5" fillId="0" borderId="88" xfId="5" applyFont="1" applyFill="1" applyBorder="1" applyAlignment="1">
      <alignment vertical="center" wrapText="1"/>
    </xf>
    <xf numFmtId="9" fontId="23" fillId="0" borderId="90" xfId="5" applyNumberFormat="1" applyFont="1" applyFill="1" applyBorder="1" applyAlignment="1">
      <alignment horizontal="left" vertical="center" wrapText="1"/>
    </xf>
    <xf numFmtId="0" fontId="23" fillId="0" borderId="79" xfId="0" applyFont="1" applyBorder="1" applyAlignment="1">
      <alignment vertical="center" wrapText="1"/>
    </xf>
    <xf numFmtId="0" fontId="23" fillId="0" borderId="62" xfId="0" applyFont="1" applyBorder="1" applyAlignment="1">
      <alignment vertical="center" wrapText="1"/>
    </xf>
    <xf numFmtId="6" fontId="5" fillId="0" borderId="93" xfId="5" applyNumberFormat="1" applyFont="1" applyFill="1" applyBorder="1" applyAlignment="1">
      <alignment horizontal="left" vertical="center" wrapText="1"/>
    </xf>
    <xf numFmtId="0" fontId="5" fillId="0" borderId="92" xfId="5" applyFont="1" applyFill="1" applyBorder="1" applyAlignment="1">
      <alignment horizontal="justify" vertical="center" wrapText="1"/>
    </xf>
    <xf numFmtId="0" fontId="23" fillId="0" borderId="85" xfId="5" applyFont="1" applyFill="1" applyBorder="1" applyAlignment="1">
      <alignment vertical="center" wrapText="1"/>
    </xf>
    <xf numFmtId="0" fontId="5" fillId="0" borderId="88" xfId="5" applyFont="1" applyFill="1" applyBorder="1" applyAlignment="1">
      <alignment horizontal="justify" vertical="center" wrapText="1"/>
    </xf>
    <xf numFmtId="0" fontId="5" fillId="0" borderId="51" xfId="5" applyFont="1" applyFill="1" applyBorder="1" applyAlignment="1">
      <alignment horizontal="justify" vertical="center" wrapText="1"/>
    </xf>
    <xf numFmtId="0" fontId="0" fillId="0" borderId="0" xfId="0" applyAlignment="1">
      <alignment vertical="center" wrapText="1"/>
    </xf>
    <xf numFmtId="0" fontId="5" fillId="0" borderId="0" xfId="5" applyBorder="1" applyAlignment="1">
      <alignment horizontal="left" vertical="top"/>
    </xf>
    <xf numFmtId="180" fontId="5" fillId="4" borderId="23" xfId="4" applyNumberFormat="1" applyFont="1" applyFill="1" applyBorder="1" applyAlignment="1">
      <alignment horizontal="center" vertical="center"/>
    </xf>
    <xf numFmtId="180" fontId="5" fillId="3" borderId="23" xfId="4" applyNumberFormat="1" applyFont="1" applyFill="1" applyBorder="1" applyAlignment="1">
      <alignment horizontal="center" vertical="center"/>
    </xf>
    <xf numFmtId="0" fontId="1" fillId="0" borderId="0" xfId="10" applyFont="1" applyFill="1" applyBorder="1" applyAlignment="1">
      <alignment vertical="center" wrapText="1"/>
    </xf>
    <xf numFmtId="0" fontId="1" fillId="0" borderId="5" xfId="10" applyFont="1" applyFill="1" applyBorder="1" applyAlignment="1">
      <alignment horizontal="center" vertical="center"/>
    </xf>
    <xf numFmtId="0" fontId="2" fillId="0" borderId="0" xfId="0" applyFont="1" applyFill="1" applyBorder="1" applyAlignment="1">
      <alignment horizontal="right" vertical="center"/>
    </xf>
    <xf numFmtId="0" fontId="2" fillId="0" borderId="78" xfId="0" applyFont="1" applyFill="1" applyBorder="1" applyAlignment="1">
      <alignment horizontal="center" vertical="center" wrapText="1"/>
    </xf>
    <xf numFmtId="0" fontId="2" fillId="0" borderId="0" xfId="11" applyFont="1" applyFill="1"/>
    <xf numFmtId="173" fontId="2" fillId="0" borderId="0" xfId="1" applyNumberFormat="1" applyFont="1" applyFill="1" applyBorder="1" applyAlignment="1">
      <alignment vertical="center"/>
    </xf>
    <xf numFmtId="3" fontId="2" fillId="0" borderId="0" xfId="0" applyNumberFormat="1" applyFont="1" applyFill="1" applyBorder="1" applyAlignment="1">
      <alignment vertical="center"/>
    </xf>
    <xf numFmtId="0" fontId="2" fillId="0" borderId="12" xfId="11" applyFont="1" applyFill="1" applyBorder="1" applyAlignment="1">
      <alignment horizontal="center"/>
    </xf>
    <xf numFmtId="0" fontId="2" fillId="0" borderId="12" xfId="11" applyFont="1" applyFill="1" applyBorder="1" applyAlignment="1">
      <alignment horizontal="center" vertical="top" wrapText="1"/>
    </xf>
    <xf numFmtId="0" fontId="2" fillId="0" borderId="78" xfId="11" applyFont="1" applyFill="1" applyBorder="1" applyAlignment="1">
      <alignment horizontal="center" vertical="center" wrapText="1"/>
    </xf>
    <xf numFmtId="0" fontId="3" fillId="0" borderId="0" xfId="11" applyFont="1" applyFill="1" applyBorder="1" applyAlignment="1">
      <alignment horizontal="center" vertical="center" wrapText="1"/>
    </xf>
    <xf numFmtId="0" fontId="2" fillId="0" borderId="23" xfId="11" applyFont="1" applyFill="1" applyBorder="1"/>
    <xf numFmtId="44" fontId="2" fillId="0" borderId="23" xfId="2" applyNumberFormat="1" applyFont="1" applyFill="1" applyBorder="1"/>
    <xf numFmtId="0" fontId="2" fillId="0" borderId="22" xfId="11" applyFont="1" applyFill="1" applyBorder="1"/>
    <xf numFmtId="44" fontId="2" fillId="0" borderId="22" xfId="2" applyNumberFormat="1" applyFont="1" applyFill="1" applyBorder="1"/>
    <xf numFmtId="0" fontId="42" fillId="0" borderId="69" xfId="0" applyFont="1" applyFill="1" applyBorder="1" applyAlignment="1">
      <alignment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xf numFmtId="9" fontId="2" fillId="0" borderId="73" xfId="4" applyFont="1" applyFill="1" applyBorder="1" applyAlignment="1">
      <alignment vertical="center"/>
    </xf>
    <xf numFmtId="165" fontId="2" fillId="0" borderId="73" xfId="1" applyFont="1" applyFill="1" applyBorder="1" applyAlignment="1">
      <alignment vertical="center"/>
    </xf>
    <xf numFmtId="173" fontId="2" fillId="0" borderId="73" xfId="1" applyNumberFormat="1" applyFont="1" applyFill="1" applyBorder="1" applyAlignment="1">
      <alignment vertical="center"/>
    </xf>
    <xf numFmtId="43" fontId="2" fillId="0" borderId="73" xfId="0" applyNumberFormat="1" applyFont="1" applyFill="1" applyBorder="1" applyAlignment="1">
      <alignment vertical="center"/>
    </xf>
    <xf numFmtId="171" fontId="2" fillId="0" borderId="73" xfId="0" applyNumberFormat="1" applyFont="1" applyFill="1" applyBorder="1" applyAlignment="1">
      <alignment vertical="center"/>
    </xf>
    <xf numFmtId="9" fontId="2" fillId="0" borderId="74" xfId="4" applyFont="1" applyFill="1" applyBorder="1" applyAlignment="1">
      <alignment vertical="center"/>
    </xf>
    <xf numFmtId="0" fontId="2" fillId="0" borderId="62" xfId="0" applyFont="1" applyFill="1" applyBorder="1"/>
    <xf numFmtId="165" fontId="2" fillId="0" borderId="63" xfId="1" applyFont="1" applyFill="1" applyBorder="1"/>
    <xf numFmtId="171" fontId="2" fillId="0" borderId="75" xfId="0" applyNumberFormat="1" applyFont="1" applyFill="1" applyBorder="1" applyAlignment="1">
      <alignment vertical="center"/>
    </xf>
    <xf numFmtId="9" fontId="2" fillId="0" borderId="64" xfId="4" applyFont="1" applyFill="1" applyBorder="1"/>
    <xf numFmtId="9" fontId="5" fillId="0" borderId="0" xfId="11" applyNumberFormat="1" applyFill="1"/>
    <xf numFmtId="9" fontId="2" fillId="0" borderId="0" xfId="4" applyFont="1" applyFill="1"/>
    <xf numFmtId="0" fontId="2" fillId="0" borderId="87" xfId="0" applyFont="1" applyFill="1" applyBorder="1" applyAlignment="1">
      <alignment horizontal="center" vertical="center" wrapText="1"/>
    </xf>
    <xf numFmtId="9" fontId="2" fillId="0" borderId="81" xfId="0" applyNumberFormat="1" applyFont="1" applyFill="1" applyBorder="1" applyAlignment="1">
      <alignment vertical="center"/>
    </xf>
    <xf numFmtId="9" fontId="2" fillId="0" borderId="75" xfId="4" applyFont="1" applyFill="1" applyBorder="1" applyAlignment="1">
      <alignment vertical="center"/>
    </xf>
    <xf numFmtId="165" fontId="2" fillId="0" borderId="75" xfId="1" applyFont="1" applyFill="1" applyBorder="1" applyAlignment="1">
      <alignment vertical="center"/>
    </xf>
    <xf numFmtId="173" fontId="2" fillId="0" borderId="75" xfId="1" applyNumberFormat="1" applyFont="1" applyFill="1" applyBorder="1" applyAlignment="1">
      <alignment vertical="center"/>
    </xf>
    <xf numFmtId="165" fontId="2" fillId="0" borderId="77" xfId="1" applyFont="1" applyFill="1" applyBorder="1" applyAlignment="1">
      <alignment vertical="center"/>
    </xf>
    <xf numFmtId="9" fontId="2" fillId="0" borderId="77" xfId="0" applyNumberFormat="1" applyFont="1" applyFill="1" applyBorder="1" applyAlignment="1">
      <alignment vertical="center"/>
    </xf>
    <xf numFmtId="165" fontId="2" fillId="0" borderId="0" xfId="1" applyFont="1" applyFill="1" applyBorder="1" applyAlignment="1">
      <alignment vertical="center"/>
    </xf>
    <xf numFmtId="0" fontId="2" fillId="0" borderId="94" xfId="0" applyFont="1" applyFill="1" applyBorder="1" applyAlignment="1">
      <alignment horizontal="center" vertical="center" wrapText="1"/>
    </xf>
    <xf numFmtId="171" fontId="2" fillId="0" borderId="0" xfId="0" applyNumberFormat="1" applyFont="1" applyFill="1" applyBorder="1" applyAlignment="1">
      <alignment vertical="center"/>
    </xf>
    <xf numFmtId="0" fontId="2" fillId="0" borderId="95" xfId="0" applyFont="1" applyFill="1" applyBorder="1" applyAlignment="1">
      <alignment horizontal="center" vertical="center" wrapText="1"/>
    </xf>
    <xf numFmtId="171" fontId="2" fillId="0" borderId="73" xfId="1" applyNumberFormat="1" applyFont="1" applyFill="1" applyBorder="1" applyAlignment="1">
      <alignment vertical="center"/>
    </xf>
    <xf numFmtId="168" fontId="42" fillId="0" borderId="74" xfId="4" applyNumberFormat="1" applyFont="1" applyFill="1" applyBorder="1" applyAlignment="1">
      <alignment vertical="center"/>
    </xf>
    <xf numFmtId="0" fontId="42" fillId="0" borderId="74" xfId="0" applyFont="1" applyFill="1" applyBorder="1" applyAlignment="1">
      <alignment vertical="center"/>
    </xf>
    <xf numFmtId="43" fontId="2" fillId="0" borderId="75" xfId="0" applyNumberFormat="1" applyFont="1" applyFill="1" applyBorder="1" applyAlignment="1">
      <alignment vertical="center"/>
    </xf>
    <xf numFmtId="171" fontId="2" fillId="0" borderId="75" xfId="1" applyNumberFormat="1" applyFont="1" applyFill="1" applyBorder="1" applyAlignment="1">
      <alignment vertical="center"/>
    </xf>
    <xf numFmtId="0" fontId="42" fillId="0" borderId="76" xfId="0" applyFont="1" applyFill="1" applyBorder="1" applyAlignment="1">
      <alignment vertical="center"/>
    </xf>
    <xf numFmtId="0" fontId="1" fillId="0" borderId="0" xfId="11" applyFont="1" applyFill="1" applyBorder="1"/>
    <xf numFmtId="9" fontId="5" fillId="0" borderId="0" xfId="11" applyNumberFormat="1" applyFill="1" applyBorder="1"/>
    <xf numFmtId="165" fontId="36" fillId="0" borderId="0" xfId="1" applyFont="1" applyFill="1" applyBorder="1"/>
    <xf numFmtId="171" fontId="5" fillId="0" borderId="0" xfId="11" applyNumberFormat="1" applyFill="1" applyBorder="1"/>
    <xf numFmtId="43" fontId="5" fillId="0" borderId="0" xfId="11" applyNumberFormat="1" applyFill="1"/>
    <xf numFmtId="0" fontId="1" fillId="0" borderId="0" xfId="11" applyFont="1" applyFill="1" applyBorder="1" applyAlignment="1">
      <alignment horizontal="right"/>
    </xf>
    <xf numFmtId="0" fontId="5" fillId="0" borderId="22" xfId="9" applyFont="1" applyBorder="1" applyAlignment="1">
      <alignment vertical="center"/>
    </xf>
    <xf numFmtId="0" fontId="1" fillId="0" borderId="22" xfId="10" applyFont="1" applyFill="1" applyBorder="1" applyAlignment="1">
      <alignment vertical="center" wrapText="1"/>
    </xf>
    <xf numFmtId="0" fontId="5" fillId="0" borderId="85" xfId="9" applyBorder="1" applyAlignment="1">
      <alignment vertical="center"/>
    </xf>
    <xf numFmtId="0" fontId="1" fillId="0" borderId="80" xfId="10" applyFont="1" applyFill="1" applyBorder="1" applyAlignment="1">
      <alignment vertical="center" wrapText="1"/>
    </xf>
    <xf numFmtId="9" fontId="5" fillId="3" borderId="85" xfId="4" applyNumberFormat="1" applyFont="1" applyFill="1" applyBorder="1" applyAlignment="1">
      <alignment horizontal="center" vertical="center"/>
    </xf>
    <xf numFmtId="9" fontId="1" fillId="0" borderId="68" xfId="4" applyFont="1" applyFill="1" applyBorder="1" applyAlignment="1">
      <alignment horizontal="center" vertical="center"/>
    </xf>
    <xf numFmtId="9" fontId="5" fillId="4" borderId="85" xfId="1" applyNumberFormat="1" applyFont="1" applyFill="1" applyBorder="1" applyAlignment="1">
      <alignment horizontal="center" vertical="center"/>
    </xf>
    <xf numFmtId="9" fontId="5" fillId="3" borderId="22" xfId="4" applyFont="1" applyFill="1" applyBorder="1" applyAlignment="1">
      <alignment horizontal="center" vertical="center"/>
    </xf>
    <xf numFmtId="9" fontId="1" fillId="0" borderId="64" xfId="10" applyNumberFormat="1" applyFont="1" applyFill="1" applyBorder="1" applyAlignment="1">
      <alignment horizontal="center" vertical="center"/>
    </xf>
    <xf numFmtId="9" fontId="5" fillId="4" borderId="22" xfId="1" applyNumberFormat="1" applyFont="1" applyFill="1" applyBorder="1" applyAlignment="1">
      <alignment horizontal="center" vertical="center"/>
    </xf>
    <xf numFmtId="173" fontId="5" fillId="0" borderId="0" xfId="1" applyNumberFormat="1" applyFont="1" applyBorder="1" applyAlignment="1">
      <alignment horizontal="left" vertical="center" wrapText="1"/>
    </xf>
    <xf numFmtId="6" fontId="23" fillId="0" borderId="12" xfId="5" applyNumberFormat="1" applyFont="1" applyFill="1" applyBorder="1" applyAlignment="1">
      <alignment horizontal="left" vertical="center" wrapText="1"/>
    </xf>
    <xf numFmtId="0" fontId="1" fillId="0" borderId="0" xfId="0" applyFont="1" applyAlignment="1">
      <alignment vertical="center" wrapText="1"/>
    </xf>
    <xf numFmtId="0" fontId="50" fillId="0" borderId="0" xfId="0" applyFont="1" applyAlignment="1">
      <alignment vertical="center" wrapText="1"/>
    </xf>
    <xf numFmtId="0" fontId="25" fillId="0" borderId="0" xfId="7" applyFont="1" applyBorder="1" applyAlignment="1" applyProtection="1">
      <alignment horizontal="left" wrapText="1"/>
    </xf>
    <xf numFmtId="0" fontId="5" fillId="0" borderId="0" xfId="6" applyNumberFormat="1" applyFont="1" applyBorder="1" applyAlignment="1">
      <alignment horizontal="left" wrapText="1"/>
    </xf>
    <xf numFmtId="0" fontId="1" fillId="0" borderId="0" xfId="6" applyFont="1" applyBorder="1" applyAlignment="1">
      <alignment horizontal="left" wrapText="1"/>
    </xf>
    <xf numFmtId="0" fontId="15" fillId="0" borderId="0" xfId="6" applyFont="1" applyBorder="1" applyAlignment="1">
      <alignment horizontal="left" wrapText="1"/>
    </xf>
    <xf numFmtId="0" fontId="1" fillId="0" borderId="0" xfId="0" applyFont="1" applyBorder="1" applyAlignment="1">
      <alignment horizontal="left" vertical="center"/>
    </xf>
    <xf numFmtId="0" fontId="2" fillId="0" borderId="0" xfId="5" applyFont="1" applyAlignment="1">
      <alignment wrapText="1"/>
    </xf>
    <xf numFmtId="0" fontId="25" fillId="0" borderId="0" xfId="7" applyFont="1" applyBorder="1" applyAlignment="1" applyProtection="1">
      <alignment vertical="center" wrapText="1"/>
    </xf>
    <xf numFmtId="0" fontId="1" fillId="0" borderId="0" xfId="5" applyFont="1" applyAlignment="1">
      <alignment wrapText="1"/>
    </xf>
    <xf numFmtId="0" fontId="25" fillId="0" borderId="0" xfId="7" applyFont="1" applyBorder="1" applyAlignment="1" applyProtection="1">
      <alignment horizontal="left" vertical="center"/>
    </xf>
    <xf numFmtId="0" fontId="1" fillId="0" borderId="0" xfId="5" applyFont="1"/>
    <xf numFmtId="0" fontId="25" fillId="0" borderId="0" xfId="7" applyFont="1" applyBorder="1" applyAlignment="1" applyProtection="1">
      <alignment horizontal="left" wrapText="1" indent="3"/>
    </xf>
    <xf numFmtId="0" fontId="1" fillId="0" borderId="0" xfId="5" applyFont="1" applyAlignment="1">
      <alignment horizontal="left" wrapText="1" indent="3"/>
    </xf>
    <xf numFmtId="0" fontId="1" fillId="0" borderId="0" xfId="5" applyNumberFormat="1" applyFont="1" applyBorder="1" applyAlignment="1">
      <alignment horizontal="left" wrapText="1" indent="3"/>
    </xf>
    <xf numFmtId="0" fontId="25" fillId="0" borderId="0" xfId="7" applyFont="1" applyAlignment="1" applyProtection="1">
      <alignment horizontal="left" indent="3"/>
    </xf>
    <xf numFmtId="0" fontId="1" fillId="0" borderId="0" xfId="5" applyNumberFormat="1" applyFont="1" applyBorder="1" applyAlignment="1">
      <alignment horizontal="left" indent="3"/>
    </xf>
    <xf numFmtId="0" fontId="1" fillId="0" borderId="0" xfId="0" applyFont="1" applyBorder="1" applyAlignment="1">
      <alignment horizontal="left" vertical="center" indent="3"/>
    </xf>
    <xf numFmtId="0" fontId="1" fillId="0" borderId="0" xfId="5" applyFont="1" applyFill="1" applyBorder="1" applyAlignment="1">
      <alignment horizontal="justify" vertical="center" wrapText="1"/>
    </xf>
    <xf numFmtId="0" fontId="1" fillId="0" borderId="0" xfId="5" applyFont="1" applyFill="1" applyBorder="1" applyAlignment="1">
      <alignment vertical="center" wrapText="1"/>
    </xf>
    <xf numFmtId="0" fontId="5" fillId="0" borderId="0" xfId="5" applyFont="1" applyFill="1" applyBorder="1" applyAlignment="1">
      <alignment horizontal="justify" vertical="center" wrapText="1"/>
    </xf>
    <xf numFmtId="0" fontId="1" fillId="0" borderId="0" xfId="11" applyFont="1" applyFill="1"/>
    <xf numFmtId="0" fontId="1" fillId="0" borderId="0" xfId="0" applyFont="1" applyBorder="1" applyAlignment="1">
      <alignment vertical="center" wrapText="1"/>
    </xf>
    <xf numFmtId="0" fontId="1" fillId="0" borderId="0" xfId="5" applyNumberFormat="1" applyFont="1" applyFill="1" applyBorder="1" applyAlignment="1">
      <alignment horizontal="justify" vertical="top" wrapText="1"/>
    </xf>
    <xf numFmtId="11" fontId="0" fillId="0" borderId="0" xfId="0" applyNumberFormat="1"/>
    <xf numFmtId="0" fontId="0" fillId="0" borderId="0" xfId="0" quotePrefix="1"/>
    <xf numFmtId="7" fontId="0" fillId="0" borderId="0" xfId="0" applyNumberFormat="1"/>
    <xf numFmtId="0" fontId="51" fillId="0" borderId="0" xfId="0" applyFont="1" applyAlignment="1">
      <alignment horizontal="center"/>
    </xf>
    <xf numFmtId="0" fontId="0" fillId="0" borderId="0" xfId="0" applyAlignment="1">
      <alignment horizontal="right" vertical="top"/>
    </xf>
    <xf numFmtId="0" fontId="0" fillId="0" borderId="0" xfId="0" applyAlignment="1">
      <alignment horizontal="center"/>
    </xf>
    <xf numFmtId="0" fontId="51" fillId="0" borderId="0" xfId="0" applyFont="1"/>
    <xf numFmtId="0" fontId="51" fillId="0" borderId="1" xfId="0" applyFont="1" applyBorder="1"/>
    <xf numFmtId="0" fontId="51" fillId="0" borderId="80" xfId="0" applyFont="1" applyBorder="1"/>
    <xf numFmtId="0" fontId="51" fillId="0" borderId="80" xfId="0" applyFont="1" applyBorder="1" applyAlignment="1">
      <alignment horizontal="center"/>
    </xf>
    <xf numFmtId="0" fontId="51" fillId="0" borderId="3" xfId="0" applyFont="1" applyBorder="1" applyAlignment="1">
      <alignment horizontal="right" vertical="top"/>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applyAlignment="1">
      <alignment horizontal="right" vertical="top"/>
    </xf>
    <xf numFmtId="0" fontId="0" fillId="0" borderId="0" xfId="0" applyBorder="1" applyAlignment="1">
      <alignment horizontal="right"/>
    </xf>
    <xf numFmtId="3" fontId="0" fillId="0" borderId="0" xfId="0" applyNumberFormat="1" applyBorder="1"/>
    <xf numFmtId="168" fontId="0" fillId="0" borderId="0" xfId="0" applyNumberFormat="1" applyBorder="1" applyAlignment="1">
      <alignment horizontal="right"/>
    </xf>
    <xf numFmtId="184" fontId="0" fillId="0" borderId="0" xfId="0" applyNumberFormat="1" applyBorder="1"/>
    <xf numFmtId="4" fontId="0" fillId="0" borderId="0" xfId="0" applyNumberFormat="1" applyBorder="1"/>
    <xf numFmtId="0" fontId="51" fillId="0" borderId="4" xfId="0" applyFont="1" applyBorder="1"/>
    <xf numFmtId="0" fontId="51" fillId="0" borderId="0" xfId="0" applyFont="1" applyBorder="1"/>
    <xf numFmtId="0" fontId="51" fillId="0" borderId="0" xfId="0" applyFont="1" applyBorder="1" applyAlignment="1">
      <alignment horizontal="center"/>
    </xf>
    <xf numFmtId="0" fontId="51" fillId="0" borderId="5" xfId="0" applyFont="1" applyBorder="1" applyAlignment="1">
      <alignment horizontal="right" vertical="top"/>
    </xf>
    <xf numFmtId="0" fontId="0" fillId="0" borderId="63" xfId="0" applyBorder="1"/>
    <xf numFmtId="168" fontId="0" fillId="0" borderId="63" xfId="0" applyNumberFormat="1" applyBorder="1"/>
    <xf numFmtId="0" fontId="0" fillId="0" borderId="63" xfId="0" applyBorder="1" applyAlignment="1">
      <alignment horizontal="center"/>
    </xf>
    <xf numFmtId="0" fontId="0" fillId="0" borderId="64" xfId="0" applyBorder="1" applyAlignment="1">
      <alignment horizontal="right" vertical="top"/>
    </xf>
    <xf numFmtId="0" fontId="0" fillId="0" borderId="3" xfId="0" applyBorder="1"/>
    <xf numFmtId="0" fontId="0" fillId="0" borderId="0" xfId="0" applyBorder="1" applyAlignment="1">
      <alignment horizontal="right" vertical="top"/>
    </xf>
    <xf numFmtId="0" fontId="0" fillId="0" borderId="5" xfId="0" applyBorder="1"/>
    <xf numFmtId="180" fontId="0" fillId="0" borderId="0" xfId="0" applyNumberFormat="1" applyBorder="1" applyAlignment="1">
      <alignment horizontal="right"/>
    </xf>
    <xf numFmtId="9" fontId="0" fillId="0" borderId="0" xfId="0" applyNumberFormat="1" applyBorder="1" applyAlignment="1">
      <alignment horizontal="right"/>
    </xf>
    <xf numFmtId="0" fontId="0" fillId="0" borderId="63" xfId="0" applyBorder="1" applyAlignment="1">
      <alignment horizontal="right" vertical="top"/>
    </xf>
    <xf numFmtId="0" fontId="0" fillId="0" borderId="64" xfId="0" applyBorder="1"/>
    <xf numFmtId="0" fontId="0" fillId="0" borderId="1" xfId="0" applyBorder="1"/>
    <xf numFmtId="0" fontId="0" fillId="0" borderId="80" xfId="0" applyBorder="1"/>
    <xf numFmtId="0" fontId="0" fillId="0" borderId="80" xfId="0" applyBorder="1" applyAlignment="1">
      <alignment horizontal="center"/>
    </xf>
    <xf numFmtId="10" fontId="0" fillId="0" borderId="0" xfId="0" applyNumberFormat="1" applyBorder="1"/>
    <xf numFmtId="2" fontId="0" fillId="0" borderId="0" xfId="0" applyNumberFormat="1" applyBorder="1"/>
    <xf numFmtId="0" fontId="14" fillId="0" borderId="78" xfId="0" applyFont="1" applyFill="1" applyBorder="1" applyAlignment="1">
      <alignment horizontal="left" vertical="center"/>
    </xf>
    <xf numFmtId="168" fontId="3" fillId="0" borderId="78" xfId="4" applyNumberFormat="1" applyFont="1" applyFill="1" applyBorder="1" applyAlignment="1">
      <alignment horizontal="center" vertical="center"/>
    </xf>
    <xf numFmtId="0" fontId="3" fillId="0" borderId="78" xfId="0" applyFont="1" applyFill="1" applyBorder="1" applyAlignment="1">
      <alignment horizontal="center" vertical="center"/>
    </xf>
    <xf numFmtId="0" fontId="3" fillId="0" borderId="78" xfId="0" applyFont="1" applyFill="1" applyBorder="1" applyAlignment="1">
      <alignment horizontal="left" vertical="center"/>
    </xf>
    <xf numFmtId="168" fontId="16" fillId="0" borderId="78" xfId="0" applyNumberFormat="1" applyFont="1" applyFill="1" applyBorder="1" applyAlignment="1">
      <alignment horizontal="center" vertical="center"/>
    </xf>
    <xf numFmtId="173" fontId="12" fillId="0" borderId="0" xfId="1" applyNumberFormat="1" applyFont="1" applyFill="1" applyBorder="1" applyAlignment="1">
      <alignment vertical="center"/>
    </xf>
    <xf numFmtId="173" fontId="12"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85" fontId="2" fillId="0" borderId="23" xfId="2" applyNumberFormat="1" applyFont="1" applyFill="1" applyBorder="1"/>
    <xf numFmtId="185" fontId="2" fillId="0" borderId="22" xfId="2" applyNumberFormat="1" applyFont="1" applyFill="1" applyBorder="1"/>
    <xf numFmtId="0" fontId="1" fillId="0" borderId="0" xfId="6" applyFont="1" applyBorder="1" applyAlignment="1">
      <alignment horizontal="left" vertical="top" wrapText="1"/>
    </xf>
    <xf numFmtId="0" fontId="1" fillId="0" borderId="0" xfId="6" applyNumberFormat="1" applyFont="1" applyBorder="1" applyAlignment="1">
      <alignment horizontal="left" wrapText="1"/>
    </xf>
    <xf numFmtId="0" fontId="52" fillId="8" borderId="37" xfId="0" applyFont="1" applyFill="1" applyBorder="1" applyAlignment="1">
      <alignment horizontal="left" vertical="center"/>
    </xf>
    <xf numFmtId="0" fontId="36" fillId="7" borderId="37" xfId="0" applyFont="1" applyFill="1" applyBorder="1" applyAlignment="1">
      <alignment vertical="center"/>
    </xf>
    <xf numFmtId="0" fontId="36" fillId="3" borderId="0" xfId="0" applyFont="1" applyFill="1"/>
    <xf numFmtId="9" fontId="36" fillId="7" borderId="37" xfId="0" applyNumberFormat="1" applyFont="1" applyFill="1" applyBorder="1" applyAlignment="1">
      <alignment vertical="center"/>
    </xf>
    <xf numFmtId="169" fontId="36" fillId="7" borderId="37" xfId="0" applyNumberFormat="1" applyFont="1" applyFill="1" applyBorder="1" applyAlignment="1">
      <alignment vertical="center"/>
    </xf>
    <xf numFmtId="0" fontId="36" fillId="7" borderId="37" xfId="0" applyFont="1" applyFill="1" applyBorder="1" applyAlignment="1">
      <alignment vertical="center" wrapText="1"/>
    </xf>
    <xf numFmtId="0" fontId="52" fillId="8" borderId="37" xfId="0" applyFont="1" applyFill="1" applyBorder="1" applyAlignment="1">
      <alignment vertical="center"/>
    </xf>
    <xf numFmtId="2" fontId="36" fillId="7" borderId="37" xfId="0" applyNumberFormat="1" applyFont="1" applyFill="1" applyBorder="1" applyAlignment="1">
      <alignment vertical="center"/>
    </xf>
    <xf numFmtId="2" fontId="36" fillId="0" borderId="37" xfId="0" applyNumberFormat="1" applyFont="1" applyFill="1" applyBorder="1" applyAlignment="1">
      <alignment vertical="center"/>
    </xf>
    <xf numFmtId="165" fontId="36" fillId="7" borderId="37" xfId="1" applyFont="1" applyFill="1" applyBorder="1" applyAlignment="1">
      <alignment vertical="center"/>
    </xf>
    <xf numFmtId="186" fontId="36" fillId="7" borderId="37" xfId="1" applyNumberFormat="1" applyFont="1" applyFill="1" applyBorder="1" applyAlignment="1">
      <alignment vertical="center"/>
    </xf>
    <xf numFmtId="186" fontId="36" fillId="3" borderId="0" xfId="1" applyNumberFormat="1" applyFont="1" applyFill="1"/>
    <xf numFmtId="0" fontId="3" fillId="0" borderId="78" xfId="0" applyFont="1" applyFill="1" applyBorder="1" applyAlignment="1">
      <alignment horizontal="left" vertical="center" inden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3" fillId="0" borderId="85" xfId="0" applyFont="1" applyFill="1" applyBorder="1" applyAlignment="1">
      <alignment horizontal="left" vertical="center"/>
    </xf>
    <xf numFmtId="2" fontId="0" fillId="0" borderId="85" xfId="0" applyNumberFormat="1" applyFill="1" applyBorder="1" applyAlignment="1">
      <alignment horizontal="center" vertical="center"/>
    </xf>
    <xf numFmtId="0" fontId="3" fillId="0" borderId="80" xfId="0" applyFont="1" applyFill="1" applyBorder="1" applyAlignment="1">
      <alignment horizontal="left" vertical="center"/>
    </xf>
    <xf numFmtId="2" fontId="0" fillId="0" borderId="80" xfId="0" applyNumberFormat="1" applyFill="1" applyBorder="1" applyAlignment="1">
      <alignment horizontal="center" vertical="center"/>
    </xf>
    <xf numFmtId="169" fontId="3" fillId="0" borderId="78" xfId="0" applyNumberFormat="1" applyFont="1" applyFill="1" applyBorder="1" applyAlignment="1">
      <alignment horizontal="center" vertical="center"/>
    </xf>
    <xf numFmtId="169" fontId="1" fillId="0" borderId="78" xfId="0" applyNumberFormat="1" applyFont="1" applyFill="1" applyBorder="1" applyAlignment="1">
      <alignment horizontal="center" vertical="center"/>
    </xf>
    <xf numFmtId="2" fontId="3" fillId="0" borderId="85" xfId="0" applyNumberFormat="1"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right" vertical="center"/>
    </xf>
    <xf numFmtId="0" fontId="5" fillId="0" borderId="78" xfId="0" applyFont="1" applyFill="1" applyBorder="1" applyAlignment="1">
      <alignment horizontal="left"/>
    </xf>
    <xf numFmtId="0" fontId="2" fillId="0" borderId="78" xfId="0" applyFont="1" applyFill="1" applyBorder="1" applyAlignment="1">
      <alignment horizontal="center" vertical="center"/>
    </xf>
    <xf numFmtId="0" fontId="0" fillId="6" borderId="0" xfId="0" applyFill="1" applyBorder="1"/>
    <xf numFmtId="0" fontId="17" fillId="6" borderId="0" xfId="0" applyFont="1" applyFill="1" applyBorder="1" applyAlignment="1">
      <alignment horizontal="center" vertical="center"/>
    </xf>
    <xf numFmtId="0" fontId="36" fillId="7" borderId="0" xfId="0" applyFont="1" applyFill="1" applyBorder="1" applyAlignment="1">
      <alignment vertical="center" wrapText="1"/>
    </xf>
    <xf numFmtId="186" fontId="36" fillId="7" borderId="0" xfId="1" applyNumberFormat="1" applyFont="1" applyFill="1" applyBorder="1" applyAlignment="1">
      <alignment vertical="center"/>
    </xf>
    <xf numFmtId="0" fontId="36" fillId="7" borderId="0" xfId="0" applyFont="1" applyFill="1" applyBorder="1" applyAlignment="1">
      <alignment vertical="center"/>
    </xf>
    <xf numFmtId="2" fontId="36" fillId="0" borderId="0" xfId="0" applyNumberFormat="1" applyFont="1" applyFill="1" applyBorder="1" applyAlignment="1">
      <alignment vertical="center"/>
    </xf>
    <xf numFmtId="0" fontId="52" fillId="8" borderId="63" xfId="0" applyFont="1" applyFill="1" applyBorder="1" applyAlignment="1">
      <alignment vertical="center"/>
    </xf>
    <xf numFmtId="0" fontId="1" fillId="0" borderId="91" xfId="5" applyFont="1" applyFill="1" applyBorder="1" applyAlignment="1">
      <alignment horizontal="left" vertical="center" wrapText="1"/>
    </xf>
    <xf numFmtId="0" fontId="22" fillId="0" borderId="42" xfId="0" applyFont="1" applyBorder="1" applyAlignment="1">
      <alignment vertical="center"/>
    </xf>
    <xf numFmtId="0" fontId="3" fillId="0" borderId="43" xfId="0" applyFont="1" applyFill="1" applyBorder="1" applyAlignment="1">
      <alignment vertical="center"/>
    </xf>
    <xf numFmtId="168" fontId="36" fillId="7" borderId="37" xfId="4" applyNumberFormat="1" applyFont="1" applyFill="1" applyBorder="1" applyAlignment="1">
      <alignment vertical="center"/>
    </xf>
    <xf numFmtId="168" fontId="3" fillId="0" borderId="12" xfId="9" applyNumberFormat="1" applyFont="1" applyBorder="1" applyAlignment="1">
      <alignment horizontal="center"/>
    </xf>
    <xf numFmtId="0" fontId="53" fillId="8" borderId="40" xfId="0" applyFont="1" applyFill="1" applyBorder="1" applyAlignment="1">
      <alignment vertical="center"/>
    </xf>
    <xf numFmtId="0" fontId="53" fillId="8" borderId="40" xfId="0" applyFont="1" applyFill="1" applyBorder="1" applyAlignment="1">
      <alignment vertical="center" wrapText="1"/>
    </xf>
    <xf numFmtId="0" fontId="54" fillId="7" borderId="37" xfId="0" applyFont="1" applyFill="1" applyBorder="1" applyAlignment="1">
      <alignment vertical="center"/>
    </xf>
    <xf numFmtId="0" fontId="54" fillId="7" borderId="37" xfId="0" applyFont="1" applyFill="1" applyBorder="1" applyAlignment="1">
      <alignment vertical="center" wrapText="1"/>
    </xf>
    <xf numFmtId="0" fontId="54" fillId="7" borderId="0" xfId="0" applyFont="1" applyFill="1" applyAlignment="1">
      <alignment vertical="center"/>
    </xf>
    <xf numFmtId="9" fontId="54" fillId="7" borderId="37" xfId="0" applyNumberFormat="1" applyFont="1" applyFill="1" applyBorder="1" applyAlignment="1">
      <alignment vertical="center"/>
    </xf>
    <xf numFmtId="3" fontId="54" fillId="7" borderId="37" xfId="0" applyNumberFormat="1" applyFont="1" applyFill="1" applyBorder="1" applyAlignment="1">
      <alignment vertical="center"/>
    </xf>
    <xf numFmtId="0" fontId="54" fillId="7" borderId="38" xfId="0" applyFont="1" applyFill="1" applyBorder="1" applyAlignment="1">
      <alignment vertical="center"/>
    </xf>
    <xf numFmtId="168" fontId="3" fillId="3" borderId="0" xfId="4" applyNumberFormat="1" applyFont="1" applyFill="1"/>
    <xf numFmtId="2" fontId="3" fillId="3" borderId="0" xfId="0" applyNumberFormat="1" applyFont="1" applyFill="1"/>
    <xf numFmtId="173" fontId="55" fillId="7" borderId="37" xfId="1" applyNumberFormat="1" applyFont="1" applyFill="1" applyBorder="1" applyAlignment="1">
      <alignment vertical="center"/>
    </xf>
    <xf numFmtId="0" fontId="56" fillId="0" borderId="0" xfId="0" applyFont="1"/>
    <xf numFmtId="0" fontId="5" fillId="0" borderId="0" xfId="5" applyBorder="1" applyAlignment="1">
      <alignment horizontal="left" vertical="top"/>
    </xf>
    <xf numFmtId="0" fontId="10" fillId="0" borderId="78" xfId="0" applyFont="1" applyFill="1" applyBorder="1" applyAlignment="1">
      <alignment horizontal="left"/>
    </xf>
    <xf numFmtId="3" fontId="3" fillId="0" borderId="0" xfId="0" applyNumberFormat="1" applyFont="1" applyFill="1" applyBorder="1"/>
    <xf numFmtId="0" fontId="1" fillId="11" borderId="18" xfId="0" applyFont="1" applyFill="1" applyBorder="1"/>
    <xf numFmtId="0" fontId="1" fillId="11" borderId="13" xfId="0" applyFont="1" applyFill="1" applyBorder="1"/>
    <xf numFmtId="0" fontId="14" fillId="12" borderId="20" xfId="0" applyFont="1" applyFill="1" applyBorder="1"/>
    <xf numFmtId="0" fontId="1" fillId="12" borderId="18" xfId="0" applyFont="1" applyFill="1" applyBorder="1"/>
    <xf numFmtId="0" fontId="1" fillId="12" borderId="13" xfId="0" applyFont="1" applyFill="1" applyBorder="1"/>
    <xf numFmtId="0" fontId="10" fillId="12" borderId="0" xfId="0" applyFont="1" applyFill="1" applyBorder="1" applyAlignment="1">
      <alignment horizontal="left"/>
    </xf>
    <xf numFmtId="0" fontId="10" fillId="12" borderId="0" xfId="0" applyFont="1" applyFill="1" applyBorder="1" applyAlignment="1">
      <alignment horizontal="right"/>
    </xf>
    <xf numFmtId="0" fontId="1" fillId="12" borderId="0" xfId="0" applyFont="1" applyFill="1" applyBorder="1"/>
    <xf numFmtId="9" fontId="1" fillId="12" borderId="0" xfId="0" applyNumberFormat="1" applyFont="1" applyFill="1" applyBorder="1"/>
    <xf numFmtId="0" fontId="1" fillId="12" borderId="17" xfId="0" applyFont="1" applyFill="1" applyBorder="1"/>
    <xf numFmtId="0" fontId="10" fillId="12" borderId="0" xfId="0" applyFont="1" applyFill="1" applyBorder="1"/>
    <xf numFmtId="0" fontId="14" fillId="13" borderId="20" xfId="0" applyFont="1" applyFill="1" applyBorder="1"/>
    <xf numFmtId="0" fontId="14" fillId="5" borderId="20" xfId="0" applyFont="1" applyFill="1" applyBorder="1"/>
    <xf numFmtId="0" fontId="1" fillId="5" borderId="13" xfId="0" applyFont="1" applyFill="1" applyBorder="1"/>
    <xf numFmtId="0" fontId="1" fillId="5" borderId="0" xfId="0" applyFont="1" applyFill="1" applyBorder="1"/>
    <xf numFmtId="0" fontId="1" fillId="5" borderId="17" xfId="0" applyFont="1" applyFill="1" applyBorder="1"/>
    <xf numFmtId="173" fontId="1" fillId="5" borderId="0" xfId="0" applyNumberFormat="1" applyFont="1" applyFill="1" applyBorder="1"/>
    <xf numFmtId="0" fontId="10" fillId="0" borderId="14" xfId="0" applyFont="1" applyFill="1" applyBorder="1" applyAlignment="1">
      <alignment horizontal="left" indent="2"/>
    </xf>
    <xf numFmtId="171" fontId="1" fillId="0" borderId="0" xfId="1" applyNumberFormat="1" applyFont="1" applyFill="1" applyBorder="1"/>
    <xf numFmtId="173" fontId="1" fillId="0" borderId="0" xfId="1" applyNumberFormat="1" applyFont="1" applyFill="1" applyBorder="1"/>
    <xf numFmtId="168" fontId="1" fillId="0" borderId="0" xfId="4" applyNumberFormat="1" applyFont="1" applyFill="1" applyBorder="1"/>
    <xf numFmtId="0" fontId="1" fillId="0" borderId="15" xfId="0" applyFont="1" applyFill="1" applyBorder="1"/>
    <xf numFmtId="0" fontId="1" fillId="0" borderId="12" xfId="0" applyFont="1" applyFill="1" applyBorder="1"/>
    <xf numFmtId="0" fontId="1" fillId="0" borderId="0" xfId="0" applyFont="1" applyFill="1" applyBorder="1"/>
    <xf numFmtId="0" fontId="1" fillId="0" borderId="0" xfId="0" applyFont="1" applyFill="1"/>
    <xf numFmtId="0" fontId="1" fillId="9" borderId="0" xfId="0" applyFont="1" applyFill="1" applyBorder="1"/>
    <xf numFmtId="0" fontId="1" fillId="9" borderId="18" xfId="0" applyFont="1" applyFill="1" applyBorder="1"/>
    <xf numFmtId="0" fontId="1" fillId="9" borderId="13" xfId="0" applyFont="1" applyFill="1" applyBorder="1"/>
    <xf numFmtId="0" fontId="1" fillId="9" borderId="17" xfId="0" applyFont="1" applyFill="1" applyBorder="1"/>
    <xf numFmtId="0" fontId="3" fillId="0" borderId="14" xfId="0" applyFont="1" applyFill="1" applyBorder="1"/>
    <xf numFmtId="0" fontId="1" fillId="0" borderId="17" xfId="0" applyFont="1" applyFill="1" applyBorder="1"/>
    <xf numFmtId="0" fontId="3" fillId="0" borderId="17" xfId="0" applyFont="1" applyFill="1" applyBorder="1"/>
    <xf numFmtId="0" fontId="1" fillId="0" borderId="14" xfId="0" applyFont="1" applyFill="1" applyBorder="1" applyAlignment="1">
      <alignment horizontal="left" indent="2"/>
    </xf>
    <xf numFmtId="0" fontId="10" fillId="0" borderId="14" xfId="0" applyFont="1" applyFill="1" applyBorder="1" applyAlignment="1">
      <alignment horizontal="left" indent="4"/>
    </xf>
    <xf numFmtId="3" fontId="1" fillId="0" borderId="0" xfId="0" applyNumberFormat="1" applyFont="1" applyFill="1" applyBorder="1"/>
    <xf numFmtId="166" fontId="1" fillId="0" borderId="0" xfId="0" applyNumberFormat="1" applyFont="1" applyFill="1" applyBorder="1"/>
    <xf numFmtId="3" fontId="1" fillId="0" borderId="0" xfId="1" applyNumberFormat="1" applyFont="1" applyFill="1" applyBorder="1"/>
    <xf numFmtId="0" fontId="1" fillId="0" borderId="0" xfId="1" applyNumberFormat="1" applyFont="1" applyFill="1" applyBorder="1"/>
    <xf numFmtId="173" fontId="1" fillId="0" borderId="0" xfId="0" applyNumberFormat="1" applyFont="1" applyFill="1" applyBorder="1"/>
    <xf numFmtId="2" fontId="1" fillId="0" borderId="0" xfId="0" applyNumberFormat="1" applyFont="1" applyFill="1" applyBorder="1"/>
    <xf numFmtId="0" fontId="1" fillId="0" borderId="63" xfId="0" applyFont="1" applyFill="1" applyBorder="1"/>
    <xf numFmtId="0" fontId="3" fillId="5" borderId="20" xfId="0" applyFont="1" applyFill="1" applyBorder="1"/>
    <xf numFmtId="0" fontId="14" fillId="11" borderId="14" xfId="0" applyFont="1" applyFill="1" applyBorder="1" applyAlignment="1">
      <alignment horizontal="left"/>
    </xf>
    <xf numFmtId="0" fontId="14" fillId="11" borderId="0" xfId="0" applyFont="1" applyFill="1" applyBorder="1" applyAlignment="1">
      <alignment horizontal="left"/>
    </xf>
    <xf numFmtId="0" fontId="14" fillId="11" borderId="0" xfId="0" applyFont="1" applyFill="1" applyBorder="1" applyAlignment="1">
      <alignment horizontal="center"/>
    </xf>
    <xf numFmtId="0" fontId="14" fillId="11" borderId="17" xfId="0" applyFont="1" applyFill="1" applyBorder="1" applyAlignment="1">
      <alignment horizontal="center" wrapText="1"/>
    </xf>
    <xf numFmtId="0" fontId="14" fillId="12" borderId="14" xfId="0" applyFont="1" applyFill="1" applyBorder="1" applyAlignment="1">
      <alignment horizontal="left"/>
    </xf>
    <xf numFmtId="0" fontId="42" fillId="0" borderId="0" xfId="0" applyFont="1" applyFill="1"/>
    <xf numFmtId="0" fontId="20" fillId="0" borderId="0" xfId="5" applyFont="1" applyFill="1" applyBorder="1" applyAlignment="1"/>
    <xf numFmtId="49" fontId="19" fillId="0" borderId="0" xfId="5" applyNumberFormat="1" applyFont="1" applyFill="1" applyAlignment="1">
      <alignment horizontal="left"/>
    </xf>
    <xf numFmtId="3" fontId="3" fillId="0" borderId="0" xfId="0" applyNumberFormat="1" applyFont="1" applyFill="1"/>
    <xf numFmtId="0" fontId="21" fillId="0" borderId="0" xfId="8" applyFont="1" applyFill="1"/>
    <xf numFmtId="0" fontId="2" fillId="0" borderId="0" xfId="0" applyFont="1" applyFill="1"/>
    <xf numFmtId="0" fontId="5" fillId="0" borderId="0" xfId="0" applyFont="1" applyFill="1"/>
    <xf numFmtId="0" fontId="3" fillId="0" borderId="8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 xfId="0" applyFont="1" applyFill="1" applyBorder="1" applyAlignment="1">
      <alignment horizontal="left" indent="1"/>
    </xf>
    <xf numFmtId="0" fontId="3" fillId="0" borderId="20" xfId="0" applyFont="1" applyFill="1" applyBorder="1" applyAlignment="1">
      <alignment horizontal="center" vertical="top" wrapText="1"/>
    </xf>
    <xf numFmtId="0" fontId="3" fillId="0" borderId="28" xfId="0" applyFont="1" applyFill="1" applyBorder="1" applyAlignment="1">
      <alignment horizontal="center" vertical="top" wrapText="1"/>
    </xf>
    <xf numFmtId="173" fontId="1" fillId="0" borderId="0" xfId="1" applyNumberFormat="1" applyFont="1" applyFill="1" applyBorder="1" applyAlignment="1">
      <alignment vertical="center"/>
    </xf>
    <xf numFmtId="0" fontId="10" fillId="0" borderId="12" xfId="0" applyFont="1" applyFill="1" applyBorder="1" applyAlignment="1">
      <alignment horizontal="left" wrapText="1" indent="1"/>
    </xf>
    <xf numFmtId="3" fontId="3" fillId="0" borderId="12" xfId="0" applyNumberFormat="1" applyFont="1" applyFill="1" applyBorder="1" applyAlignment="1">
      <alignment horizontal="center"/>
    </xf>
    <xf numFmtId="0" fontId="10" fillId="0" borderId="12" xfId="0" applyFont="1" applyFill="1" applyBorder="1" applyAlignment="1">
      <alignment horizontal="left" vertical="top" wrapText="1" indent="1"/>
    </xf>
    <xf numFmtId="0" fontId="10" fillId="0" borderId="12" xfId="0" applyFont="1" applyFill="1" applyBorder="1" applyAlignment="1">
      <alignment horizontal="center"/>
    </xf>
    <xf numFmtId="0" fontId="3" fillId="0" borderId="84" xfId="0" applyFont="1" applyFill="1" applyBorder="1" applyAlignment="1">
      <alignment vertical="center"/>
    </xf>
    <xf numFmtId="173" fontId="3" fillId="0" borderId="84" xfId="0" applyNumberFormat="1" applyFont="1" applyFill="1" applyBorder="1" applyAlignment="1">
      <alignment vertical="center"/>
    </xf>
    <xf numFmtId="173" fontId="3" fillId="0" borderId="86" xfId="0" applyNumberFormat="1" applyFont="1" applyFill="1" applyBorder="1" applyAlignment="1">
      <alignment vertical="center"/>
    </xf>
    <xf numFmtId="173" fontId="3" fillId="0" borderId="78" xfId="0" applyNumberFormat="1" applyFont="1" applyFill="1" applyBorder="1" applyAlignment="1">
      <alignment vertical="center"/>
    </xf>
    <xf numFmtId="0" fontId="3" fillId="0" borderId="79" xfId="0" applyFont="1" applyFill="1" applyBorder="1"/>
    <xf numFmtId="0" fontId="3" fillId="0" borderId="68" xfId="0" applyFont="1" applyFill="1" applyBorder="1" applyAlignment="1">
      <alignment horizontal="center"/>
    </xf>
    <xf numFmtId="0" fontId="2" fillId="0" borderId="0" xfId="0" applyFont="1" applyFill="1" applyAlignment="1">
      <alignment horizontal="center" vertical="center"/>
    </xf>
    <xf numFmtId="0" fontId="8" fillId="0" borderId="4" xfId="0" applyFont="1" applyFill="1" applyBorder="1" applyAlignment="1">
      <alignment horizontal="left" indent="1"/>
    </xf>
    <xf numFmtId="173" fontId="3" fillId="0" borderId="0" xfId="0" applyNumberFormat="1" applyFont="1" applyFill="1" applyBorder="1" applyAlignment="1">
      <alignment horizontal="center"/>
    </xf>
    <xf numFmtId="173" fontId="3" fillId="0" borderId="5" xfId="0" applyNumberFormat="1" applyFont="1" applyFill="1" applyBorder="1" applyAlignment="1">
      <alignment horizontal="center"/>
    </xf>
    <xf numFmtId="173" fontId="3" fillId="0" borderId="23" xfId="1" applyNumberFormat="1" applyFont="1" applyFill="1" applyBorder="1"/>
    <xf numFmtId="0" fontId="2" fillId="0" borderId="0" xfId="0" applyFont="1" applyFill="1" applyAlignment="1">
      <alignment vertical="center"/>
    </xf>
    <xf numFmtId="3" fontId="3" fillId="0" borderId="79" xfId="0" applyNumberFormat="1" applyFont="1" applyFill="1" applyBorder="1" applyAlignment="1">
      <alignment vertical="center"/>
    </xf>
    <xf numFmtId="0" fontId="3" fillId="0" borderId="68" xfId="0" applyFont="1" applyFill="1" applyBorder="1" applyAlignment="1">
      <alignment horizontal="center" vertical="center"/>
    </xf>
    <xf numFmtId="173" fontId="2" fillId="0" borderId="0" xfId="0" applyNumberFormat="1" applyFont="1" applyFill="1" applyAlignment="1">
      <alignment vertical="center"/>
    </xf>
    <xf numFmtId="0" fontId="5" fillId="0" borderId="0" xfId="0" applyFont="1" applyFill="1" applyAlignment="1">
      <alignment vertical="center"/>
    </xf>
    <xf numFmtId="1" fontId="10" fillId="0" borderId="4" xfId="0" applyNumberFormat="1" applyFont="1" applyFill="1" applyBorder="1" applyAlignment="1">
      <alignment horizontal="left"/>
    </xf>
    <xf numFmtId="1" fontId="10" fillId="0" borderId="62" xfId="0" applyNumberFormat="1" applyFont="1" applyFill="1" applyBorder="1" applyAlignment="1">
      <alignment horizontal="left"/>
    </xf>
    <xf numFmtId="0" fontId="10" fillId="0" borderId="1" xfId="0" applyFont="1" applyFill="1" applyBorder="1" applyAlignment="1"/>
    <xf numFmtId="0" fontId="10" fillId="0" borderId="4" xfId="0" applyFont="1" applyFill="1" applyBorder="1" applyAlignment="1"/>
    <xf numFmtId="0" fontId="10" fillId="0" borderId="6" xfId="0" applyFont="1" applyFill="1" applyBorder="1"/>
    <xf numFmtId="173" fontId="1" fillId="0" borderId="12" xfId="1" applyNumberFormat="1" applyFont="1" applyFill="1" applyBorder="1" applyAlignment="1">
      <alignment horizontal="right"/>
    </xf>
    <xf numFmtId="0" fontId="10" fillId="0" borderId="12" xfId="0" applyFont="1" applyFill="1" applyBorder="1" applyAlignment="1"/>
    <xf numFmtId="175" fontId="2" fillId="0" borderId="0" xfId="0" applyNumberFormat="1" applyFont="1" applyFill="1"/>
    <xf numFmtId="0" fontId="10" fillId="0" borderId="12" xfId="0" applyFont="1" applyFill="1" applyBorder="1" applyAlignment="1">
      <alignment wrapText="1"/>
    </xf>
    <xf numFmtId="0" fontId="3" fillId="0" borderId="9" xfId="0" applyFont="1" applyFill="1" applyBorder="1" applyAlignment="1"/>
    <xf numFmtId="0" fontId="1" fillId="0" borderId="78" xfId="0" applyFont="1" applyFill="1" applyBorder="1" applyAlignment="1">
      <alignment horizontal="right"/>
    </xf>
    <xf numFmtId="3" fontId="2" fillId="0" borderId="0" xfId="0" applyNumberFormat="1" applyFont="1" applyFill="1"/>
    <xf numFmtId="0" fontId="3" fillId="0" borderId="9" xfId="0" applyFont="1" applyFill="1" applyBorder="1" applyAlignment="1">
      <alignment horizontal="center" wrapText="1"/>
    </xf>
    <xf numFmtId="0" fontId="3" fillId="0" borderId="78" xfId="0" applyFont="1" applyFill="1" applyBorder="1"/>
    <xf numFmtId="3" fontId="1" fillId="0" borderId="78" xfId="0" applyNumberFormat="1" applyFont="1" applyFill="1" applyBorder="1"/>
    <xf numFmtId="0" fontId="1" fillId="0" borderId="78" xfId="0" applyFont="1" applyFill="1" applyBorder="1"/>
    <xf numFmtId="0" fontId="1" fillId="0" borderId="78" xfId="0" applyFont="1" applyFill="1" applyBorder="1" applyAlignment="1">
      <alignment horizontal="left" indent="1"/>
    </xf>
    <xf numFmtId="175" fontId="1" fillId="0" borderId="78" xfId="1" applyNumberFormat="1" applyFont="1" applyFill="1" applyBorder="1"/>
    <xf numFmtId="168" fontId="1" fillId="0" borderId="0" xfId="4" applyNumberFormat="1" applyFont="1" applyFill="1"/>
    <xf numFmtId="0" fontId="14" fillId="0" borderId="0" xfId="0" applyFont="1" applyFill="1"/>
    <xf numFmtId="168" fontId="3" fillId="0" borderId="78" xfId="4" applyNumberFormat="1" applyFont="1" applyFill="1" applyBorder="1"/>
    <xf numFmtId="0" fontId="1" fillId="0" borderId="0" xfId="8" applyFont="1" applyFill="1"/>
    <xf numFmtId="0" fontId="1" fillId="0" borderId="0" xfId="5" applyFont="1" applyFill="1"/>
    <xf numFmtId="0" fontId="1" fillId="0" borderId="0" xfId="9" applyFont="1" applyFill="1"/>
    <xf numFmtId="0" fontId="2" fillId="0" borderId="0" xfId="8" applyFont="1" applyFill="1" applyAlignment="1">
      <alignment horizontal="right" vertical="top"/>
    </xf>
    <xf numFmtId="3" fontId="1" fillId="0" borderId="0" xfId="0" applyNumberFormat="1" applyFont="1" applyFill="1"/>
    <xf numFmtId="0" fontId="1" fillId="0" borderId="3" xfId="0" applyFont="1" applyFill="1" applyBorder="1" applyAlignment="1">
      <alignment horizontal="center"/>
    </xf>
    <xf numFmtId="0" fontId="1" fillId="0" borderId="4" xfId="0" applyFont="1" applyFill="1" applyBorder="1" applyAlignment="1">
      <alignment vertical="center"/>
    </xf>
    <xf numFmtId="173" fontId="1" fillId="0" borderId="4" xfId="1" applyNumberFormat="1" applyFont="1" applyFill="1" applyBorder="1" applyAlignment="1">
      <alignment vertical="center"/>
    </xf>
    <xf numFmtId="173" fontId="1" fillId="0" borderId="23" xfId="1" applyNumberFormat="1"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3" fontId="1" fillId="0" borderId="23" xfId="0" applyNumberFormat="1" applyFont="1" applyFill="1" applyBorder="1" applyAlignment="1">
      <alignment vertical="center"/>
    </xf>
    <xf numFmtId="173" fontId="1" fillId="0" borderId="0" xfId="0" applyNumberFormat="1" applyFont="1" applyFill="1"/>
    <xf numFmtId="9" fontId="1" fillId="0" borderId="12" xfId="4" applyFont="1" applyFill="1" applyBorder="1" applyAlignment="1">
      <alignment horizontal="center"/>
    </xf>
    <xf numFmtId="168" fontId="1" fillId="0" borderId="12" xfId="4" applyNumberFormat="1" applyFont="1" applyFill="1" applyBorder="1" applyAlignment="1">
      <alignment horizontal="center"/>
    </xf>
    <xf numFmtId="170" fontId="1" fillId="0" borderId="12" xfId="4" applyNumberFormat="1" applyFont="1" applyFill="1" applyBorder="1" applyAlignment="1">
      <alignment horizontal="center"/>
    </xf>
    <xf numFmtId="0" fontId="1" fillId="0" borderId="80" xfId="0" applyFont="1" applyFill="1" applyBorder="1" applyAlignment="1">
      <alignment horizontal="center"/>
    </xf>
    <xf numFmtId="0" fontId="1" fillId="0" borderId="84"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0" xfId="0" applyFont="1" applyFill="1" applyAlignment="1">
      <alignment horizontal="center" vertical="center"/>
    </xf>
    <xf numFmtId="9" fontId="1" fillId="0" borderId="0" xfId="4" applyFont="1" applyFill="1" applyAlignment="1">
      <alignment horizontal="center" vertical="center"/>
    </xf>
    <xf numFmtId="171" fontId="1" fillId="0" borderId="79" xfId="1" applyNumberFormat="1" applyFont="1" applyFill="1" applyBorder="1" applyAlignment="1">
      <alignment vertical="top"/>
    </xf>
    <xf numFmtId="171" fontId="1" fillId="0" borderId="80" xfId="1" applyNumberFormat="1" applyFont="1" applyFill="1" applyBorder="1" applyAlignment="1">
      <alignment vertical="top"/>
    </xf>
    <xf numFmtId="171" fontId="1" fillId="0" borderId="68" xfId="0" applyNumberFormat="1" applyFont="1" applyFill="1" applyBorder="1" applyAlignment="1">
      <alignment vertical="top"/>
    </xf>
    <xf numFmtId="173" fontId="1" fillId="0" borderId="4" xfId="1" applyNumberFormat="1" applyFont="1" applyFill="1" applyBorder="1"/>
    <xf numFmtId="173" fontId="1" fillId="0" borderId="23" xfId="1" applyNumberFormat="1" applyFont="1" applyFill="1" applyBorder="1"/>
    <xf numFmtId="171" fontId="1" fillId="0" borderId="4" xfId="1" applyNumberFormat="1" applyFont="1" applyFill="1" applyBorder="1" applyAlignment="1">
      <alignment vertical="top"/>
    </xf>
    <xf numFmtId="171" fontId="1" fillId="0" borderId="0" xfId="1" applyNumberFormat="1" applyFont="1" applyFill="1" applyBorder="1" applyAlignment="1">
      <alignment vertical="top"/>
    </xf>
    <xf numFmtId="171" fontId="1" fillId="0" borderId="5" xfId="0" applyNumberFormat="1" applyFont="1" applyFill="1" applyBorder="1" applyAlignment="1">
      <alignment vertical="top"/>
    </xf>
    <xf numFmtId="171" fontId="1" fillId="0" borderId="62" xfId="1" applyNumberFormat="1" applyFont="1" applyFill="1" applyBorder="1" applyAlignment="1">
      <alignment vertical="top"/>
    </xf>
    <xf numFmtId="171" fontId="1" fillId="0" borderId="63" xfId="1" applyNumberFormat="1" applyFont="1" applyFill="1" applyBorder="1" applyAlignment="1">
      <alignment vertical="top"/>
    </xf>
    <xf numFmtId="171" fontId="1" fillId="0" borderId="64" xfId="0" applyNumberFormat="1" applyFont="1" applyFill="1" applyBorder="1" applyAlignment="1">
      <alignment vertical="top"/>
    </xf>
    <xf numFmtId="173" fontId="1" fillId="0" borderId="0" xfId="1" applyNumberFormat="1" applyFont="1" applyFill="1" applyBorder="1" applyAlignment="1">
      <alignment vertical="top"/>
    </xf>
    <xf numFmtId="0" fontId="1" fillId="0" borderId="4" xfId="0" applyFont="1" applyFill="1" applyBorder="1" applyAlignment="1">
      <alignment vertical="top" wrapText="1"/>
    </xf>
    <xf numFmtId="173" fontId="1" fillId="0" borderId="5" xfId="0" applyNumberFormat="1" applyFont="1" applyFill="1" applyBorder="1"/>
    <xf numFmtId="173" fontId="1" fillId="0" borderId="79" xfId="1" applyNumberFormat="1" applyFont="1" applyFill="1" applyBorder="1"/>
    <xf numFmtId="173" fontId="1" fillId="0" borderId="80" xfId="1" applyNumberFormat="1" applyFont="1" applyFill="1" applyBorder="1"/>
    <xf numFmtId="173" fontId="1" fillId="0" borderId="85" xfId="1" applyNumberFormat="1" applyFont="1" applyFill="1" applyBorder="1"/>
    <xf numFmtId="0" fontId="1" fillId="0" borderId="4" xfId="0" applyFont="1" applyFill="1" applyBorder="1" applyAlignment="1">
      <alignment horizontal="left" indent="1"/>
    </xf>
    <xf numFmtId="173" fontId="1" fillId="0" borderId="0" xfId="0" applyNumberFormat="1" applyFont="1" applyFill="1" applyBorder="1" applyAlignment="1">
      <alignment horizontal="center"/>
    </xf>
    <xf numFmtId="173" fontId="1" fillId="0" borderId="0" xfId="0" applyNumberFormat="1" applyFont="1" applyFill="1" applyBorder="1" applyAlignment="1">
      <alignment horizontal="right"/>
    </xf>
    <xf numFmtId="3" fontId="1" fillId="0" borderId="5" xfId="0" applyNumberFormat="1" applyFont="1" applyFill="1" applyBorder="1" applyAlignment="1">
      <alignment horizontal="right" indent="1"/>
    </xf>
    <xf numFmtId="0" fontId="1" fillId="0" borderId="62" xfId="0" applyFont="1" applyFill="1" applyBorder="1"/>
    <xf numFmtId="0" fontId="1" fillId="0" borderId="63" xfId="0" applyFont="1" applyFill="1" applyBorder="1" applyAlignment="1">
      <alignment horizontal="right" indent="1"/>
    </xf>
    <xf numFmtId="0" fontId="1" fillId="0" borderId="64" xfId="0" applyFont="1" applyFill="1" applyBorder="1"/>
    <xf numFmtId="0" fontId="1" fillId="0" borderId="22" xfId="0" applyFont="1" applyFill="1" applyBorder="1"/>
    <xf numFmtId="0" fontId="1" fillId="0" borderId="0" xfId="0" applyFont="1" applyFill="1" applyAlignment="1">
      <alignment vertical="center"/>
    </xf>
    <xf numFmtId="168" fontId="1" fillId="0" borderId="5" xfId="4" applyNumberFormat="1" applyFont="1" applyFill="1" applyBorder="1" applyAlignment="1">
      <alignment horizontal="center"/>
    </xf>
    <xf numFmtId="3" fontId="1" fillId="0" borderId="12" xfId="0" applyNumberFormat="1" applyFont="1" applyFill="1" applyBorder="1"/>
    <xf numFmtId="168" fontId="1" fillId="0" borderId="64" xfId="4" applyNumberFormat="1" applyFont="1" applyFill="1" applyBorder="1" applyAlignment="1">
      <alignment horizontal="center"/>
    </xf>
    <xf numFmtId="168" fontId="1" fillId="0" borderId="0" xfId="0" applyNumberFormat="1" applyFont="1" applyFill="1"/>
    <xf numFmtId="168" fontId="1" fillId="0" borderId="5" xfId="0" applyNumberFormat="1" applyFont="1" applyFill="1" applyBorder="1" applyAlignment="1">
      <alignment horizontal="center"/>
    </xf>
    <xf numFmtId="0" fontId="1" fillId="0" borderId="8" xfId="0" applyFont="1" applyFill="1" applyBorder="1" applyAlignment="1">
      <alignment horizontal="center"/>
    </xf>
    <xf numFmtId="3" fontId="1" fillId="0" borderId="0" xfId="0" applyNumberFormat="1" applyFont="1" applyFill="1" applyBorder="1" applyAlignment="1">
      <alignment horizontal="right"/>
    </xf>
    <xf numFmtId="0" fontId="1" fillId="0" borderId="0" xfId="0" applyFont="1" applyFill="1" applyBorder="1" applyAlignment="1"/>
    <xf numFmtId="175" fontId="1" fillId="0" borderId="12" xfId="1" applyNumberFormat="1" applyFont="1" applyFill="1" applyBorder="1"/>
    <xf numFmtId="3" fontId="3" fillId="0" borderId="12" xfId="0" applyNumberFormat="1" applyFont="1" applyFill="1" applyBorder="1"/>
    <xf numFmtId="0" fontId="1" fillId="0" borderId="12" xfId="0" applyFont="1" applyFill="1" applyBorder="1" applyAlignment="1">
      <alignment wrapText="1"/>
    </xf>
    <xf numFmtId="168" fontId="3" fillId="0" borderId="12" xfId="4" applyNumberFormat="1" applyFont="1" applyFill="1" applyBorder="1"/>
    <xf numFmtId="168" fontId="1" fillId="0" borderId="12" xfId="4" applyNumberFormat="1" applyFont="1" applyFill="1" applyBorder="1"/>
    <xf numFmtId="169" fontId="1" fillId="0" borderId="0" xfId="0" applyNumberFormat="1" applyFont="1" applyFill="1" applyAlignment="1">
      <alignment vertical="center"/>
    </xf>
    <xf numFmtId="9" fontId="1" fillId="0" borderId="0" xfId="4" applyFont="1" applyFill="1"/>
    <xf numFmtId="9" fontId="1" fillId="0" borderId="0" xfId="4" applyFont="1" applyFill="1" applyBorder="1"/>
    <xf numFmtId="175" fontId="3" fillId="0" borderId="78" xfId="1" applyNumberFormat="1" applyFont="1" applyFill="1" applyBorder="1" applyAlignment="1"/>
    <xf numFmtId="175" fontId="3" fillId="0" borderId="78" xfId="1" applyNumberFormat="1" applyFont="1" applyFill="1" applyBorder="1"/>
    <xf numFmtId="168" fontId="3" fillId="0" borderId="78" xfId="0" applyNumberFormat="1" applyFont="1" applyFill="1" applyBorder="1"/>
    <xf numFmtId="0" fontId="14" fillId="0" borderId="14"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168" fontId="3" fillId="0" borderId="0" xfId="0" applyNumberFormat="1" applyFont="1" applyFill="1" applyBorder="1" applyAlignment="1">
      <alignment horizontal="center"/>
    </xf>
    <xf numFmtId="0" fontId="3" fillId="0" borderId="14" xfId="0" applyFont="1" applyFill="1" applyBorder="1" applyAlignment="1">
      <alignment horizontal="left" indent="1"/>
    </xf>
    <xf numFmtId="169" fontId="3" fillId="0" borderId="0" xfId="0" applyNumberFormat="1" applyFont="1" applyFill="1" applyBorder="1" applyAlignment="1">
      <alignment horizontal="center"/>
    </xf>
    <xf numFmtId="169" fontId="3" fillId="0" borderId="0" xfId="1" applyNumberFormat="1" applyFont="1" applyFill="1" applyBorder="1" applyAlignment="1">
      <alignment horizontal="center"/>
    </xf>
    <xf numFmtId="169" fontId="1" fillId="0" borderId="17" xfId="0" applyNumberFormat="1" applyFont="1" applyFill="1" applyBorder="1"/>
    <xf numFmtId="0" fontId="3" fillId="0" borderId="15" xfId="0" applyFont="1" applyFill="1" applyBorder="1" applyAlignment="1">
      <alignment horizontal="left"/>
    </xf>
    <xf numFmtId="0" fontId="3" fillId="0" borderId="16" xfId="0" applyFont="1" applyFill="1" applyBorder="1" applyAlignment="1">
      <alignment horizontal="center"/>
    </xf>
    <xf numFmtId="2" fontId="3" fillId="0" borderId="16" xfId="0" applyNumberFormat="1" applyFont="1" applyFill="1" applyBorder="1" applyAlignment="1">
      <alignment horizontal="center"/>
    </xf>
    <xf numFmtId="0" fontId="1" fillId="0" borderId="19" xfId="0" applyFont="1" applyFill="1" applyBorder="1"/>
    <xf numFmtId="0" fontId="10" fillId="0" borderId="14" xfId="0" applyFont="1" applyFill="1" applyBorder="1" applyAlignment="1">
      <alignment horizontal="right"/>
    </xf>
    <xf numFmtId="9" fontId="1" fillId="0" borderId="0" xfId="0" applyNumberFormat="1" applyFont="1" applyFill="1" applyBorder="1"/>
    <xf numFmtId="0" fontId="1" fillId="0" borderId="14" xfId="0" applyFont="1" applyFill="1" applyBorder="1"/>
    <xf numFmtId="0" fontId="10" fillId="0" borderId="0" xfId="0" applyFont="1" applyFill="1" applyBorder="1"/>
    <xf numFmtId="0" fontId="3" fillId="0" borderId="14" xfId="0" applyFont="1" applyFill="1" applyBorder="1" applyAlignment="1">
      <alignment horizontal="right"/>
    </xf>
    <xf numFmtId="0" fontId="1" fillId="0" borderId="14" xfId="0" applyFont="1" applyFill="1" applyBorder="1" applyAlignment="1">
      <alignment horizontal="right"/>
    </xf>
    <xf numFmtId="170" fontId="1" fillId="0" borderId="0" xfId="0" applyNumberFormat="1" applyFont="1" applyFill="1" applyBorder="1"/>
    <xf numFmtId="0" fontId="10" fillId="0" borderId="14" xfId="0" applyFont="1" applyFill="1" applyBorder="1" applyAlignment="1">
      <alignment horizontal="left" indent="6"/>
    </xf>
    <xf numFmtId="0" fontId="10" fillId="0" borderId="14" xfId="0" applyFont="1" applyFill="1" applyBorder="1" applyAlignment="1">
      <alignment horizontal="left" indent="8"/>
    </xf>
    <xf numFmtId="169" fontId="1" fillId="0" borderId="0" xfId="0" applyNumberFormat="1" applyFont="1" applyFill="1" applyBorder="1"/>
    <xf numFmtId="4" fontId="1" fillId="0" borderId="0" xfId="0" applyNumberFormat="1" applyFont="1" applyFill="1" applyBorder="1"/>
    <xf numFmtId="0" fontId="10" fillId="0" borderId="14" xfId="0" applyFont="1" applyFill="1" applyBorder="1" applyAlignment="1">
      <alignment horizontal="left"/>
    </xf>
    <xf numFmtId="0" fontId="10" fillId="0" borderId="14" xfId="0" applyFont="1" applyFill="1" applyBorder="1" applyAlignment="1">
      <alignment horizontal="left" indent="7"/>
    </xf>
    <xf numFmtId="165" fontId="1" fillId="0" borderId="0" xfId="1" applyFont="1" applyFill="1" applyBorder="1"/>
    <xf numFmtId="0" fontId="10" fillId="0" borderId="14" xfId="0" applyFont="1" applyFill="1" applyBorder="1" applyAlignment="1">
      <alignment horizontal="left" indent="10"/>
    </xf>
    <xf numFmtId="0" fontId="1" fillId="0" borderId="14" xfId="0" applyFont="1" applyFill="1" applyBorder="1" applyAlignment="1">
      <alignment horizontal="left" indent="5"/>
    </xf>
    <xf numFmtId="4" fontId="1" fillId="0" borderId="16" xfId="0" applyNumberFormat="1" applyFont="1" applyFill="1" applyBorder="1"/>
    <xf numFmtId="0" fontId="1" fillId="0" borderId="101" xfId="0" applyFont="1" applyFill="1" applyBorder="1"/>
    <xf numFmtId="0" fontId="1" fillId="0" borderId="32" xfId="0" applyFont="1" applyFill="1" applyBorder="1"/>
    <xf numFmtId="9" fontId="1" fillId="0" borderId="0" xfId="0" applyNumberFormat="1" applyFont="1" applyFill="1"/>
    <xf numFmtId="0" fontId="10" fillId="0" borderId="14" xfId="0" applyFont="1" applyFill="1" applyBorder="1" applyAlignment="1">
      <alignment horizontal="left" indent="3"/>
    </xf>
    <xf numFmtId="1" fontId="1" fillId="0" borderId="0" xfId="0" applyNumberFormat="1" applyFont="1" applyFill="1" applyBorder="1"/>
    <xf numFmtId="0" fontId="10" fillId="0" borderId="14" xfId="0" applyFont="1" applyFill="1" applyBorder="1" applyAlignment="1">
      <alignment horizontal="left" indent="5"/>
    </xf>
    <xf numFmtId="0" fontId="1" fillId="0" borderId="16" xfId="0" applyFont="1" applyFill="1" applyBorder="1"/>
    <xf numFmtId="0" fontId="1" fillId="0" borderId="0" xfId="0" applyFont="1" applyFill="1" applyAlignment="1">
      <alignment wrapText="1"/>
    </xf>
    <xf numFmtId="173" fontId="1" fillId="0" borderId="0" xfId="1" applyNumberFormat="1" applyFont="1" applyFill="1"/>
    <xf numFmtId="0" fontId="14" fillId="0" borderId="14" xfId="0" applyFont="1" applyFill="1" applyBorder="1"/>
    <xf numFmtId="0" fontId="13" fillId="0" borderId="14" xfId="0" applyFont="1" applyFill="1" applyBorder="1" applyAlignment="1">
      <alignment horizontal="left" indent="2"/>
    </xf>
    <xf numFmtId="0" fontId="3" fillId="0" borderId="14" xfId="0" applyFont="1" applyFill="1" applyBorder="1" applyAlignment="1">
      <alignment horizontal="left" indent="2"/>
    </xf>
    <xf numFmtId="172" fontId="1" fillId="0" borderId="0" xfId="0" applyNumberFormat="1" applyFont="1" applyFill="1" applyBorder="1"/>
    <xf numFmtId="0" fontId="1" fillId="0" borderId="14" xfId="0" applyFont="1" applyFill="1" applyBorder="1" applyAlignment="1">
      <alignment horizontal="left" indent="4"/>
    </xf>
    <xf numFmtId="8" fontId="1" fillId="0" borderId="15" xfId="0" applyNumberFormat="1" applyFont="1" applyFill="1" applyBorder="1" applyAlignment="1">
      <alignment horizontal="left" indent="2"/>
    </xf>
    <xf numFmtId="3" fontId="1" fillId="0" borderId="16" xfId="0" applyNumberFormat="1" applyFont="1" applyFill="1" applyBorder="1"/>
    <xf numFmtId="0" fontId="1" fillId="0" borderId="0" xfId="0" applyFont="1" applyFill="1" applyAlignment="1">
      <alignment horizontal="left" indent="2"/>
    </xf>
    <xf numFmtId="8" fontId="1" fillId="0" borderId="0" xfId="0" applyNumberFormat="1" applyFont="1" applyFill="1"/>
    <xf numFmtId="0" fontId="1" fillId="0" borderId="0" xfId="0" applyFont="1" applyFill="1" applyAlignment="1">
      <alignment horizontal="right"/>
    </xf>
    <xf numFmtId="186" fontId="1" fillId="0" borderId="0" xfId="1" applyNumberFormat="1" applyFont="1" applyFill="1"/>
    <xf numFmtId="165" fontId="1" fillId="0" borderId="0" xfId="1" applyFont="1" applyFill="1"/>
    <xf numFmtId="0" fontId="14" fillId="9" borderId="20" xfId="0" applyFont="1" applyFill="1" applyBorder="1"/>
    <xf numFmtId="0" fontId="1" fillId="0" borderId="0" xfId="0" applyFont="1" applyFill="1" applyBorder="1" applyAlignment="1">
      <alignment horizontal="right"/>
    </xf>
    <xf numFmtId="0" fontId="10" fillId="0" borderId="0" xfId="0" applyFont="1" applyFill="1" applyBorder="1" applyAlignment="1">
      <alignment horizontal="center" vertical="top" wrapText="1"/>
    </xf>
    <xf numFmtId="0" fontId="3" fillId="0" borderId="0" xfId="0" applyFont="1" applyFill="1" applyBorder="1" applyAlignment="1">
      <alignment vertical="top" wrapText="1"/>
    </xf>
    <xf numFmtId="171" fontId="1" fillId="0" borderId="0" xfId="0" applyNumberFormat="1" applyFont="1" applyFill="1" applyBorder="1"/>
    <xf numFmtId="43" fontId="1" fillId="0" borderId="0" xfId="0" applyNumberFormat="1" applyFont="1" applyFill="1" applyBorder="1"/>
    <xf numFmtId="0" fontId="10" fillId="13" borderId="18" xfId="0" applyFont="1" applyFill="1" applyBorder="1"/>
    <xf numFmtId="0" fontId="3" fillId="0" borderId="17" xfId="0" applyFont="1" applyFill="1" applyBorder="1" applyAlignment="1">
      <alignment vertical="top" wrapText="1"/>
    </xf>
    <xf numFmtId="0" fontId="1" fillId="0" borderId="0" xfId="0" applyFont="1" applyFill="1" applyBorder="1" applyAlignment="1">
      <alignment horizontal="left" indent="2"/>
    </xf>
    <xf numFmtId="9" fontId="1" fillId="0" borderId="0" xfId="4" applyFont="1" applyFill="1" applyBorder="1" applyAlignment="1">
      <alignment horizontal="right"/>
    </xf>
    <xf numFmtId="0" fontId="2" fillId="0" borderId="16" xfId="0" applyFont="1" applyFill="1" applyBorder="1"/>
    <xf numFmtId="0" fontId="10" fillId="0" borderId="15" xfId="0" applyFont="1" applyFill="1" applyBorder="1" applyAlignment="1">
      <alignment horizontal="left" indent="5"/>
    </xf>
    <xf numFmtId="169" fontId="1" fillId="0" borderId="16" xfId="0" applyNumberFormat="1" applyFont="1" applyFill="1" applyBorder="1"/>
    <xf numFmtId="173" fontId="1" fillId="5" borderId="18" xfId="0" applyNumberFormat="1" applyFont="1" applyFill="1" applyBorder="1"/>
    <xf numFmtId="173" fontId="1" fillId="5" borderId="18" xfId="0" applyNumberFormat="1" applyFont="1" applyFill="1" applyBorder="1" applyAlignment="1">
      <alignment horizontal="right"/>
    </xf>
    <xf numFmtId="178" fontId="1" fillId="5" borderId="18" xfId="1" applyNumberFormat="1" applyFont="1" applyFill="1" applyBorder="1"/>
    <xf numFmtId="0" fontId="1" fillId="5" borderId="18" xfId="1" applyNumberFormat="1" applyFont="1" applyFill="1" applyBorder="1"/>
    <xf numFmtId="0" fontId="1" fillId="9" borderId="20" xfId="0" applyFont="1" applyFill="1" applyBorder="1"/>
    <xf numFmtId="0" fontId="14" fillId="9" borderId="14" xfId="0" applyFont="1" applyFill="1" applyBorder="1"/>
    <xf numFmtId="0" fontId="14" fillId="5" borderId="14" xfId="0" applyFont="1" applyFill="1" applyBorder="1"/>
    <xf numFmtId="0" fontId="1" fillId="12" borderId="20" xfId="0" applyFont="1" applyFill="1" applyBorder="1"/>
    <xf numFmtId="0" fontId="14" fillId="12" borderId="14" xfId="0" applyFont="1" applyFill="1" applyBorder="1"/>
    <xf numFmtId="168" fontId="57" fillId="0" borderId="0" xfId="0" applyNumberFormat="1" applyFont="1" applyFill="1" applyBorder="1" applyAlignment="1">
      <alignment horizontal="center"/>
    </xf>
    <xf numFmtId="0" fontId="20" fillId="0" borderId="0" xfId="5" applyFont="1" applyFill="1" applyBorder="1" applyAlignment="1">
      <alignment vertical="center"/>
    </xf>
    <xf numFmtId="0" fontId="5" fillId="0" borderId="0" xfId="8" applyFill="1" applyAlignment="1">
      <alignment vertical="center"/>
    </xf>
    <xf numFmtId="0" fontId="5" fillId="0" borderId="0" xfId="5" applyFill="1" applyAlignment="1">
      <alignment vertical="center"/>
    </xf>
    <xf numFmtId="0" fontId="0" fillId="0" borderId="0" xfId="0" applyFill="1" applyAlignment="1">
      <alignment vertical="center"/>
    </xf>
    <xf numFmtId="49" fontId="19" fillId="0" borderId="0" xfId="5" applyNumberFormat="1" applyFont="1" applyFill="1" applyAlignment="1">
      <alignment horizontal="left" vertical="center"/>
    </xf>
    <xf numFmtId="0" fontId="21" fillId="0" borderId="0" xfId="8" applyFont="1" applyFill="1" applyAlignment="1">
      <alignment vertical="center"/>
    </xf>
    <xf numFmtId="0" fontId="5" fillId="0" borderId="0" xfId="9" applyFill="1" applyAlignment="1">
      <alignment vertical="center"/>
    </xf>
    <xf numFmtId="0" fontId="18" fillId="0" borderId="0" xfId="8" applyFont="1" applyFill="1" applyAlignment="1">
      <alignment horizontal="right" vertical="center"/>
    </xf>
    <xf numFmtId="0" fontId="5" fillId="0" borderId="0" xfId="0" applyFont="1" applyFill="1" applyBorder="1" applyAlignment="1">
      <alignment horizontal="right" vertical="center"/>
    </xf>
    <xf numFmtId="0" fontId="0" fillId="0" borderId="0" xfId="0" applyFill="1" applyBorder="1" applyAlignment="1">
      <alignment horizontal="right" vertical="center"/>
    </xf>
    <xf numFmtId="185" fontId="0" fillId="0" borderId="0" xfId="2" applyNumberFormat="1" applyFont="1" applyFill="1" applyBorder="1" applyAlignment="1">
      <alignment vertical="center"/>
    </xf>
    <xf numFmtId="169" fontId="0" fillId="0" borderId="0" xfId="0" applyNumberFormat="1" applyFill="1" applyAlignment="1">
      <alignment vertical="center"/>
    </xf>
    <xf numFmtId="0" fontId="9" fillId="0" borderId="0" xfId="0" applyFont="1" applyFill="1" applyAlignment="1">
      <alignment vertical="center"/>
    </xf>
    <xf numFmtId="0" fontId="3" fillId="0" borderId="96" xfId="0" applyFont="1" applyFill="1" applyBorder="1" applyAlignment="1">
      <alignment vertical="center"/>
    </xf>
    <xf numFmtId="0" fontId="0" fillId="0" borderId="97" xfId="0" applyFill="1" applyBorder="1" applyAlignment="1">
      <alignment vertical="center"/>
    </xf>
    <xf numFmtId="0" fontId="0" fillId="0" borderId="29" xfId="0" applyFill="1" applyBorder="1" applyAlignment="1">
      <alignment vertical="center"/>
    </xf>
    <xf numFmtId="0" fontId="0" fillId="0" borderId="100" xfId="0" applyFill="1" applyBorder="1" applyAlignment="1">
      <alignment vertical="center"/>
    </xf>
    <xf numFmtId="0" fontId="3" fillId="0" borderId="14" xfId="0" applyFont="1" applyFill="1" applyBorder="1" applyAlignment="1">
      <alignment vertical="center"/>
    </xf>
    <xf numFmtId="0" fontId="0" fillId="0" borderId="82" xfId="0" applyFill="1" applyBorder="1" applyAlignment="1">
      <alignment vertical="center"/>
    </xf>
    <xf numFmtId="0" fontId="0" fillId="0" borderId="17" xfId="0" applyFill="1" applyBorder="1" applyAlignment="1">
      <alignment vertical="center"/>
    </xf>
    <xf numFmtId="0" fontId="10" fillId="0" borderId="14" xfId="0" applyFont="1" applyFill="1" applyBorder="1" applyAlignment="1">
      <alignment horizontal="left" vertical="center"/>
    </xf>
    <xf numFmtId="186" fontId="0" fillId="0" borderId="82" xfId="1" applyNumberFormat="1" applyFont="1" applyFill="1" applyBorder="1" applyAlignment="1">
      <alignment vertical="center"/>
    </xf>
    <xf numFmtId="186" fontId="0" fillId="0" borderId="0" xfId="1" applyNumberFormat="1" applyFont="1" applyFill="1" applyBorder="1" applyAlignment="1">
      <alignment vertical="center"/>
    </xf>
    <xf numFmtId="186" fontId="0" fillId="0" borderId="17" xfId="1" applyNumberFormat="1" applyFont="1" applyFill="1" applyBorder="1" applyAlignment="1">
      <alignment vertical="center"/>
    </xf>
    <xf numFmtId="3" fontId="0" fillId="0" borderId="0" xfId="0" applyNumberFormat="1" applyFill="1" applyAlignment="1">
      <alignment vertical="center"/>
    </xf>
    <xf numFmtId="0" fontId="0" fillId="0" borderId="14" xfId="0" applyFill="1" applyBorder="1" applyAlignment="1">
      <alignment vertical="center"/>
    </xf>
    <xf numFmtId="186" fontId="3" fillId="0" borderId="82" xfId="1" applyNumberFormat="1" applyFont="1" applyFill="1" applyBorder="1" applyAlignment="1">
      <alignment vertical="center"/>
    </xf>
    <xf numFmtId="186" fontId="3" fillId="0" borderId="0" xfId="1" applyNumberFormat="1" applyFont="1" applyFill="1" applyBorder="1" applyAlignment="1">
      <alignment vertical="center"/>
    </xf>
    <xf numFmtId="186" fontId="3" fillId="0" borderId="17" xfId="1" applyNumberFormat="1" applyFont="1" applyFill="1" applyBorder="1" applyAlignment="1">
      <alignment vertical="center"/>
    </xf>
    <xf numFmtId="0" fontId="3" fillId="0" borderId="0" xfId="0" applyFont="1" applyFill="1" applyAlignment="1">
      <alignment vertical="center"/>
    </xf>
    <xf numFmtId="0" fontId="3" fillId="0" borderId="15" xfId="0" applyFont="1" applyFill="1" applyBorder="1" applyAlignment="1">
      <alignment vertical="center"/>
    </xf>
    <xf numFmtId="0" fontId="3" fillId="0" borderId="8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wrapText="1"/>
    </xf>
    <xf numFmtId="173" fontId="5" fillId="0" borderId="12" xfId="1" applyNumberFormat="1" applyFont="1" applyFill="1" applyBorder="1"/>
    <xf numFmtId="3" fontId="5" fillId="0" borderId="78" xfId="0" applyNumberFormat="1" applyFont="1" applyFill="1" applyBorder="1" applyAlignment="1">
      <alignment horizontal="right"/>
    </xf>
    <xf numFmtId="0" fontId="5" fillId="0" borderId="0" xfId="0" applyNumberFormat="1" applyFont="1" applyFill="1" applyBorder="1"/>
    <xf numFmtId="9" fontId="48" fillId="0" borderId="0" xfId="4" applyFont="1" applyFill="1" applyAlignment="1">
      <alignment horizontal="center"/>
    </xf>
    <xf numFmtId="173" fontId="5" fillId="0" borderId="78" xfId="1" applyNumberFormat="1" applyFont="1" applyFill="1" applyBorder="1"/>
    <xf numFmtId="1" fontId="5" fillId="0" borderId="78" xfId="0" applyNumberFormat="1" applyFont="1" applyFill="1" applyBorder="1"/>
    <xf numFmtId="1" fontId="5" fillId="0" borderId="0" xfId="0" applyNumberFormat="1" applyFont="1" applyFill="1" applyBorder="1"/>
    <xf numFmtId="0" fontId="14" fillId="0" borderId="0" xfId="0" applyFont="1" applyFill="1" applyAlignment="1">
      <alignment vertical="center"/>
    </xf>
    <xf numFmtId="0" fontId="1" fillId="0" borderId="14" xfId="0" applyFont="1" applyFill="1" applyBorder="1" applyAlignment="1">
      <alignment horizontal="left" indent="6"/>
    </xf>
    <xf numFmtId="0" fontId="1" fillId="0" borderId="14" xfId="0" applyFont="1" applyFill="1" applyBorder="1" applyAlignment="1"/>
    <xf numFmtId="2" fontId="1" fillId="0" borderId="17" xfId="0" applyNumberFormat="1" applyFont="1" applyFill="1" applyBorder="1"/>
    <xf numFmtId="0" fontId="10" fillId="0" borderId="14" xfId="0" applyFont="1" applyFill="1" applyBorder="1"/>
    <xf numFmtId="174" fontId="1" fillId="0" borderId="0" xfId="1" applyNumberFormat="1" applyFont="1" applyFill="1" applyBorder="1"/>
    <xf numFmtId="167" fontId="1" fillId="0" borderId="0" xfId="0" applyNumberFormat="1" applyFont="1" applyFill="1" applyBorder="1"/>
    <xf numFmtId="0" fontId="1" fillId="0" borderId="15" xfId="0" applyFont="1" applyFill="1" applyBorder="1" applyAlignment="1">
      <alignment horizontal="left" indent="2"/>
    </xf>
    <xf numFmtId="0" fontId="10" fillId="0" borderId="17" xfId="0" applyFont="1" applyFill="1" applyBorder="1"/>
    <xf numFmtId="3" fontId="1" fillId="0" borderId="17" xfId="0" applyNumberFormat="1" applyFont="1" applyFill="1" applyBorder="1"/>
    <xf numFmtId="4" fontId="1" fillId="0" borderId="17" xfId="0" applyNumberFormat="1" applyFont="1" applyFill="1" applyBorder="1"/>
    <xf numFmtId="166" fontId="1" fillId="0" borderId="17" xfId="0" applyNumberFormat="1" applyFont="1" applyFill="1" applyBorder="1"/>
    <xf numFmtId="170" fontId="1" fillId="0" borderId="17" xfId="0" applyNumberFormat="1" applyFont="1" applyFill="1" applyBorder="1"/>
    <xf numFmtId="168" fontId="1" fillId="0" borderId="17" xfId="4" applyNumberFormat="1" applyFont="1" applyFill="1" applyBorder="1"/>
    <xf numFmtId="0" fontId="1" fillId="0" borderId="0" xfId="0" applyNumberFormat="1" applyFont="1" applyFill="1" applyBorder="1"/>
    <xf numFmtId="9" fontId="1" fillId="0" borderId="17" xfId="4" applyFont="1" applyFill="1" applyBorder="1"/>
    <xf numFmtId="3" fontId="1" fillId="0" borderId="17" xfId="1" applyNumberFormat="1" applyFont="1" applyFill="1" applyBorder="1"/>
    <xf numFmtId="0" fontId="1" fillId="0" borderId="17" xfId="1" applyNumberFormat="1" applyFont="1" applyFill="1" applyBorder="1"/>
    <xf numFmtId="173" fontId="1" fillId="0" borderId="17" xfId="0" applyNumberFormat="1" applyFont="1" applyFill="1" applyBorder="1"/>
    <xf numFmtId="0" fontId="2" fillId="0" borderId="19" xfId="0" applyFont="1" applyFill="1" applyBorder="1"/>
    <xf numFmtId="1" fontId="1" fillId="0" borderId="17" xfId="0" applyNumberFormat="1" applyFont="1" applyFill="1" applyBorder="1"/>
    <xf numFmtId="173" fontId="1" fillId="0" borderId="17" xfId="1" applyNumberFormat="1" applyFont="1" applyFill="1" applyBorder="1"/>
    <xf numFmtId="172" fontId="1" fillId="0" borderId="17" xfId="0" applyNumberFormat="1" applyFont="1" applyFill="1" applyBorder="1"/>
    <xf numFmtId="3" fontId="1" fillId="0" borderId="19" xfId="0" applyNumberFormat="1" applyFont="1" applyFill="1" applyBorder="1"/>
    <xf numFmtId="0" fontId="1" fillId="5" borderId="13" xfId="1" applyNumberFormat="1" applyFont="1" applyFill="1" applyBorder="1"/>
    <xf numFmtId="173" fontId="1" fillId="5" borderId="17" xfId="0" applyNumberFormat="1" applyFont="1" applyFill="1" applyBorder="1"/>
    <xf numFmtId="0" fontId="1" fillId="0" borderId="0" xfId="5" applyFont="1" applyFill="1" applyBorder="1"/>
    <xf numFmtId="0" fontId="1" fillId="0" borderId="0" xfId="8" applyFont="1" applyFill="1" applyBorder="1"/>
    <xf numFmtId="49" fontId="19" fillId="0" borderId="0" xfId="5" applyNumberFormat="1" applyFont="1" applyFill="1" applyBorder="1" applyAlignment="1">
      <alignment horizontal="left"/>
    </xf>
    <xf numFmtId="0" fontId="21" fillId="0" borderId="0" xfId="8" applyFont="1" applyFill="1" applyBorder="1"/>
    <xf numFmtId="0" fontId="1" fillId="0" borderId="0" xfId="9" applyFont="1" applyFill="1" applyBorder="1"/>
    <xf numFmtId="0" fontId="2" fillId="0" borderId="0" xfId="8" applyFont="1" applyFill="1" applyBorder="1" applyAlignment="1">
      <alignment horizontal="right" vertical="top"/>
    </xf>
    <xf numFmtId="2" fontId="3" fillId="0" borderId="0" xfId="0" applyNumberFormat="1" applyFont="1" applyFill="1" applyBorder="1" applyAlignment="1">
      <alignment horizontal="center"/>
    </xf>
    <xf numFmtId="0" fontId="10" fillId="0" borderId="14" xfId="0" applyFont="1" applyFill="1" applyBorder="1" applyAlignment="1"/>
    <xf numFmtId="0" fontId="0" fillId="0" borderId="103" xfId="0" applyFill="1" applyBorder="1"/>
    <xf numFmtId="0" fontId="0" fillId="0" borderId="85" xfId="0" applyFill="1" applyBorder="1"/>
    <xf numFmtId="0" fontId="0" fillId="0" borderId="104" xfId="0" applyFill="1" applyBorder="1"/>
    <xf numFmtId="0" fontId="0" fillId="0" borderId="78" xfId="0" applyFill="1" applyBorder="1" applyAlignment="1">
      <alignment horizontal="center"/>
    </xf>
    <xf numFmtId="0" fontId="0" fillId="0" borderId="102" xfId="0" applyFill="1" applyBorder="1" applyAlignment="1">
      <alignment horizontal="center"/>
    </xf>
    <xf numFmtId="0" fontId="10" fillId="0" borderId="101" xfId="0" applyFont="1" applyFill="1" applyBorder="1" applyAlignment="1"/>
    <xf numFmtId="9" fontId="7" fillId="0" borderId="78" xfId="4" applyFont="1" applyFill="1" applyBorder="1" applyAlignment="1">
      <alignment horizontal="center"/>
    </xf>
    <xf numFmtId="169" fontId="0" fillId="0" borderId="78" xfId="0" applyNumberFormat="1" applyFill="1" applyBorder="1" applyAlignment="1">
      <alignment horizontal="center"/>
    </xf>
    <xf numFmtId="1" fontId="0" fillId="0" borderId="102" xfId="0" applyNumberFormat="1" applyFill="1" applyBorder="1" applyAlignment="1">
      <alignment horizontal="center"/>
    </xf>
    <xf numFmtId="0" fontId="0" fillId="0" borderId="102" xfId="0" applyFill="1" applyBorder="1"/>
    <xf numFmtId="9" fontId="0" fillId="0" borderId="78" xfId="4" applyFont="1" applyFill="1" applyBorder="1"/>
    <xf numFmtId="9" fontId="0" fillId="0" borderId="34" xfId="4" applyFont="1" applyFill="1" applyBorder="1"/>
    <xf numFmtId="169" fontId="0" fillId="0" borderId="34" xfId="0" applyNumberFormat="1" applyFill="1" applyBorder="1" applyAlignment="1">
      <alignment horizontal="center"/>
    </xf>
    <xf numFmtId="0" fontId="0" fillId="0" borderId="27" xfId="0" applyFill="1" applyBorder="1"/>
    <xf numFmtId="0" fontId="0" fillId="0" borderId="22" xfId="0" applyFill="1" applyBorder="1" applyAlignment="1">
      <alignment horizontal="center"/>
    </xf>
    <xf numFmtId="0" fontId="0" fillId="0" borderId="105" xfId="0" applyFill="1" applyBorder="1" applyAlignment="1">
      <alignment horizontal="center"/>
    </xf>
    <xf numFmtId="0" fontId="5" fillId="0" borderId="32" xfId="0" applyFont="1" applyFill="1" applyBorder="1"/>
    <xf numFmtId="0" fontId="0" fillId="0" borderId="34" xfId="0" applyFill="1" applyBorder="1" applyAlignment="1">
      <alignment horizontal="center"/>
    </xf>
    <xf numFmtId="0" fontId="1" fillId="6" borderId="0" xfId="0" applyFont="1" applyFill="1" applyBorder="1"/>
    <xf numFmtId="0" fontId="14" fillId="6" borderId="0" xfId="0" applyFont="1" applyFill="1" applyBorder="1"/>
    <xf numFmtId="0" fontId="2" fillId="3" borderId="0" xfId="0" applyFont="1" applyFill="1"/>
    <xf numFmtId="0" fontId="42" fillId="3" borderId="0" xfId="0" applyFont="1" applyFill="1"/>
    <xf numFmtId="0" fontId="2" fillId="3" borderId="0" xfId="0" applyFont="1" applyFill="1" applyAlignment="1">
      <alignment vertical="top"/>
    </xf>
    <xf numFmtId="0" fontId="1" fillId="3" borderId="0" xfId="0" applyFont="1" applyFill="1"/>
    <xf numFmtId="0" fontId="10" fillId="0" borderId="11"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4" xfId="0" applyFont="1" applyFill="1" applyBorder="1"/>
    <xf numFmtId="9" fontId="1" fillId="0" borderId="0" xfId="4" applyNumberFormat="1" applyFont="1" applyFill="1" applyBorder="1"/>
    <xf numFmtId="177" fontId="1" fillId="0" borderId="0" xfId="2" applyNumberFormat="1" applyFont="1" applyFill="1" applyBorder="1"/>
    <xf numFmtId="184" fontId="3" fillId="0" borderId="12" xfId="0" applyNumberFormat="1" applyFont="1" applyFill="1" applyBorder="1"/>
    <xf numFmtId="0" fontId="1" fillId="0" borderId="9" xfId="0" applyFont="1" applyFill="1" applyBorder="1"/>
    <xf numFmtId="176" fontId="1" fillId="0" borderId="0" xfId="0" applyNumberFormat="1" applyFont="1" applyFill="1" applyBorder="1"/>
    <xf numFmtId="170" fontId="1" fillId="0" borderId="5" xfId="0" applyNumberFormat="1" applyFont="1" applyFill="1" applyBorder="1"/>
    <xf numFmtId="0" fontId="1" fillId="0" borderId="6" xfId="0" applyFont="1" applyFill="1" applyBorder="1"/>
    <xf numFmtId="9" fontId="1" fillId="0" borderId="7" xfId="0" applyNumberFormat="1" applyFont="1" applyFill="1" applyBorder="1"/>
    <xf numFmtId="0" fontId="1" fillId="0" borderId="7" xfId="0" applyFont="1" applyFill="1" applyBorder="1"/>
    <xf numFmtId="168" fontId="1" fillId="0" borderId="7" xfId="4" applyNumberFormat="1" applyFont="1" applyFill="1" applyBorder="1"/>
    <xf numFmtId="43" fontId="36" fillId="0" borderId="0" xfId="1" applyNumberFormat="1" applyFont="1" applyFill="1" applyBorder="1"/>
    <xf numFmtId="185" fontId="36" fillId="6" borderId="57" xfId="11" applyNumberFormat="1" applyFont="1" applyFill="1" applyBorder="1" applyAlignment="1">
      <alignment horizontal="center" wrapText="1"/>
    </xf>
    <xf numFmtId="0" fontId="2" fillId="0" borderId="108" xfId="0" applyFont="1" applyFill="1" applyBorder="1"/>
    <xf numFmtId="9" fontId="2" fillId="0" borderId="75" xfId="11" applyNumberFormat="1" applyFont="1" applyFill="1" applyBorder="1"/>
    <xf numFmtId="165" fontId="2" fillId="0" borderId="75" xfId="1" applyFont="1" applyFill="1" applyBorder="1"/>
    <xf numFmtId="173" fontId="2" fillId="0" borderId="75" xfId="1" applyNumberFormat="1" applyFont="1" applyFill="1" applyBorder="1"/>
    <xf numFmtId="2" fontId="36" fillId="6" borderId="0" xfId="15" applyNumberFormat="1" applyFont="1" applyFill="1" applyBorder="1" applyAlignment="1">
      <alignment horizontal="center" wrapText="1"/>
    </xf>
    <xf numFmtId="0" fontId="58" fillId="0" borderId="0" xfId="0" applyFont="1"/>
    <xf numFmtId="0" fontId="59" fillId="0" borderId="0" xfId="0" applyFont="1" applyAlignment="1">
      <alignment horizontal="center"/>
    </xf>
    <xf numFmtId="0" fontId="58" fillId="0" borderId="0" xfId="0" applyFont="1" applyAlignment="1">
      <alignment horizontal="right" vertical="top"/>
    </xf>
    <xf numFmtId="0" fontId="51" fillId="0" borderId="0" xfId="0" applyFont="1" applyAlignment="1">
      <alignment horizontal="right" vertical="top"/>
    </xf>
    <xf numFmtId="0" fontId="0" fillId="0" borderId="62" xfId="0" applyBorder="1"/>
    <xf numFmtId="4" fontId="0" fillId="0" borderId="63" xfId="0" applyNumberFormat="1" applyBorder="1"/>
    <xf numFmtId="9" fontId="12" fillId="14" borderId="79" xfId="4" applyNumberFormat="1" applyFont="1" applyFill="1" applyBorder="1" applyAlignment="1">
      <alignment horizontal="center" vertical="center"/>
    </xf>
    <xf numFmtId="180" fontId="12" fillId="14" borderId="4" xfId="4" quotePrefix="1" applyNumberFormat="1" applyFont="1" applyFill="1" applyBorder="1" applyAlignment="1">
      <alignment horizontal="center" vertical="center"/>
    </xf>
    <xf numFmtId="9" fontId="12" fillId="14" borderId="62" xfId="4" applyFont="1" applyFill="1" applyBorder="1" applyAlignment="1">
      <alignment horizontal="center" vertical="center"/>
    </xf>
    <xf numFmtId="9" fontId="12" fillId="14" borderId="4" xfId="9" applyNumberFormat="1" applyFont="1" applyFill="1" applyBorder="1" applyAlignment="1">
      <alignment horizontal="center" vertical="center"/>
    </xf>
    <xf numFmtId="9" fontId="12" fillId="14" borderId="6" xfId="9" applyNumberFormat="1" applyFont="1" applyFill="1" applyBorder="1" applyAlignment="1">
      <alignment horizontal="center" vertical="center"/>
    </xf>
    <xf numFmtId="0" fontId="25" fillId="0" borderId="0" xfId="7" applyFont="1" applyBorder="1" applyAlignment="1" applyProtection="1">
      <alignment horizontal="left" wrapText="1" indent="3"/>
    </xf>
    <xf numFmtId="0" fontId="1" fillId="0" borderId="0" xfId="5" applyNumberFormat="1" applyFont="1" applyBorder="1" applyAlignment="1">
      <alignment horizontal="left" wrapText="1" indent="3"/>
    </xf>
    <xf numFmtId="0" fontId="25" fillId="0" borderId="0" xfId="7" applyFont="1" applyAlignment="1" applyProtection="1">
      <alignment horizontal="left" indent="3"/>
    </xf>
    <xf numFmtId="0" fontId="1" fillId="0" borderId="0" xfId="5" applyNumberFormat="1" applyFont="1" applyBorder="1" applyAlignment="1">
      <alignment horizontal="left" wrapText="1"/>
    </xf>
    <xf numFmtId="0" fontId="1" fillId="0" borderId="0" xfId="6" applyFont="1" applyBorder="1" applyAlignment="1">
      <alignment horizontal="left" vertical="top" wrapText="1"/>
    </xf>
    <xf numFmtId="0" fontId="1" fillId="0" borderId="0" xfId="6" applyFont="1" applyBorder="1" applyAlignment="1">
      <alignment horizontal="left" wrapText="1"/>
    </xf>
    <xf numFmtId="0" fontId="1" fillId="0" borderId="0" xfId="6" applyNumberFormat="1" applyFont="1" applyBorder="1" applyAlignment="1">
      <alignment horizontal="left" wrapText="1"/>
    </xf>
    <xf numFmtId="0" fontId="1" fillId="0" borderId="0" xfId="0" applyFont="1" applyBorder="1" applyAlignment="1">
      <alignment horizontal="left" vertical="center" indent="3"/>
    </xf>
    <xf numFmtId="0" fontId="1" fillId="0" borderId="0" xfId="0" applyFont="1" applyBorder="1" applyAlignment="1">
      <alignment horizontal="left" vertical="center" wrapText="1"/>
    </xf>
    <xf numFmtId="0" fontId="20" fillId="0" borderId="0" xfId="5" applyFont="1" applyAlignment="1">
      <alignment horizontal="center" vertical="center"/>
    </xf>
    <xf numFmtId="0" fontId="21" fillId="0" borderId="0" xfId="5" applyFont="1" applyBorder="1" applyAlignment="1">
      <alignment horizontal="center" wrapText="1"/>
    </xf>
    <xf numFmtId="0" fontId="3" fillId="0" borderId="89" xfId="5" applyFont="1" applyBorder="1" applyAlignment="1">
      <alignment horizontal="left" vertical="center" wrapText="1"/>
    </xf>
    <xf numFmtId="0" fontId="3" fillId="0" borderId="30"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5" fillId="0" borderId="0" xfId="5" applyBorder="1" applyAlignment="1">
      <alignment horizontal="left" vertical="top"/>
    </xf>
    <xf numFmtId="0" fontId="30" fillId="0" borderId="4" xfId="9" applyFont="1" applyBorder="1" applyAlignment="1">
      <alignment horizontal="center" vertical="center" wrapText="1"/>
    </xf>
    <xf numFmtId="0" fontId="5" fillId="0" borderId="2" xfId="9" applyBorder="1" applyAlignment="1">
      <alignment horizontal="center"/>
    </xf>
    <xf numFmtId="0" fontId="3" fillId="0" borderId="0" xfId="9" applyFont="1" applyFill="1" applyAlignment="1">
      <alignment horizontal="left" vertical="center" wrapText="1"/>
    </xf>
    <xf numFmtId="0" fontId="2" fillId="0" borderId="0" xfId="9" applyFont="1" applyAlignment="1">
      <alignment horizontal="left" vertical="top" wrapText="1"/>
    </xf>
    <xf numFmtId="0" fontId="5" fillId="0" borderId="0" xfId="9" applyFont="1" applyAlignment="1">
      <alignment horizontal="left" wrapText="1"/>
    </xf>
    <xf numFmtId="0" fontId="5" fillId="0" borderId="0" xfId="9" applyAlignment="1">
      <alignment horizontal="left" wrapText="1"/>
    </xf>
    <xf numFmtId="0" fontId="3" fillId="0" borderId="21" xfId="9" applyFont="1" applyFill="1" applyBorder="1" applyAlignment="1">
      <alignment horizontal="left" vertical="center"/>
    </xf>
    <xf numFmtId="0" fontId="3" fillId="0" borderId="24" xfId="9" applyFont="1" applyFill="1" applyBorder="1" applyAlignment="1">
      <alignment horizontal="left" vertical="center"/>
    </xf>
    <xf numFmtId="0" fontId="9" fillId="0" borderId="3" xfId="9" applyFont="1" applyBorder="1" applyAlignment="1">
      <alignment vertical="center"/>
    </xf>
    <xf numFmtId="0" fontId="9" fillId="0" borderId="16" xfId="9" applyFont="1" applyBorder="1" applyAlignment="1">
      <alignment vertical="center"/>
    </xf>
    <xf numFmtId="0" fontId="9" fillId="0" borderId="9" xfId="9" applyFont="1" applyBorder="1" applyAlignment="1">
      <alignment horizontal="center"/>
    </xf>
    <xf numFmtId="0" fontId="9" fillId="0" borderId="11" xfId="9" applyFont="1" applyBorder="1" applyAlignment="1">
      <alignment horizontal="center"/>
    </xf>
    <xf numFmtId="0" fontId="9" fillId="0" borderId="10" xfId="9" applyFont="1" applyBorder="1" applyAlignment="1">
      <alignment horizontal="center"/>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vertical="top"/>
    </xf>
    <xf numFmtId="0" fontId="3" fillId="0" borderId="36" xfId="0" applyFont="1" applyFill="1" applyBorder="1" applyAlignment="1">
      <alignment horizontal="center" vertical="top"/>
    </xf>
    <xf numFmtId="0" fontId="3" fillId="0" borderId="9" xfId="0" applyFont="1" applyFill="1" applyBorder="1" applyAlignment="1">
      <alignment horizontal="center"/>
    </xf>
    <xf numFmtId="0" fontId="3" fillId="0" borderId="10" xfId="0" applyFont="1" applyFill="1" applyBorder="1" applyAlignment="1">
      <alignment horizontal="center"/>
    </xf>
    <xf numFmtId="0" fontId="1" fillId="0" borderId="84" xfId="0" applyFont="1" applyFill="1" applyBorder="1" applyAlignment="1">
      <alignment horizontal="center" vertical="center" wrapText="1"/>
    </xf>
    <xf numFmtId="0" fontId="1" fillId="0" borderId="61" xfId="0" applyFont="1" applyFill="1" applyBorder="1" applyAlignment="1">
      <alignment horizontal="center" vertical="center" wrapText="1"/>
    </xf>
    <xf numFmtId="3" fontId="3" fillId="0" borderId="61" xfId="0" applyNumberFormat="1" applyFont="1" applyFill="1" applyBorder="1" applyAlignment="1">
      <alignment horizontal="center" vertical="center"/>
    </xf>
    <xf numFmtId="3" fontId="3" fillId="0" borderId="78" xfId="0" applyNumberFormat="1" applyFont="1" applyFill="1" applyBorder="1" applyAlignment="1">
      <alignment horizontal="center" vertical="center"/>
    </xf>
    <xf numFmtId="0" fontId="3" fillId="0" borderId="78" xfId="0" applyFont="1" applyFill="1" applyBorder="1" applyAlignment="1">
      <alignment horizontal="center" vertical="center"/>
    </xf>
    <xf numFmtId="0" fontId="3" fillId="0" borderId="84" xfId="0" applyFont="1" applyFill="1" applyBorder="1" applyAlignment="1">
      <alignment horizontal="left" vertical="center"/>
    </xf>
    <xf numFmtId="0" fontId="3" fillId="0" borderId="79" xfId="0" applyFont="1" applyFill="1" applyBorder="1" applyAlignment="1">
      <alignment horizontal="left"/>
    </xf>
    <xf numFmtId="0" fontId="3" fillId="0" borderId="80" xfId="0" applyFont="1" applyFill="1" applyBorder="1" applyAlignment="1">
      <alignment horizontal="left"/>
    </xf>
    <xf numFmtId="0" fontId="3" fillId="0" borderId="8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6" xfId="0" applyFont="1" applyFill="1" applyBorder="1" applyAlignment="1">
      <alignment horizontal="left" vertical="center"/>
    </xf>
    <xf numFmtId="0" fontId="3" fillId="0" borderId="61" xfId="0" applyFont="1" applyFill="1" applyBorder="1" applyAlignment="1">
      <alignment horizontal="left" vertical="center"/>
    </xf>
    <xf numFmtId="0" fontId="14" fillId="11" borderId="20" xfId="0" applyFont="1" applyFill="1" applyBorder="1" applyAlignment="1">
      <alignment horizontal="left"/>
    </xf>
    <xf numFmtId="0" fontId="14" fillId="11" borderId="18" xfId="0" applyFont="1" applyFill="1" applyBorder="1" applyAlignment="1">
      <alignment horizontal="left"/>
    </xf>
    <xf numFmtId="0" fontId="3" fillId="0" borderId="14" xfId="0" applyFont="1" applyFill="1" applyBorder="1" applyAlignment="1">
      <alignment horizontal="left" indent="1"/>
    </xf>
    <xf numFmtId="0" fontId="3" fillId="0" borderId="0" xfId="0" applyFont="1" applyFill="1" applyBorder="1" applyAlignment="1">
      <alignment horizontal="left" indent="1"/>
    </xf>
    <xf numFmtId="0" fontId="3" fillId="13" borderId="18" xfId="0" applyFont="1" applyFill="1" applyBorder="1" applyAlignment="1">
      <alignment horizontal="center" vertical="top"/>
    </xf>
    <xf numFmtId="0" fontId="3" fillId="13" borderId="13" xfId="0" applyFont="1" applyFill="1" applyBorder="1" applyAlignment="1">
      <alignment horizontal="center" vertical="top"/>
    </xf>
    <xf numFmtId="0" fontId="10" fillId="13" borderId="18" xfId="0" applyFont="1" applyFill="1" applyBorder="1" applyAlignment="1">
      <alignment horizontal="center"/>
    </xf>
    <xf numFmtId="0" fontId="10" fillId="13" borderId="18" xfId="0" applyFont="1" applyFill="1" applyBorder="1" applyAlignment="1">
      <alignment horizontal="center" wrapText="1"/>
    </xf>
    <xf numFmtId="0" fontId="5" fillId="0" borderId="22" xfId="0" applyFont="1" applyFill="1" applyBorder="1" applyAlignment="1">
      <alignment horizontal="center"/>
    </xf>
    <xf numFmtId="170" fontId="5" fillId="0" borderId="25" xfId="0" applyNumberFormat="1" applyFont="1" applyFill="1" applyBorder="1" applyAlignment="1">
      <alignment horizontal="center" vertical="top" wrapText="1"/>
    </xf>
    <xf numFmtId="170" fontId="5" fillId="0" borderId="34" xfId="0" applyNumberFormat="1" applyFont="1" applyFill="1" applyBorder="1" applyAlignment="1">
      <alignment horizontal="center" vertical="top" wrapText="1"/>
    </xf>
    <xf numFmtId="170" fontId="5" fillId="0" borderId="26" xfId="0" applyNumberFormat="1" applyFont="1" applyFill="1" applyBorder="1" applyAlignment="1">
      <alignment horizontal="center" vertical="top" wrapText="1"/>
    </xf>
    <xf numFmtId="170" fontId="5" fillId="0" borderId="33" xfId="0" applyNumberFormat="1" applyFont="1" applyFill="1" applyBorder="1" applyAlignment="1">
      <alignment horizontal="center" vertical="top" wrapText="1"/>
    </xf>
    <xf numFmtId="0" fontId="0" fillId="0" borderId="106" xfId="0" applyFill="1" applyBorder="1" applyAlignment="1">
      <alignment horizontal="center"/>
    </xf>
    <xf numFmtId="0" fontId="0" fillId="0" borderId="86" xfId="0" applyFill="1" applyBorder="1" applyAlignment="1">
      <alignment horizontal="center"/>
    </xf>
    <xf numFmtId="0" fontId="0" fillId="0" borderId="107" xfId="0" applyFill="1" applyBorder="1" applyAlignment="1">
      <alignment horizontal="center"/>
    </xf>
    <xf numFmtId="0" fontId="52" fillId="8" borderId="98" xfId="0" applyFont="1" applyFill="1" applyBorder="1" applyAlignment="1">
      <alignment horizontal="left" vertical="center"/>
    </xf>
    <xf numFmtId="0" fontId="52" fillId="8" borderId="0" xfId="0" applyFont="1" applyFill="1" applyBorder="1" applyAlignment="1">
      <alignment vertical="center"/>
    </xf>
    <xf numFmtId="0" fontId="52" fillId="8" borderId="37" xfId="0" applyFont="1" applyFill="1" applyBorder="1" applyAlignment="1">
      <alignment vertical="center"/>
    </xf>
    <xf numFmtId="0" fontId="52" fillId="8" borderId="0" xfId="0" applyFont="1" applyFill="1" applyBorder="1" applyAlignment="1">
      <alignment vertical="center" wrapText="1"/>
    </xf>
    <xf numFmtId="0" fontId="52" fillId="8" borderId="37" xfId="0" applyFont="1" applyFill="1" applyBorder="1" applyAlignment="1">
      <alignment vertical="center" wrapText="1"/>
    </xf>
    <xf numFmtId="0" fontId="52" fillId="8" borderId="99" xfId="0" applyFont="1" applyFill="1" applyBorder="1" applyAlignment="1">
      <alignment horizontal="center" vertical="center"/>
    </xf>
    <xf numFmtId="0" fontId="52" fillId="8" borderId="38" xfId="0" applyFont="1" applyFill="1" applyBorder="1" applyAlignment="1">
      <alignment vertical="center"/>
    </xf>
    <xf numFmtId="0" fontId="52" fillId="8" borderId="63" xfId="0" applyFont="1" applyFill="1" applyBorder="1" applyAlignment="1">
      <alignment vertical="center"/>
    </xf>
    <xf numFmtId="0" fontId="52" fillId="8" borderId="38" xfId="0" applyFont="1" applyFill="1" applyBorder="1" applyAlignment="1">
      <alignment vertical="center" wrapText="1"/>
    </xf>
    <xf numFmtId="0" fontId="52" fillId="8" borderId="63" xfId="0" applyFont="1" applyFill="1" applyBorder="1" applyAlignment="1">
      <alignment vertical="center" wrapText="1"/>
    </xf>
    <xf numFmtId="0" fontId="52" fillId="8" borderId="39" xfId="0" applyFont="1" applyFill="1" applyBorder="1" applyAlignment="1">
      <alignment horizontal="center" vertical="center"/>
    </xf>
    <xf numFmtId="0" fontId="52" fillId="8" borderId="40" xfId="0" applyFont="1" applyFill="1" applyBorder="1" applyAlignment="1">
      <alignment horizontal="left" vertical="center"/>
    </xf>
    <xf numFmtId="0" fontId="1" fillId="6" borderId="0" xfId="0" applyFont="1" applyFill="1" applyBorder="1" applyAlignment="1">
      <alignment horizontal="left" vertical="top" wrapText="1"/>
    </xf>
    <xf numFmtId="0" fontId="54" fillId="7" borderId="40" xfId="0" applyFont="1" applyFill="1" applyBorder="1" applyAlignment="1">
      <alignment vertical="center"/>
    </xf>
    <xf numFmtId="0" fontId="55" fillId="7" borderId="37" xfId="0" applyFont="1" applyFill="1" applyBorder="1" applyAlignment="1">
      <alignment horizontal="left"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168" fontId="42" fillId="0" borderId="78" xfId="0" applyNumberFormat="1" applyFont="1" applyFill="1" applyBorder="1" applyAlignment="1">
      <alignment horizontal="center" vertical="center"/>
    </xf>
    <xf numFmtId="10" fontId="42" fillId="0" borderId="85" xfId="0" applyNumberFormat="1" applyFont="1" applyFill="1" applyBorder="1" applyAlignment="1">
      <alignment horizontal="center" vertical="center"/>
    </xf>
    <xf numFmtId="10" fontId="42" fillId="0" borderId="23" xfId="0" applyNumberFormat="1" applyFont="1" applyFill="1" applyBorder="1" applyAlignment="1">
      <alignment horizontal="center" vertical="center"/>
    </xf>
    <xf numFmtId="10" fontId="42" fillId="0" borderId="22" xfId="0" applyNumberFormat="1" applyFont="1" applyFill="1" applyBorder="1" applyAlignment="1">
      <alignment horizontal="center" vertical="center"/>
    </xf>
    <xf numFmtId="0" fontId="20" fillId="6" borderId="0" xfId="11" applyFont="1" applyFill="1" applyBorder="1" applyAlignment="1">
      <alignment horizontal="left"/>
    </xf>
    <xf numFmtId="0" fontId="9" fillId="6" borderId="0" xfId="11" applyFont="1" applyFill="1" applyBorder="1" applyAlignment="1">
      <alignment horizontal="center"/>
    </xf>
    <xf numFmtId="0" fontId="9" fillId="6" borderId="0" xfId="11" applyFont="1" applyFill="1" applyBorder="1" applyAlignment="1">
      <alignment horizontal="center" vertical="center"/>
    </xf>
    <xf numFmtId="0" fontId="41" fillId="6" borderId="0" xfId="11" applyFont="1" applyFill="1" applyBorder="1" applyAlignment="1">
      <alignment horizontal="center" vertical="center"/>
    </xf>
    <xf numFmtId="0" fontId="38" fillId="6" borderId="57" xfId="11" applyFont="1" applyFill="1" applyBorder="1" applyAlignment="1">
      <alignment horizontal="center" wrapText="1"/>
    </xf>
  </cellXfs>
  <cellStyles count="16">
    <cellStyle name="Comma" xfId="1" builtinId="3"/>
    <cellStyle name="Comma 2" xfId="14"/>
    <cellStyle name="Currency" xfId="2" builtinId="4"/>
    <cellStyle name="Currency 2" xfId="15"/>
    <cellStyle name="Data" xfId="3"/>
    <cellStyle name="Hyperlink" xfId="7" builtinId="8"/>
    <cellStyle name="Normal" xfId="0" builtinId="0"/>
    <cellStyle name="Normal 2" xfId="11"/>
    <cellStyle name="Normal 3" xfId="12"/>
    <cellStyle name="Normal_ConsolidatedAg_IM_Clean" xfId="5"/>
    <cellStyle name="Normal_ConsolidatedAg_IM_Clean - v3" xfId="8"/>
    <cellStyle name="Normal_FeederRoadAnalysis_IM_Clean - v4" xfId="6"/>
    <cellStyle name="Normal_Mongolia Health ERR.IM Cleaned - v15" xfId="9"/>
    <cellStyle name="Normal_Mongolia Rail ERR.IM Cleaned" xfId="10"/>
    <cellStyle name="Percent" xfId="4" builtinId="5"/>
    <cellStyle name="Percent 2" xfId="13"/>
  </cellStyles>
  <dxfs count="5">
    <dxf>
      <font>
        <condense val="0"/>
        <extend val="0"/>
        <color indexed="10"/>
      </font>
    </dxf>
    <dxf>
      <font>
        <condense val="0"/>
        <extend val="0"/>
        <color indexed="9"/>
      </font>
      <fill>
        <patternFill patternType="none">
          <bgColor indexed="65"/>
        </patternFill>
      </fill>
    </dxf>
    <dxf>
      <fill>
        <patternFill>
          <bgColor indexed="10"/>
        </patternFill>
      </fill>
    </dxf>
    <dxf>
      <font>
        <condense val="0"/>
        <extend val="0"/>
        <color indexed="10"/>
      </font>
    </dxf>
    <dxf>
      <font>
        <condense val="0"/>
        <extend val="0"/>
        <color indexed="9"/>
      </font>
      <fill>
        <patternFill patternType="none">
          <bgColor indexed="65"/>
        </patternFill>
      </fill>
    </dxf>
  </dxfs>
  <tableStyles count="0" defaultTableStyle="TableStyleMedium2" defaultPivotStyle="PivotStyleLight16"/>
  <colors>
    <mruColors>
      <color rgb="FFFFFFCC"/>
      <color rgb="FF008000"/>
      <color rgb="FFFFCC99"/>
      <color rgb="FF80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Undiscounted Annual Net Benefits of Tanzania Distribution Systems Rehabilitation and Extension Activity</a:t>
            </a:r>
            <a:r>
              <a:rPr lang="en-US" sz="1600" b="1" i="0" u="none" strike="noStrike" baseline="30000">
                <a:solidFill>
                  <a:srgbClr val="000000"/>
                </a:solidFill>
                <a:latin typeface="Calibri"/>
                <a:cs typeface="Calibri"/>
              </a:rPr>
              <a:t>1</a:t>
            </a:r>
          </a:p>
        </c:rich>
      </c:tx>
      <c:layout>
        <c:manualLayout>
          <c:xMode val="edge"/>
          <c:yMode val="edge"/>
          <c:x val="0.17045569634921462"/>
          <c:y val="3.3895087057779751E-2"/>
        </c:manualLayout>
      </c:layout>
      <c:overlay val="0"/>
    </c:title>
    <c:autoTitleDeleted val="0"/>
    <c:plotArea>
      <c:layout>
        <c:manualLayout>
          <c:layoutTarget val="inner"/>
          <c:xMode val="edge"/>
          <c:yMode val="edge"/>
          <c:x val="7.829986181734766E-2"/>
          <c:y val="0.20895522388059701"/>
          <c:w val="0.89261842471776331"/>
          <c:h val="0.62089552238805967"/>
        </c:manualLayout>
      </c:layout>
      <c:areaChart>
        <c:grouping val="standard"/>
        <c:varyColors val="0"/>
        <c:ser>
          <c:idx val="0"/>
          <c:order val="0"/>
          <c:cat>
            <c:numRef>
              <c:f>Summary!$E$16:$X$16</c:f>
              <c:numCache>
                <c:formatCode>General</c:formatCod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numCache>
            </c:numRef>
          </c:cat>
          <c:val>
            <c:numRef>
              <c:f>Summary!$E$42:$X$42</c:f>
              <c:numCache>
                <c:formatCode>_-* #,##0.0_-;\-* #,##0.0_-;_-* "-"??_-;_-@_-</c:formatCode>
                <c:ptCount val="20"/>
                <c:pt idx="0">
                  <c:v>-2.0255268976884158</c:v>
                </c:pt>
                <c:pt idx="1">
                  <c:v>-4.5360895399238714</c:v>
                </c:pt>
                <c:pt idx="2">
                  <c:v>-44.463426796421174</c:v>
                </c:pt>
                <c:pt idx="3">
                  <c:v>-42.732265519319867</c:v>
                </c:pt>
                <c:pt idx="4">
                  <c:v>-53.361024996920094</c:v>
                </c:pt>
                <c:pt idx="5">
                  <c:v>8.1488153415866353</c:v>
                </c:pt>
                <c:pt idx="6">
                  <c:v>16.608972630157936</c:v>
                </c:pt>
                <c:pt idx="7">
                  <c:v>19.200614010907763</c:v>
                </c:pt>
                <c:pt idx="8">
                  <c:v>21.380660516960262</c:v>
                </c:pt>
                <c:pt idx="9">
                  <c:v>23.592077738519386</c:v>
                </c:pt>
                <c:pt idx="10">
                  <c:v>25.835497915053253</c:v>
                </c:pt>
                <c:pt idx="11">
                  <c:v>28.111570205049894</c:v>
                </c:pt>
                <c:pt idx="12">
                  <c:v>30.420961207604645</c:v>
                </c:pt>
                <c:pt idx="13">
                  <c:v>32.764355500939864</c:v>
                </c:pt>
                <c:pt idx="14">
                  <c:v>35.142456198415459</c:v>
                </c:pt>
                <c:pt idx="15">
                  <c:v>37.555985522608282</c:v>
                </c:pt>
                <c:pt idx="16">
                  <c:v>40.005685398055931</c:v>
                </c:pt>
                <c:pt idx="17">
                  <c:v>42.492318063282077</c:v>
                </c:pt>
                <c:pt idx="18">
                  <c:v>45.01666670273945</c:v>
                </c:pt>
                <c:pt idx="19">
                  <c:v>47.579536099328763</c:v>
                </c:pt>
              </c:numCache>
            </c:numRef>
          </c:val>
        </c:ser>
        <c:dLbls>
          <c:showLegendKey val="0"/>
          <c:showVal val="0"/>
          <c:showCatName val="0"/>
          <c:showSerName val="0"/>
          <c:showPercent val="0"/>
          <c:showBubbleSize val="0"/>
        </c:dLbls>
        <c:axId val="341847040"/>
        <c:axId val="341848216"/>
      </c:areaChart>
      <c:catAx>
        <c:axId val="3418470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0223765211166782"/>
              <c:y val="0.86865671641791042"/>
            </c:manualLayout>
          </c:layout>
          <c:overlay val="0"/>
        </c:title>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848216"/>
        <c:crosses val="autoZero"/>
        <c:auto val="1"/>
        <c:lblAlgn val="ctr"/>
        <c:lblOffset val="100"/>
        <c:tickLblSkip val="1"/>
        <c:tickMarkSkip val="1"/>
        <c:noMultiLvlLbl val="0"/>
      </c:catAx>
      <c:valAx>
        <c:axId val="3418482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US$ (millions)</a:t>
                </a:r>
              </a:p>
            </c:rich>
          </c:tx>
          <c:layout>
            <c:manualLayout>
              <c:xMode val="edge"/>
              <c:yMode val="edge"/>
              <c:x val="1.7897041278931044E-2"/>
              <c:y val="0.3552238805970149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847040"/>
        <c:crosses val="autoZero"/>
        <c:crossBetween val="midCat"/>
        <c:dispUnits>
          <c:builtInUnit val="thousands"/>
        </c:dispUnits>
      </c:valAx>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Tanzania</a:t>
            </a:r>
            <a:r>
              <a:rPr lang="en-US" baseline="0"/>
              <a:t> </a:t>
            </a:r>
            <a:r>
              <a:rPr lang="en-US"/>
              <a:t>Distribution Systems Rehabilitation </a:t>
            </a:r>
          </a:p>
          <a:p>
            <a:pPr>
              <a:defRPr/>
            </a:pPr>
            <a:r>
              <a:rPr lang="en-US"/>
              <a:t>and Extension: Cost Effectiveness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&lt; $1.25 / day</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PovertyScorecard!$M$59:$M$60</c:f>
              <c:numCache>
                <c:formatCode>General</c:formatCode>
                <c:ptCount val="2"/>
              </c:numCache>
            </c:numRef>
          </c:cat>
          <c:val>
            <c:numRef>
              <c:f>PovertyScorecard!$L$10:$M$10</c:f>
              <c:numCache>
                <c:formatCode>_([$$-409]* #,##0.00_);_([$$-409]* \(#,##0.00\);_([$$-409]* "-"??_);_(@_)</c:formatCode>
                <c:ptCount val="2"/>
                <c:pt idx="0" formatCode="_(&quot;$&quot;* #,##0.00_);_(&quot;$&quot;* \(#,##0.00\);_(&quot;$&quot;* &quot;-&quot;??_);_(@_)">
                  <c:v>1.9468450395293869E-2</c:v>
                </c:pt>
                <c:pt idx="1">
                  <c:v>0.12986127040254</c:v>
                </c:pt>
              </c:numCache>
            </c:numRef>
          </c:val>
        </c:ser>
        <c:ser>
          <c:idx val="1"/>
          <c:order val="1"/>
          <c:tx>
            <c:v>$1.25 - $2 /day</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PovertyScorecard!$M$59:$M$60</c:f>
              <c:numCache>
                <c:formatCode>General</c:formatCode>
                <c:ptCount val="2"/>
              </c:numCache>
            </c:numRef>
          </c:cat>
          <c:val>
            <c:numRef>
              <c:f>PovertyScorecard!$L$11:$M$11</c:f>
              <c:numCache>
                <c:formatCode>_([$$-409]* #,##0.00_);_([$$-409]* \(#,##0.00\);_([$$-409]* "-"??_);_(@_)</c:formatCode>
                <c:ptCount val="2"/>
                <c:pt idx="0" formatCode="_(&quot;$&quot;* #,##0.00_);_(&quot;$&quot;* \(#,##0.00\);_(&quot;$&quot;* &quot;-&quot;??_);_(@_)">
                  <c:v>0.11776837084296209</c:v>
                </c:pt>
                <c:pt idx="1">
                  <c:v>0.20797313119002922</c:v>
                </c:pt>
              </c:numCache>
            </c:numRef>
          </c:val>
        </c:ser>
        <c:ser>
          <c:idx val="2"/>
          <c:order val="2"/>
          <c:tx>
            <c:v>$2 - $4 / day</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PovertyScorecard!$M$59:$M$60</c:f>
              <c:numCache>
                <c:formatCode>General</c:formatCode>
                <c:ptCount val="2"/>
              </c:numCache>
            </c:numRef>
          </c:cat>
          <c:val>
            <c:numRef>
              <c:f>PovertyScorecard!$L$12:$M$12</c:f>
              <c:numCache>
                <c:formatCode>_([$$-409]* #,##0.00_);_([$$-409]* \(#,##0.00\);_([$$-409]* "-"??_);_(@_)</c:formatCode>
                <c:ptCount val="2"/>
                <c:pt idx="0" formatCode="_(&quot;$&quot;* #,##0.00_);_(&quot;$&quot;* \(#,##0.00\);_(&quot;$&quot;* &quot;-&quot;??_);_(@_)">
                  <c:v>0.41422069944184758</c:v>
                </c:pt>
                <c:pt idx="1">
                  <c:v>0.30390330026229645</c:v>
                </c:pt>
              </c:numCache>
            </c:numRef>
          </c:val>
        </c:ser>
        <c:ser>
          <c:idx val="3"/>
          <c:order val="3"/>
          <c:tx>
            <c:v>&gt; $4 / day</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PovertyScorecard!$M$59:$M$60</c:f>
              <c:numCache>
                <c:formatCode>General</c:formatCode>
                <c:ptCount val="2"/>
              </c:numCache>
            </c:numRef>
          </c:cat>
          <c:val>
            <c:numRef>
              <c:f>PovertyScorecard!$L$13:$M$13</c:f>
              <c:numCache>
                <c:formatCode>_([$$-409]* #,##0.00_);_([$$-409]* \(#,##0.00\);_([$$-409]* "-"??_);_(@_)</c:formatCode>
                <c:ptCount val="2"/>
                <c:pt idx="0" formatCode="_(&quot;$&quot;* #,##0.00_);_(&quot;$&quot;* \(#,##0.00\);_(&quot;$&quot;* &quot;-&quot;??_);_(@_)">
                  <c:v>0.65271961866175265</c:v>
                </c:pt>
                <c:pt idx="1">
                  <c:v>0.35826229814513438</c:v>
                </c:pt>
              </c:numCache>
            </c:numRef>
          </c:val>
        </c:ser>
        <c:dLbls>
          <c:dLblPos val="ctr"/>
          <c:showLegendKey val="0"/>
          <c:showVal val="1"/>
          <c:showCatName val="0"/>
          <c:showSerName val="0"/>
          <c:showPercent val="0"/>
          <c:showBubbleSize val="0"/>
        </c:dLbls>
        <c:gapWidth val="150"/>
        <c:overlap val="100"/>
        <c:axId val="406293240"/>
        <c:axId val="406292848"/>
      </c:barChart>
      <c:catAx>
        <c:axId val="406293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Distribution Activity		National</a:t>
                </a:r>
                <a:r>
                  <a:rPr lang="en-US" baseline="0"/>
                  <a:t> Income Distribution</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92848"/>
        <c:crosses val="autoZero"/>
        <c:auto val="1"/>
        <c:lblAlgn val="ctr"/>
        <c:lblOffset val="100"/>
        <c:noMultiLvlLbl val="0"/>
      </c:catAx>
      <c:valAx>
        <c:axId val="406292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Benefits/dollar spent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93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123825</xdr:rowOff>
    </xdr:from>
    <xdr:to>
      <xdr:col>1</xdr:col>
      <xdr:colOff>2181225</xdr:colOff>
      <xdr:row>6</xdr:row>
      <xdr:rowOff>136787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95275"/>
          <a:ext cx="2181225" cy="86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9525</xdr:colOff>
      <xdr:row>1</xdr:row>
      <xdr:rowOff>47625</xdr:rowOff>
    </xdr:from>
    <xdr:to>
      <xdr:col>10</xdr:col>
      <xdr:colOff>254394</xdr:colOff>
      <xdr:row>2</xdr:row>
      <xdr:rowOff>34290</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314325"/>
          <a:ext cx="2264169"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9525</xdr:colOff>
      <xdr:row>1</xdr:row>
      <xdr:rowOff>36741</xdr:rowOff>
    </xdr:from>
    <xdr:to>
      <xdr:col>13</xdr:col>
      <xdr:colOff>505854</xdr:colOff>
      <xdr:row>2</xdr:row>
      <xdr:rowOff>10887</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1268" y="308884"/>
          <a:ext cx="2259815" cy="19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200026</xdr:colOff>
      <xdr:row>34</xdr:row>
      <xdr:rowOff>155575</xdr:rowOff>
    </xdr:from>
    <xdr:to>
      <xdr:col>8</xdr:col>
      <xdr:colOff>466147</xdr:colOff>
      <xdr:row>50</xdr:row>
      <xdr:rowOff>60013</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1" y="6956425"/>
          <a:ext cx="4628571" cy="2495238"/>
        </a:xfrm>
        <a:prstGeom prst="rect">
          <a:avLst/>
        </a:prstGeom>
      </xdr:spPr>
    </xdr:pic>
    <xdr:clientData/>
  </xdr:twoCellAnchor>
  <xdr:twoCellAnchor editAs="oneCell">
    <xdr:from>
      <xdr:col>2</xdr:col>
      <xdr:colOff>200026</xdr:colOff>
      <xdr:row>93</xdr:row>
      <xdr:rowOff>0</xdr:rowOff>
    </xdr:from>
    <xdr:to>
      <xdr:col>8</xdr:col>
      <xdr:colOff>466147</xdr:colOff>
      <xdr:row>108</xdr:row>
      <xdr:rowOff>66363</xdr:rowOff>
    </xdr:to>
    <xdr:pic>
      <xdr:nvPicPr>
        <xdr:cNvPr id="3" name="Picture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201" y="16354425"/>
          <a:ext cx="4628571" cy="2495238"/>
        </a:xfrm>
        <a:prstGeom prst="rect">
          <a:avLst/>
        </a:prstGeom>
      </xdr:spPr>
    </xdr:pic>
    <xdr:clientData/>
  </xdr:twoCellAnchor>
  <xdr:twoCellAnchor editAs="oneCell">
    <xdr:from>
      <xdr:col>2</xdr:col>
      <xdr:colOff>200026</xdr:colOff>
      <xdr:row>151</xdr:row>
      <xdr:rowOff>6350</xdr:rowOff>
    </xdr:from>
    <xdr:to>
      <xdr:col>8</xdr:col>
      <xdr:colOff>466147</xdr:colOff>
      <xdr:row>166</xdr:row>
      <xdr:rowOff>72713</xdr:rowOff>
    </xdr:to>
    <xdr:pic>
      <xdr:nvPicPr>
        <xdr:cNvPr id="4" name="Picture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201" y="25752425"/>
          <a:ext cx="4628571" cy="2495238"/>
        </a:xfrm>
        <a:prstGeom prst="rect">
          <a:avLst/>
        </a:prstGeom>
      </xdr:spPr>
    </xdr:pic>
    <xdr:clientData/>
  </xdr:twoCellAnchor>
  <xdr:twoCellAnchor editAs="oneCell">
    <xdr:from>
      <xdr:col>2</xdr:col>
      <xdr:colOff>200026</xdr:colOff>
      <xdr:row>209</xdr:row>
      <xdr:rowOff>0</xdr:rowOff>
    </xdr:from>
    <xdr:to>
      <xdr:col>8</xdr:col>
      <xdr:colOff>466147</xdr:colOff>
      <xdr:row>224</xdr:row>
      <xdr:rowOff>66363</xdr:rowOff>
    </xdr:to>
    <xdr:pic>
      <xdr:nvPicPr>
        <xdr:cNvPr id="5" name="Picture 4"/>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7201" y="35137725"/>
          <a:ext cx="4628571" cy="2495238"/>
        </a:xfrm>
        <a:prstGeom prst="rect">
          <a:avLst/>
        </a:prstGeom>
      </xdr:spPr>
    </xdr:pic>
    <xdr:clientData/>
  </xdr:twoCellAnchor>
  <xdr:twoCellAnchor editAs="oneCell">
    <xdr:from>
      <xdr:col>2</xdr:col>
      <xdr:colOff>200026</xdr:colOff>
      <xdr:row>266</xdr:row>
      <xdr:rowOff>155575</xdr:rowOff>
    </xdr:from>
    <xdr:to>
      <xdr:col>8</xdr:col>
      <xdr:colOff>466147</xdr:colOff>
      <xdr:row>282</xdr:row>
      <xdr:rowOff>60013</xdr:rowOff>
    </xdr:to>
    <xdr:pic>
      <xdr:nvPicPr>
        <xdr:cNvPr id="6" name="Picture 5"/>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57201" y="44523025"/>
          <a:ext cx="4628571" cy="2495238"/>
        </a:xfrm>
        <a:prstGeom prst="rect">
          <a:avLst/>
        </a:prstGeom>
      </xdr:spPr>
    </xdr:pic>
    <xdr:clientData/>
  </xdr:twoCellAnchor>
  <xdr:twoCellAnchor editAs="oneCell">
    <xdr:from>
      <xdr:col>2</xdr:col>
      <xdr:colOff>200026</xdr:colOff>
      <xdr:row>325</xdr:row>
      <xdr:rowOff>0</xdr:rowOff>
    </xdr:from>
    <xdr:to>
      <xdr:col>8</xdr:col>
      <xdr:colOff>466147</xdr:colOff>
      <xdr:row>340</xdr:row>
      <xdr:rowOff>66363</xdr:rowOff>
    </xdr:to>
    <xdr:pic>
      <xdr:nvPicPr>
        <xdr:cNvPr id="7" name="Picture 6"/>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57201" y="53921025"/>
          <a:ext cx="4628571" cy="2495238"/>
        </a:xfrm>
        <a:prstGeom prst="rect">
          <a:avLst/>
        </a:prstGeom>
      </xdr:spPr>
    </xdr:pic>
    <xdr:clientData/>
  </xdr:twoCellAnchor>
  <xdr:twoCellAnchor editAs="oneCell">
    <xdr:from>
      <xdr:col>2</xdr:col>
      <xdr:colOff>200026</xdr:colOff>
      <xdr:row>383</xdr:row>
      <xdr:rowOff>6350</xdr:rowOff>
    </xdr:from>
    <xdr:to>
      <xdr:col>8</xdr:col>
      <xdr:colOff>466147</xdr:colOff>
      <xdr:row>398</xdr:row>
      <xdr:rowOff>72713</xdr:rowOff>
    </xdr:to>
    <xdr:pic>
      <xdr:nvPicPr>
        <xdr:cNvPr id="8" name="Picture 7"/>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57201" y="63319025"/>
          <a:ext cx="4628571" cy="2495238"/>
        </a:xfrm>
        <a:prstGeom prst="rect">
          <a:avLst/>
        </a:prstGeom>
      </xdr:spPr>
    </xdr:pic>
    <xdr:clientData/>
  </xdr:twoCellAnchor>
  <xdr:twoCellAnchor editAs="oneCell">
    <xdr:from>
      <xdr:col>2</xdr:col>
      <xdr:colOff>200026</xdr:colOff>
      <xdr:row>441</xdr:row>
      <xdr:rowOff>0</xdr:rowOff>
    </xdr:from>
    <xdr:to>
      <xdr:col>8</xdr:col>
      <xdr:colOff>466147</xdr:colOff>
      <xdr:row>456</xdr:row>
      <xdr:rowOff>66363</xdr:rowOff>
    </xdr:to>
    <xdr:pic>
      <xdr:nvPicPr>
        <xdr:cNvPr id="9" name="Picture 8"/>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57201" y="72704325"/>
          <a:ext cx="4628571" cy="2495238"/>
        </a:xfrm>
        <a:prstGeom prst="rect">
          <a:avLst/>
        </a:prstGeom>
      </xdr:spPr>
    </xdr:pic>
    <xdr:clientData/>
  </xdr:twoCellAnchor>
  <xdr:twoCellAnchor editAs="oneCell">
    <xdr:from>
      <xdr:col>17</xdr:col>
      <xdr:colOff>349251</xdr:colOff>
      <xdr:row>28</xdr:row>
      <xdr:rowOff>3176</xdr:rowOff>
    </xdr:from>
    <xdr:to>
      <xdr:col>20</xdr:col>
      <xdr:colOff>366708</xdr:colOff>
      <xdr:row>34</xdr:row>
      <xdr:rowOff>54280</xdr:rowOff>
    </xdr:to>
    <xdr:pic>
      <xdr:nvPicPr>
        <xdr:cNvPr id="10" name="Picture 9"/>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207501" y="5832476"/>
          <a:ext cx="1846257" cy="1022654"/>
        </a:xfrm>
        <a:prstGeom prst="rect">
          <a:avLst/>
        </a:prstGeom>
      </xdr:spPr>
    </xdr:pic>
    <xdr:clientData/>
  </xdr:twoCellAnchor>
  <xdr:twoCellAnchor editAs="oneCell">
    <xdr:from>
      <xdr:col>17</xdr:col>
      <xdr:colOff>349251</xdr:colOff>
      <xdr:row>41</xdr:row>
      <xdr:rowOff>158751</xdr:rowOff>
    </xdr:from>
    <xdr:to>
      <xdr:col>20</xdr:col>
      <xdr:colOff>366708</xdr:colOff>
      <xdr:row>48</xdr:row>
      <xdr:rowOff>47929</xdr:rowOff>
    </xdr:to>
    <xdr:pic>
      <xdr:nvPicPr>
        <xdr:cNvPr id="11" name="Picture 10"/>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207501" y="8093076"/>
          <a:ext cx="1846257" cy="1022653"/>
        </a:xfrm>
        <a:prstGeom prst="rect">
          <a:avLst/>
        </a:prstGeom>
      </xdr:spPr>
    </xdr:pic>
    <xdr:clientData/>
  </xdr:twoCellAnchor>
  <xdr:twoCellAnchor editAs="oneCell">
    <xdr:from>
      <xdr:col>17</xdr:col>
      <xdr:colOff>349251</xdr:colOff>
      <xdr:row>52</xdr:row>
      <xdr:rowOff>155576</xdr:rowOff>
    </xdr:from>
    <xdr:to>
      <xdr:col>20</xdr:col>
      <xdr:colOff>366708</xdr:colOff>
      <xdr:row>59</xdr:row>
      <xdr:rowOff>44754</xdr:rowOff>
    </xdr:to>
    <xdr:pic>
      <xdr:nvPicPr>
        <xdr:cNvPr id="12" name="Picture 11"/>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07501" y="9871076"/>
          <a:ext cx="1846257" cy="1022653"/>
        </a:xfrm>
        <a:prstGeom prst="rect">
          <a:avLst/>
        </a:prstGeom>
      </xdr:spPr>
    </xdr:pic>
    <xdr:clientData/>
  </xdr:twoCellAnchor>
  <xdr:twoCellAnchor editAs="oneCell">
    <xdr:from>
      <xdr:col>16</xdr:col>
      <xdr:colOff>12547</xdr:colOff>
      <xdr:row>1</xdr:row>
      <xdr:rowOff>47625</xdr:rowOff>
    </xdr:from>
    <xdr:to>
      <xdr:col>19</xdr:col>
      <xdr:colOff>381000</xdr:colOff>
      <xdr:row>2</xdr:row>
      <xdr:rowOff>134680</xdr:rowOff>
    </xdr:to>
    <xdr:pic>
      <xdr:nvPicPr>
        <xdr:cNvPr id="13" name="Picture 12" descr="MCC horizontal"/>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261197" y="304800"/>
          <a:ext cx="2197253" cy="248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28575</xdr:colOff>
      <xdr:row>0</xdr:row>
      <xdr:rowOff>133350</xdr:rowOff>
    </xdr:from>
    <xdr:to>
      <xdr:col>18</xdr:col>
      <xdr:colOff>730644</xdr:colOff>
      <xdr:row>1</xdr:row>
      <xdr:rowOff>19050</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133350"/>
          <a:ext cx="226416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1</xdr:col>
      <xdr:colOff>2280285</xdr:colOff>
      <xdr:row>4</xdr:row>
      <xdr:rowOff>194310</xdr:rowOff>
    </xdr:to>
    <xdr:pic>
      <xdr:nvPicPr>
        <xdr:cNvPr id="2" name="Picture 1" descr="content-branding-logo-horz"/>
        <xdr:cNvPicPr>
          <a:picLocks noChangeAspect="1" noChangeArrowheads="1"/>
        </xdr:cNvPicPr>
      </xdr:nvPicPr>
      <xdr:blipFill>
        <a:blip xmlns:r="http://schemas.openxmlformats.org/officeDocument/2006/relationships" r:embed="rId1" cstate="print"/>
        <a:srcRect/>
        <a:stretch>
          <a:fillRect/>
        </a:stretch>
      </xdr:blipFill>
      <xdr:spPr bwMode="auto">
        <a:xfrm>
          <a:off x="0" y="114300"/>
          <a:ext cx="2745105" cy="880110"/>
        </a:xfrm>
        <a:prstGeom prst="rect">
          <a:avLst/>
        </a:prstGeom>
        <a:noFill/>
      </xdr:spPr>
    </xdr:pic>
    <xdr:clientData/>
  </xdr:twoCellAnchor>
  <xdr:twoCellAnchor>
    <xdr:from>
      <xdr:col>1</xdr:col>
      <xdr:colOff>38100</xdr:colOff>
      <xdr:row>52</xdr:row>
      <xdr:rowOff>3174</xdr:rowOff>
    </xdr:from>
    <xdr:to>
      <xdr:col>8</xdr:col>
      <xdr:colOff>47625</xdr:colOff>
      <xdr:row>72</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44</xdr:row>
      <xdr:rowOff>19050</xdr:rowOff>
    </xdr:from>
    <xdr:to>
      <xdr:col>1</xdr:col>
      <xdr:colOff>2245995</xdr:colOff>
      <xdr:row>45</xdr:row>
      <xdr:rowOff>12700</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 y="11845290"/>
          <a:ext cx="2171700" cy="161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30</xdr:row>
      <xdr:rowOff>152400</xdr:rowOff>
    </xdr:from>
    <xdr:to>
      <xdr:col>6</xdr:col>
      <xdr:colOff>361950</xdr:colOff>
      <xdr:row>50</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4</xdr:row>
          <xdr:rowOff>0</xdr:rowOff>
        </xdr:from>
        <xdr:to>
          <xdr:col>8</xdr:col>
          <xdr:colOff>1371600</xdr:colOff>
          <xdr:row>5</xdr:row>
          <xdr:rowOff>95250</xdr:rowOff>
        </xdr:to>
        <xdr:sp macro="" textlink="">
          <xdr:nvSpPr>
            <xdr:cNvPr id="39937" name="Button 1"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twoCellAnchor editAs="oneCell">
    <xdr:from>
      <xdr:col>4</xdr:col>
      <xdr:colOff>903816</xdr:colOff>
      <xdr:row>1</xdr:row>
      <xdr:rowOff>1058</xdr:rowOff>
    </xdr:from>
    <xdr:to>
      <xdr:col>6</xdr:col>
      <xdr:colOff>1104053</xdr:colOff>
      <xdr:row>1</xdr:row>
      <xdr:rowOff>153458</xdr:rowOff>
    </xdr:to>
    <xdr:pic>
      <xdr:nvPicPr>
        <xdr:cNvPr id="4" name="Picture 3" descr="MCC horizont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7566" y="172508"/>
          <a:ext cx="2267162"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23811</xdr:colOff>
      <xdr:row>53</xdr:row>
      <xdr:rowOff>1699</xdr:rowOff>
    </xdr:from>
    <xdr:to>
      <xdr:col>6</xdr:col>
      <xdr:colOff>11906</xdr:colOff>
      <xdr:row>73</xdr:row>
      <xdr:rowOff>119062</xdr:rowOff>
    </xdr:to>
    <xdr:pic>
      <xdr:nvPicPr>
        <xdr:cNvPr id="6" name="Picture 5"/>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88280" y="11503137"/>
          <a:ext cx="7584282" cy="3451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98272</xdr:colOff>
      <xdr:row>1</xdr:row>
      <xdr:rowOff>99029</xdr:rowOff>
    </xdr:from>
    <xdr:to>
      <xdr:col>11</xdr:col>
      <xdr:colOff>406278</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403072</xdr:colOff>
      <xdr:row>1</xdr:row>
      <xdr:rowOff>33715</xdr:rowOff>
    </xdr:from>
    <xdr:to>
      <xdr:col>14</xdr:col>
      <xdr:colOff>304801</xdr:colOff>
      <xdr:row>1</xdr:row>
      <xdr:rowOff>195943</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2215" y="382058"/>
          <a:ext cx="2155072" cy="162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33715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3558" y="371172"/>
          <a:ext cx="2264169"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98272</xdr:colOff>
      <xdr:row>1</xdr:row>
      <xdr:rowOff>99029</xdr:rowOff>
    </xdr:from>
    <xdr:to>
      <xdr:col>10</xdr:col>
      <xdr:colOff>631613</xdr:colOff>
      <xdr:row>2</xdr:row>
      <xdr:rowOff>87055</xdr:rowOff>
    </xdr:to>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0292" y="365729"/>
          <a:ext cx="2263081" cy="15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0"/>
      <sheetData sheetId="1"/>
      <sheetData sheetId="2">
        <row r="8">
          <cell r="G8">
            <v>1300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E69"/>
  <sheetViews>
    <sheetView showGridLines="0" zoomScale="80" zoomScaleNormal="80" workbookViewId="0"/>
  </sheetViews>
  <sheetFormatPr defaultColWidth="9.140625" defaultRowHeight="12.75" x14ac:dyDescent="0.2"/>
  <cols>
    <col min="1" max="1" width="7.7109375" style="23" customWidth="1"/>
    <col min="2" max="2" width="36.7109375" style="23" customWidth="1"/>
    <col min="3" max="4" width="54.7109375" style="23" customWidth="1"/>
    <col min="5" max="16384" width="9.140625" style="23"/>
  </cols>
  <sheetData>
    <row r="1" spans="2:5" x14ac:dyDescent="0.2">
      <c r="D1" s="25" t="s">
        <v>668</v>
      </c>
    </row>
    <row r="2" spans="2:5" ht="13.15" customHeight="1" x14ac:dyDescent="0.2">
      <c r="C2" s="903" t="s">
        <v>225</v>
      </c>
      <c r="D2" s="903"/>
    </row>
    <row r="3" spans="2:5" ht="12.75" customHeight="1" x14ac:dyDescent="0.2">
      <c r="C3" s="903"/>
      <c r="D3" s="903"/>
    </row>
    <row r="4" spans="2:5" ht="13.15" customHeight="1" x14ac:dyDescent="0.2">
      <c r="C4" s="903"/>
      <c r="D4" s="903"/>
    </row>
    <row r="5" spans="2:5" ht="13.15" customHeight="1" x14ac:dyDescent="0.2">
      <c r="C5" s="903"/>
      <c r="D5" s="903"/>
    </row>
    <row r="6" spans="2:5" ht="13.15" customHeight="1" x14ac:dyDescent="0.2">
      <c r="C6" s="904" t="s">
        <v>381</v>
      </c>
      <c r="D6" s="904"/>
    </row>
    <row r="7" spans="2:5" ht="25.5" customHeight="1" x14ac:dyDescent="0.2">
      <c r="C7" s="904"/>
      <c r="D7" s="904"/>
    </row>
    <row r="8" spans="2:5" ht="13.5" thickBot="1" x14ac:dyDescent="0.25"/>
    <row r="9" spans="2:5" s="28" customFormat="1" ht="18" customHeight="1" thickTop="1" x14ac:dyDescent="0.2">
      <c r="B9" s="26" t="s">
        <v>182</v>
      </c>
      <c r="C9" s="500" t="s">
        <v>183</v>
      </c>
      <c r="D9" s="501" t="s">
        <v>184</v>
      </c>
      <c r="E9" s="27"/>
    </row>
    <row r="10" spans="2:5" s="28" customFormat="1" ht="18" customHeight="1" x14ac:dyDescent="0.2">
      <c r="B10" s="29" t="s">
        <v>185</v>
      </c>
      <c r="C10" s="100">
        <v>39318</v>
      </c>
      <c r="D10" s="101">
        <v>43000</v>
      </c>
    </row>
    <row r="11" spans="2:5" s="28" customFormat="1" ht="18" customHeight="1" x14ac:dyDescent="0.2">
      <c r="B11" s="29" t="s">
        <v>186</v>
      </c>
      <c r="C11" s="386" t="s">
        <v>418</v>
      </c>
      <c r="D11" s="312" t="s">
        <v>397</v>
      </c>
    </row>
    <row r="12" spans="2:5" ht="62.45" customHeight="1" x14ac:dyDescent="0.2">
      <c r="B12" s="30" t="s">
        <v>187</v>
      </c>
      <c r="C12" s="102" t="s">
        <v>226</v>
      </c>
      <c r="D12" s="313" t="s">
        <v>227</v>
      </c>
    </row>
    <row r="13" spans="2:5" ht="19.149999999999999" customHeight="1" x14ac:dyDescent="0.2">
      <c r="B13" s="907" t="s">
        <v>188</v>
      </c>
      <c r="C13" s="310" t="s">
        <v>228</v>
      </c>
      <c r="D13" s="313" t="s">
        <v>401</v>
      </c>
    </row>
    <row r="14" spans="2:5" ht="19.149999999999999" customHeight="1" x14ac:dyDescent="0.2">
      <c r="B14" s="906"/>
      <c r="C14" s="105" t="s">
        <v>229</v>
      </c>
      <c r="D14" s="315"/>
    </row>
    <row r="15" spans="2:5" ht="19.149999999999999" customHeight="1" x14ac:dyDescent="0.2">
      <c r="B15" s="908"/>
      <c r="C15" s="311" t="s">
        <v>230</v>
      </c>
      <c r="D15" s="316"/>
    </row>
    <row r="16" spans="2:5" ht="19.899999999999999" customHeight="1" x14ac:dyDescent="0.2">
      <c r="B16" s="905" t="s">
        <v>398</v>
      </c>
      <c r="C16" s="314" t="s">
        <v>231</v>
      </c>
      <c r="D16" s="308" t="s">
        <v>27</v>
      </c>
    </row>
    <row r="17" spans="2:5" ht="19.899999999999999" customHeight="1" x14ac:dyDescent="0.2">
      <c r="B17" s="906"/>
      <c r="C17" s="103"/>
      <c r="D17" s="104" t="s">
        <v>400</v>
      </c>
      <c r="E17" s="39"/>
    </row>
    <row r="18" spans="2:5" ht="18" customHeight="1" thickBot="1" x14ac:dyDescent="0.25">
      <c r="B18" s="31" t="s">
        <v>189</v>
      </c>
      <c r="C18" s="309" t="s">
        <v>232</v>
      </c>
      <c r="D18" s="499" t="s">
        <v>618</v>
      </c>
    </row>
    <row r="19" spans="2:5" ht="18" customHeight="1" thickTop="1" x14ac:dyDescent="0.2">
      <c r="B19" s="32"/>
      <c r="C19" s="385"/>
    </row>
    <row r="20" spans="2:5" x14ac:dyDescent="0.2">
      <c r="B20" s="33" t="s">
        <v>190</v>
      </c>
      <c r="C20" s="34"/>
    </row>
    <row r="21" spans="2:5" x14ac:dyDescent="0.2">
      <c r="B21" s="35" t="s">
        <v>428</v>
      </c>
      <c r="C21" s="35"/>
      <c r="D21" s="398"/>
    </row>
    <row r="22" spans="2:5" x14ac:dyDescent="0.2">
      <c r="B22" s="898" t="s">
        <v>191</v>
      </c>
      <c r="C22" s="898"/>
      <c r="D22" s="898"/>
    </row>
    <row r="23" spans="2:5" x14ac:dyDescent="0.2">
      <c r="B23" s="463"/>
      <c r="C23" s="463"/>
      <c r="D23" s="398"/>
    </row>
    <row r="24" spans="2:5" s="37" customFormat="1" x14ac:dyDescent="0.2">
      <c r="B24" s="36" t="s">
        <v>192</v>
      </c>
      <c r="C24" s="36"/>
      <c r="D24" s="396"/>
    </row>
    <row r="25" spans="2:5" s="37" customFormat="1" x14ac:dyDescent="0.2">
      <c r="B25" s="899" t="s">
        <v>193</v>
      </c>
      <c r="C25" s="899"/>
      <c r="D25" s="899"/>
    </row>
    <row r="26" spans="2:5" s="37" customFormat="1" x14ac:dyDescent="0.2">
      <c r="B26" s="391"/>
      <c r="C26" s="391"/>
      <c r="D26" s="396"/>
    </row>
    <row r="27" spans="2:5" s="37" customFormat="1" x14ac:dyDescent="0.2">
      <c r="B27" s="38" t="s">
        <v>379</v>
      </c>
      <c r="C27" s="38"/>
      <c r="D27" s="396"/>
    </row>
    <row r="28" spans="2:5" s="37" customFormat="1" x14ac:dyDescent="0.2">
      <c r="B28" s="900" t="s">
        <v>438</v>
      </c>
      <c r="C28" s="900"/>
      <c r="D28" s="900"/>
    </row>
    <row r="29" spans="2:5" s="37" customFormat="1" x14ac:dyDescent="0.2">
      <c r="B29" s="464"/>
      <c r="C29" s="464"/>
      <c r="D29" s="464"/>
    </row>
    <row r="30" spans="2:5" s="37" customFormat="1" x14ac:dyDescent="0.2">
      <c r="B30" s="389" t="s">
        <v>211</v>
      </c>
      <c r="C30" s="389"/>
      <c r="D30" s="396"/>
    </row>
    <row r="31" spans="2:5" s="37" customFormat="1" x14ac:dyDescent="0.2">
      <c r="B31" s="900" t="s">
        <v>399</v>
      </c>
      <c r="C31" s="900"/>
      <c r="D31" s="900"/>
    </row>
    <row r="32" spans="2:5" s="37" customFormat="1" x14ac:dyDescent="0.2">
      <c r="B32" s="390"/>
      <c r="C32" s="390"/>
      <c r="D32" s="390"/>
    </row>
    <row r="33" spans="2:4" s="37" customFormat="1" x14ac:dyDescent="0.2">
      <c r="B33" s="392" t="s">
        <v>427</v>
      </c>
      <c r="C33" s="391"/>
      <c r="D33" s="396"/>
    </row>
    <row r="34" spans="2:4" s="37" customFormat="1" x14ac:dyDescent="0.2">
      <c r="B34" s="399" t="s">
        <v>34</v>
      </c>
      <c r="C34" s="399"/>
      <c r="D34" s="400"/>
    </row>
    <row r="35" spans="2:4" s="37" customFormat="1" x14ac:dyDescent="0.2">
      <c r="B35" s="895" t="s">
        <v>429</v>
      </c>
      <c r="C35" s="895"/>
      <c r="D35" s="895"/>
    </row>
    <row r="36" spans="2:4" s="37" customFormat="1" x14ac:dyDescent="0.2">
      <c r="B36" s="401"/>
      <c r="C36" s="401"/>
      <c r="D36" s="401"/>
    </row>
    <row r="37" spans="2:4" s="37" customFormat="1" x14ac:dyDescent="0.2">
      <c r="B37" s="894" t="s">
        <v>35</v>
      </c>
      <c r="C37" s="894"/>
      <c r="D37" s="894"/>
    </row>
    <row r="38" spans="2:4" s="37" customFormat="1" x14ac:dyDescent="0.2">
      <c r="B38" s="895" t="s">
        <v>430</v>
      </c>
      <c r="C38" s="895"/>
      <c r="D38" s="895"/>
    </row>
    <row r="39" spans="2:4" s="37" customFormat="1" x14ac:dyDescent="0.2">
      <c r="B39" s="401"/>
      <c r="C39" s="401"/>
      <c r="D39" s="401"/>
    </row>
    <row r="40" spans="2:4" s="37" customFormat="1" x14ac:dyDescent="0.2">
      <c r="B40" s="896" t="s">
        <v>36</v>
      </c>
      <c r="C40" s="896"/>
      <c r="D40" s="896"/>
    </row>
    <row r="41" spans="2:4" s="37" customFormat="1" x14ac:dyDescent="0.2">
      <c r="B41" s="895" t="s">
        <v>431</v>
      </c>
      <c r="C41" s="895"/>
      <c r="D41" s="895"/>
    </row>
    <row r="42" spans="2:4" s="37" customFormat="1" x14ac:dyDescent="0.2">
      <c r="B42" s="401"/>
      <c r="C42" s="401"/>
      <c r="D42" s="401"/>
    </row>
    <row r="43" spans="2:4" s="37" customFormat="1" x14ac:dyDescent="0.2">
      <c r="B43" s="402" t="s">
        <v>37</v>
      </c>
      <c r="C43" s="399"/>
      <c r="D43" s="400"/>
    </row>
    <row r="44" spans="2:4" s="37" customFormat="1" x14ac:dyDescent="0.2">
      <c r="B44" s="901" t="s">
        <v>432</v>
      </c>
      <c r="C44" s="901"/>
      <c r="D44" s="901"/>
    </row>
    <row r="45" spans="2:4" s="37" customFormat="1" x14ac:dyDescent="0.2">
      <c r="B45" s="400"/>
      <c r="C45" s="400"/>
      <c r="D45" s="400"/>
    </row>
    <row r="46" spans="2:4" s="37" customFormat="1" x14ac:dyDescent="0.2">
      <c r="B46" s="402" t="s">
        <v>38</v>
      </c>
      <c r="C46" s="399"/>
      <c r="D46" s="400"/>
    </row>
    <row r="47" spans="2:4" s="37" customFormat="1" x14ac:dyDescent="0.2">
      <c r="B47" s="901" t="s">
        <v>433</v>
      </c>
      <c r="C47" s="901"/>
      <c r="D47" s="901"/>
    </row>
    <row r="48" spans="2:4" s="37" customFormat="1" x14ac:dyDescent="0.2">
      <c r="B48" s="403"/>
      <c r="C48" s="401"/>
      <c r="D48" s="401"/>
    </row>
    <row r="49" spans="2:4" s="37" customFormat="1" x14ac:dyDescent="0.2">
      <c r="B49" s="402" t="s">
        <v>39</v>
      </c>
      <c r="C49" s="399"/>
      <c r="D49" s="400"/>
    </row>
    <row r="50" spans="2:4" s="37" customFormat="1" x14ac:dyDescent="0.2">
      <c r="B50" s="901" t="s">
        <v>434</v>
      </c>
      <c r="C50" s="901"/>
      <c r="D50" s="901"/>
    </row>
    <row r="51" spans="2:4" s="37" customFormat="1" x14ac:dyDescent="0.2">
      <c r="B51" s="404"/>
      <c r="C51" s="404"/>
      <c r="D51" s="404"/>
    </row>
    <row r="52" spans="2:4" s="37" customFormat="1" x14ac:dyDescent="0.2">
      <c r="B52" s="402" t="s">
        <v>111</v>
      </c>
      <c r="C52" s="399"/>
      <c r="D52" s="400"/>
    </row>
    <row r="53" spans="2:4" s="37" customFormat="1" x14ac:dyDescent="0.2">
      <c r="B53" s="901" t="s">
        <v>435</v>
      </c>
      <c r="C53" s="901"/>
      <c r="D53" s="901"/>
    </row>
    <row r="54" spans="2:4" s="37" customFormat="1" x14ac:dyDescent="0.2">
      <c r="B54" s="393"/>
      <c r="C54" s="393"/>
      <c r="D54" s="393"/>
    </row>
    <row r="55" spans="2:4" s="394" customFormat="1" x14ac:dyDescent="0.2">
      <c r="B55" s="395" t="s">
        <v>63</v>
      </c>
      <c r="C55" s="393"/>
      <c r="D55" s="393"/>
    </row>
    <row r="56" spans="2:4" s="37" customFormat="1" x14ac:dyDescent="0.2">
      <c r="B56" s="902" t="s">
        <v>436</v>
      </c>
      <c r="C56" s="902"/>
      <c r="D56" s="902"/>
    </row>
    <row r="57" spans="2:4" s="37" customFormat="1" x14ac:dyDescent="0.2">
      <c r="B57" s="393"/>
      <c r="C57" s="393"/>
      <c r="D57" s="393"/>
    </row>
    <row r="58" spans="2:4" s="37" customFormat="1" x14ac:dyDescent="0.2">
      <c r="B58" s="397" t="s">
        <v>181</v>
      </c>
      <c r="C58" s="393"/>
      <c r="D58" s="393"/>
    </row>
    <row r="59" spans="2:4" s="37" customFormat="1" x14ac:dyDescent="0.2">
      <c r="B59" s="393" t="s">
        <v>437</v>
      </c>
      <c r="C59" s="393"/>
      <c r="D59" s="393"/>
    </row>
    <row r="60" spans="2:4" s="37" customFormat="1" x14ac:dyDescent="0.2">
      <c r="B60" s="393"/>
      <c r="C60" s="393"/>
      <c r="D60" s="393"/>
    </row>
    <row r="61" spans="2:4" s="37" customFormat="1" x14ac:dyDescent="0.2">
      <c r="B61" s="397" t="s">
        <v>545</v>
      </c>
      <c r="C61" s="393"/>
      <c r="D61" s="393"/>
    </row>
    <row r="62" spans="2:4" s="37" customFormat="1" x14ac:dyDescent="0.2">
      <c r="B62" s="393" t="s">
        <v>546</v>
      </c>
      <c r="C62" s="393"/>
      <c r="D62" s="393"/>
    </row>
    <row r="63" spans="2:4" s="37" customFormat="1" x14ac:dyDescent="0.2">
      <c r="B63" s="393"/>
      <c r="C63" s="393"/>
      <c r="D63" s="393"/>
    </row>
    <row r="64" spans="2:4" s="37" customFormat="1" x14ac:dyDescent="0.2">
      <c r="B64" s="397" t="s">
        <v>249</v>
      </c>
      <c r="C64" s="393"/>
      <c r="D64" s="393"/>
    </row>
    <row r="65" spans="2:4" s="37" customFormat="1" x14ac:dyDescent="0.2">
      <c r="B65" s="393" t="s">
        <v>439</v>
      </c>
      <c r="C65" s="393"/>
      <c r="D65" s="393"/>
    </row>
    <row r="66" spans="2:4" s="37" customFormat="1" x14ac:dyDescent="0.2">
      <c r="B66" s="393"/>
      <c r="C66" s="393"/>
      <c r="D66" s="393"/>
    </row>
    <row r="67" spans="2:4" x14ac:dyDescent="0.2">
      <c r="B67" s="389" t="s">
        <v>194</v>
      </c>
      <c r="C67" s="389"/>
      <c r="D67" s="396"/>
    </row>
    <row r="68" spans="2:4" x14ac:dyDescent="0.2">
      <c r="B68" s="897" t="s">
        <v>195</v>
      </c>
      <c r="C68" s="897"/>
      <c r="D68" s="897"/>
    </row>
    <row r="69" spans="2:4" x14ac:dyDescent="0.2">
      <c r="B69" s="398"/>
      <c r="C69" s="398"/>
      <c r="D69" s="398"/>
    </row>
  </sheetData>
  <mergeCells count="19">
    <mergeCell ref="C2:D5"/>
    <mergeCell ref="C6:D7"/>
    <mergeCell ref="B16:B17"/>
    <mergeCell ref="B13:B15"/>
    <mergeCell ref="B35:D35"/>
    <mergeCell ref="B37:D37"/>
    <mergeCell ref="B38:D38"/>
    <mergeCell ref="B40:D40"/>
    <mergeCell ref="B68:D68"/>
    <mergeCell ref="B22:D22"/>
    <mergeCell ref="B25:D25"/>
    <mergeCell ref="B31:D31"/>
    <mergeCell ref="B28:D28"/>
    <mergeCell ref="B41:D41"/>
    <mergeCell ref="B44:D44"/>
    <mergeCell ref="B47:D47"/>
    <mergeCell ref="B50:D50"/>
    <mergeCell ref="B53:D53"/>
    <mergeCell ref="B56:D56"/>
  </mergeCells>
  <hyperlinks>
    <hyperlink ref="B24" location="'ERR &amp; Sensitivity Analysis'!A1" display="ERR &amp; Sensitivity Analysis"/>
    <hyperlink ref="B27" location="Assumptions!A1" display="Assumptions"/>
    <hyperlink ref="B21" location="'Activity Description'!A1" display="Activity Description"/>
    <hyperlink ref="B34" location="Tanga!A1" display="Tanga"/>
    <hyperlink ref="B30" location="Summary!A1" display="Summary"/>
    <hyperlink ref="B67" location="PovertyScorecard!A1" display="Poverty Scorecard"/>
    <hyperlink ref="B37:D37" location="Dodoma!A1" display="Dodoma"/>
    <hyperlink ref="B40" location="'HDM-4 Vehicle Fleet'!A1" display="HDM-4 Vehicle Fleet"/>
    <hyperlink ref="B46" location="Mwanza!A1" display="Mwanza"/>
    <hyperlink ref="B43" location="Iringa!A1" display="Iringa"/>
    <hyperlink ref="B49" location="Mbeya!A1" display="Mbeya"/>
    <hyperlink ref="B52" location="Kigoma!A1" display="Kigoma"/>
    <hyperlink ref="B55" location="WTP!A1" display="WTP"/>
    <hyperlink ref="B40:D40" location="Morogoro!A1" display="Morogoro"/>
    <hyperlink ref="B58" location="LRMC!A1" display="LRMC"/>
    <hyperlink ref="B64" location="Beneficiaries!A1" display="Beneficiaries"/>
    <hyperlink ref="B61" location="Sensitivity!A1" display="Sensitivity"/>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156"/>
  <sheetViews>
    <sheetView showGridLines="0" zoomScale="70" zoomScaleNormal="70" workbookViewId="0"/>
  </sheetViews>
  <sheetFormatPr defaultColWidth="9.140625" defaultRowHeight="12.75" x14ac:dyDescent="0.2"/>
  <cols>
    <col min="1" max="1" width="4.140625" style="542" customWidth="1"/>
    <col min="2" max="2" width="3.5703125" style="542" customWidth="1"/>
    <col min="3" max="3" width="49.5703125" style="542" customWidth="1"/>
    <col min="4" max="4" width="12.7109375" style="542" customWidth="1"/>
    <col min="5" max="5" width="13.7109375" style="542" customWidth="1"/>
    <col min="6" max="7" width="13.28515625" style="542" customWidth="1"/>
    <col min="8" max="9" width="12.85546875" style="542" customWidth="1"/>
    <col min="10" max="10" width="12.28515625" style="542" customWidth="1"/>
    <col min="11" max="12" width="12.28515625" style="542" bestFit="1" customWidth="1"/>
    <col min="13" max="13" width="12.85546875" style="542" customWidth="1"/>
    <col min="14" max="15" width="12.28515625" style="542" bestFit="1" customWidth="1"/>
    <col min="16" max="16" width="13" style="542" customWidth="1"/>
    <col min="17" max="17" width="13.42578125" style="542" bestFit="1" customWidth="1"/>
    <col min="18" max="18" width="12.28515625" style="542" bestFit="1" customWidth="1"/>
    <col min="19" max="19" width="15" style="542" customWidth="1"/>
    <col min="20" max="20" width="12.28515625" style="542" customWidth="1"/>
    <col min="21" max="21" width="12.28515625" style="542" bestFit="1" customWidth="1"/>
    <col min="22" max="22" width="13.28515625" style="542" customWidth="1"/>
    <col min="23" max="24" width="12.28515625" style="542" bestFit="1" customWidth="1"/>
    <col min="25" max="25" width="11.5703125" style="542" customWidth="1"/>
    <col min="26" max="27" width="12.28515625" style="542" bestFit="1" customWidth="1"/>
    <col min="28" max="28" width="11.7109375" style="542" customWidth="1"/>
    <col min="29" max="30" width="12.28515625" style="542" bestFit="1" customWidth="1"/>
    <col min="31" max="16384" width="9.140625" style="542"/>
  </cols>
  <sheetData>
    <row r="1" spans="1:10" s="831" customFormat="1" ht="20.25" x14ac:dyDescent="0.3">
      <c r="B1" s="567" t="s">
        <v>370</v>
      </c>
      <c r="C1" s="832"/>
      <c r="I1" s="833" t="s">
        <v>668</v>
      </c>
    </row>
    <row r="2" spans="1:10" s="835" customFormat="1" ht="18" x14ac:dyDescent="0.25">
      <c r="A2" s="832"/>
      <c r="B2" s="834" t="s">
        <v>376</v>
      </c>
      <c r="D2" s="832"/>
      <c r="E2" s="832"/>
      <c r="F2" s="832"/>
      <c r="G2" s="836"/>
    </row>
    <row r="3" spans="1:10" ht="13.5" thickBot="1" x14ac:dyDescent="0.25"/>
    <row r="4" spans="1:10" x14ac:dyDescent="0.2">
      <c r="C4" s="941" t="s">
        <v>137</v>
      </c>
      <c r="D4" s="942"/>
      <c r="E4" s="519"/>
      <c r="F4" s="520"/>
    </row>
    <row r="5" spans="1:10" x14ac:dyDescent="0.2">
      <c r="C5" s="561"/>
      <c r="D5" s="562"/>
      <c r="E5" s="563"/>
      <c r="F5" s="564"/>
      <c r="G5" s="691"/>
      <c r="H5" s="690"/>
      <c r="I5" s="690"/>
      <c r="J5" s="690"/>
    </row>
    <row r="6" spans="1:10" x14ac:dyDescent="0.2">
      <c r="C6" s="688" t="s">
        <v>138</v>
      </c>
      <c r="D6" s="689"/>
      <c r="F6" s="549"/>
    </row>
    <row r="7" spans="1:10" x14ac:dyDescent="0.2">
      <c r="C7" s="943" t="s">
        <v>336</v>
      </c>
      <c r="D7" s="944"/>
      <c r="E7" s="761">
        <f>IRR(E147:X147,-0.9)</f>
        <v>6.2952606827237689E-2</v>
      </c>
      <c r="F7" s="549"/>
    </row>
    <row r="8" spans="1:10" x14ac:dyDescent="0.2">
      <c r="C8" s="688" t="s">
        <v>373</v>
      </c>
      <c r="D8" s="236"/>
      <c r="E8" s="692"/>
      <c r="F8" s="549"/>
    </row>
    <row r="9" spans="1:10" x14ac:dyDescent="0.2">
      <c r="C9" s="693" t="s">
        <v>128</v>
      </c>
      <c r="D9" s="236"/>
      <c r="E9" s="694">
        <f>NPV(0.1,E147:X147)</f>
        <v>-3.3590222031096433</v>
      </c>
      <c r="F9" s="549"/>
    </row>
    <row r="10" spans="1:10" x14ac:dyDescent="0.2">
      <c r="C10" s="693" t="s">
        <v>367</v>
      </c>
      <c r="D10" s="236"/>
      <c r="E10" s="695">
        <f>NPV(0.1,E63:I63)</f>
        <v>12.434472643849949</v>
      </c>
      <c r="F10" s="549"/>
    </row>
    <row r="11" spans="1:10" x14ac:dyDescent="0.2">
      <c r="C11" s="693" t="s">
        <v>384</v>
      </c>
      <c r="D11" s="236"/>
      <c r="E11" s="694">
        <f>E9+E10</f>
        <v>9.0754504407403047</v>
      </c>
      <c r="F11" s="696"/>
    </row>
    <row r="12" spans="1:10" x14ac:dyDescent="0.2">
      <c r="C12" s="693" t="s">
        <v>368</v>
      </c>
      <c r="D12" s="236"/>
      <c r="E12" s="694">
        <f>NPV(0.1,E62:X62)</f>
        <v>17.114628148120918</v>
      </c>
      <c r="F12" s="549"/>
    </row>
    <row r="13" spans="1:10" x14ac:dyDescent="0.2">
      <c r="C13" s="693" t="s">
        <v>369</v>
      </c>
      <c r="D13" s="236"/>
      <c r="E13" s="694">
        <f>NPV(0.1,E146:X146)</f>
        <v>13.75560594501127</v>
      </c>
      <c r="F13" s="549"/>
    </row>
    <row r="14" spans="1:10" ht="13.5" thickBot="1" x14ac:dyDescent="0.25">
      <c r="C14" s="697" t="s">
        <v>136</v>
      </c>
      <c r="D14" s="698"/>
      <c r="E14" s="699">
        <f>E13/E12</f>
        <v>0.80373384837587325</v>
      </c>
      <c r="F14" s="700"/>
    </row>
    <row r="15" spans="1:10" x14ac:dyDescent="0.2">
      <c r="C15" s="117"/>
      <c r="D15" s="236"/>
      <c r="E15" s="837"/>
    </row>
    <row r="16" spans="1:10" ht="13.5" thickBot="1" x14ac:dyDescent="0.25"/>
    <row r="17" spans="3:30" s="543" customFormat="1"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30" s="543" customFormat="1" x14ac:dyDescent="0.2">
      <c r="C18" s="565" t="s">
        <v>616</v>
      </c>
      <c r="D18" s="524" t="s">
        <v>130</v>
      </c>
      <c r="E18" s="525"/>
      <c r="F18" s="526"/>
      <c r="G18" s="526"/>
      <c r="H18" s="526"/>
      <c r="I18" s="527"/>
      <c r="J18" s="526"/>
      <c r="K18" s="526"/>
      <c r="L18" s="526"/>
      <c r="M18" s="526"/>
      <c r="N18" s="526"/>
      <c r="O18" s="526"/>
      <c r="P18" s="526"/>
      <c r="Q18" s="526"/>
      <c r="R18" s="526"/>
      <c r="S18" s="526"/>
      <c r="T18" s="526"/>
      <c r="U18" s="526"/>
      <c r="V18" s="526"/>
      <c r="W18" s="526"/>
      <c r="X18" s="526"/>
      <c r="Y18" s="528"/>
    </row>
    <row r="19" spans="3:30" x14ac:dyDescent="0.2">
      <c r="C19" s="703"/>
      <c r="D19" s="704"/>
      <c r="Y19" s="549"/>
    </row>
    <row r="20" spans="3:30" s="111"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30" x14ac:dyDescent="0.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30" x14ac:dyDescent="0.2">
      <c r="C22" s="548"/>
      <c r="D22" s="704">
        <v>2008</v>
      </c>
      <c r="E22" s="704">
        <f t="shared" ref="E22:X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si="1"/>
        <v>2026</v>
      </c>
      <c r="W22" s="704">
        <f t="shared" si="1"/>
        <v>2027</v>
      </c>
      <c r="X22" s="704">
        <f t="shared" si="1"/>
        <v>2028</v>
      </c>
      <c r="Y22" s="813"/>
      <c r="Z22" s="704"/>
      <c r="AA22" s="704"/>
      <c r="AB22" s="704"/>
      <c r="AC22" s="704"/>
      <c r="AD22" s="704"/>
    </row>
    <row r="23" spans="3:30"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row>
    <row r="24" spans="3:30"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P24" s="557"/>
      <c r="Y24" s="549"/>
    </row>
    <row r="25" spans="3:30" x14ac:dyDescent="0.2">
      <c r="C25" s="703"/>
      <c r="Y25" s="549"/>
    </row>
    <row r="26" spans="3:30" x14ac:dyDescent="0.2">
      <c r="C26" s="708" t="s">
        <v>55</v>
      </c>
      <c r="Y26" s="549"/>
    </row>
    <row r="27" spans="3:30"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Y27" s="549"/>
    </row>
    <row r="28" spans="3:30" x14ac:dyDescent="0.2">
      <c r="C28" s="709" t="s">
        <v>57</v>
      </c>
      <c r="D28" s="542">
        <v>0</v>
      </c>
      <c r="E28" s="710">
        <f>E27*$AA$69/E24</f>
        <v>7.5343071144752624E-2</v>
      </c>
      <c r="F28" s="710">
        <f t="shared" ref="F28:J28" si="2">F27*$AA$69/F24</f>
        <v>0.4247465635785429</v>
      </c>
      <c r="G28" s="710">
        <f t="shared" si="2"/>
        <v>4.0764116997010786</v>
      </c>
      <c r="H28" s="710">
        <f t="shared" si="2"/>
        <v>3.8289765745004258</v>
      </c>
      <c r="I28" s="710">
        <f t="shared" si="2"/>
        <v>4.8501936552619505</v>
      </c>
      <c r="J28" s="710">
        <f t="shared" si="2"/>
        <v>0.44286539338927999</v>
      </c>
      <c r="Y28" s="549"/>
    </row>
    <row r="29" spans="3:30"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815"/>
      <c r="Z29" s="711"/>
      <c r="AA29" s="711"/>
      <c r="AB29" s="711"/>
      <c r="AC29" s="711"/>
      <c r="AD29" s="711"/>
    </row>
    <row r="30" spans="3:30" x14ac:dyDescent="0.2">
      <c r="C30" s="806"/>
      <c r="Y30" s="549"/>
    </row>
    <row r="31" spans="3:30" x14ac:dyDescent="0.2">
      <c r="C31" s="708" t="s">
        <v>360</v>
      </c>
      <c r="D31" s="711">
        <v>0</v>
      </c>
      <c r="E31" s="711">
        <f>E$27*Assumptions!$F$22/10^6</f>
        <v>6.0520070510894251E-3</v>
      </c>
      <c r="F31" s="711">
        <f>F$27*Assumptions!$F$22/10^6</f>
        <v>3.7825044069308901E-2</v>
      </c>
      <c r="G31" s="711">
        <f>G$27*Assumptions!$F$22/10^6</f>
        <v>0.40245846889744674</v>
      </c>
      <c r="H31" s="711">
        <f>H$27*Assumptions!$F$22/10^6</f>
        <v>0.41910148828794269</v>
      </c>
      <c r="I31" s="711">
        <f>I$27*Assumptions!$F$22/10^6</f>
        <v>0.58855768571844658</v>
      </c>
      <c r="J31" s="711"/>
      <c r="K31" s="711"/>
      <c r="L31" s="711"/>
      <c r="M31" s="711"/>
      <c r="N31" s="711"/>
      <c r="O31" s="711"/>
      <c r="P31" s="711"/>
      <c r="Q31" s="711"/>
      <c r="R31" s="711"/>
      <c r="S31" s="711"/>
      <c r="T31" s="711"/>
      <c r="U31" s="711"/>
      <c r="V31" s="711"/>
      <c r="W31" s="711"/>
      <c r="X31" s="711"/>
      <c r="Y31" s="815"/>
      <c r="Z31" s="711"/>
      <c r="AA31" s="711"/>
      <c r="AB31" s="711"/>
      <c r="AC31" s="711"/>
      <c r="AD31" s="711"/>
    </row>
    <row r="32" spans="3:30" x14ac:dyDescent="0.2">
      <c r="C32" s="708" t="s">
        <v>361</v>
      </c>
      <c r="D32" s="711">
        <v>0</v>
      </c>
      <c r="E32" s="711">
        <f>E$27*Assumptions!$G$22/10^6</f>
        <v>4.9254243670936153E-3</v>
      </c>
      <c r="F32" s="711">
        <f>F$27*Assumptions!$G$22/10^6</f>
        <v>3.0783902294335096E-2</v>
      </c>
      <c r="G32" s="711">
        <f>G$27*Assumptions!$G$22/10^6</f>
        <v>0.32754072041172544</v>
      </c>
      <c r="H32" s="711">
        <f>H$27*Assumptions!$G$22/10^6</f>
        <v>0.34108563742123288</v>
      </c>
      <c r="I32" s="711">
        <f>I$27*Assumptions!$G$22/10^6</f>
        <v>0.4789975196998541</v>
      </c>
      <c r="J32" s="711"/>
      <c r="K32" s="711"/>
      <c r="L32" s="711"/>
      <c r="M32" s="711"/>
      <c r="N32" s="711"/>
      <c r="O32" s="711"/>
      <c r="P32" s="711"/>
      <c r="Q32" s="711"/>
      <c r="R32" s="711"/>
      <c r="S32" s="711"/>
      <c r="T32" s="711"/>
      <c r="U32" s="711"/>
      <c r="V32" s="711"/>
      <c r="W32" s="711"/>
      <c r="X32" s="711"/>
      <c r="Y32" s="815"/>
      <c r="Z32" s="711"/>
      <c r="AA32" s="711"/>
      <c r="AB32" s="711"/>
      <c r="AC32" s="711"/>
      <c r="AD32" s="711"/>
    </row>
    <row r="33" spans="3:30" x14ac:dyDescent="0.2">
      <c r="C33" s="708" t="s">
        <v>362</v>
      </c>
      <c r="D33" s="711">
        <v>0</v>
      </c>
      <c r="E33" s="711">
        <f>Assumptions!$H$22/10^6</f>
        <v>0.11642866327321715</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row>
    <row r="34" spans="3:30"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815"/>
      <c r="Z34" s="711"/>
      <c r="AA34" s="711"/>
      <c r="AB34" s="711"/>
      <c r="AC34" s="711"/>
      <c r="AD34" s="711"/>
    </row>
    <row r="35" spans="3:30" x14ac:dyDescent="0.2">
      <c r="C35" s="708" t="s">
        <v>31</v>
      </c>
      <c r="D35" s="553"/>
      <c r="E35" s="553"/>
      <c r="Y35" s="549"/>
    </row>
    <row r="36" spans="3:30" x14ac:dyDescent="0.2">
      <c r="C36" s="709" t="s">
        <v>10</v>
      </c>
      <c r="D36" s="553">
        <f>Assumptions!F48</f>
        <v>655.42500000000007</v>
      </c>
      <c r="E36" s="553">
        <f>D36</f>
        <v>655.42500000000007</v>
      </c>
      <c r="F36" s="553">
        <f t="shared" ref="F36:X39" si="3">E36</f>
        <v>655.42500000000007</v>
      </c>
      <c r="G36" s="553">
        <f t="shared" si="3"/>
        <v>655.42500000000007</v>
      </c>
      <c r="H36" s="553">
        <f t="shared" si="3"/>
        <v>655.42500000000007</v>
      </c>
      <c r="I36" s="553">
        <f t="shared" si="3"/>
        <v>655.42500000000007</v>
      </c>
      <c r="J36" s="553">
        <f t="shared" si="3"/>
        <v>655.42500000000007</v>
      </c>
      <c r="K36" s="553">
        <f t="shared" si="3"/>
        <v>655.42500000000007</v>
      </c>
      <c r="L36" s="553">
        <f t="shared" si="3"/>
        <v>655.42500000000007</v>
      </c>
      <c r="M36" s="553">
        <f t="shared" si="3"/>
        <v>655.42500000000007</v>
      </c>
      <c r="N36" s="553">
        <f t="shared" si="3"/>
        <v>655.42500000000007</v>
      </c>
      <c r="O36" s="553">
        <f t="shared" si="3"/>
        <v>655.42500000000007</v>
      </c>
      <c r="P36" s="553">
        <f t="shared" si="3"/>
        <v>655.42500000000007</v>
      </c>
      <c r="Q36" s="553">
        <f t="shared" si="3"/>
        <v>655.42500000000007</v>
      </c>
      <c r="R36" s="553">
        <f t="shared" si="3"/>
        <v>655.42500000000007</v>
      </c>
      <c r="S36" s="553">
        <f t="shared" si="3"/>
        <v>655.42500000000007</v>
      </c>
      <c r="T36" s="553">
        <f t="shared" si="3"/>
        <v>655.42500000000007</v>
      </c>
      <c r="U36" s="553">
        <f t="shared" si="3"/>
        <v>655.42500000000007</v>
      </c>
      <c r="V36" s="553">
        <f t="shared" si="3"/>
        <v>655.42500000000007</v>
      </c>
      <c r="W36" s="553">
        <f t="shared" si="3"/>
        <v>655.42500000000007</v>
      </c>
      <c r="X36" s="553">
        <f t="shared" si="3"/>
        <v>655.42500000000007</v>
      </c>
      <c r="Y36" s="814"/>
      <c r="Z36" s="553"/>
      <c r="AA36" s="553"/>
      <c r="AB36" s="553"/>
      <c r="AC36" s="553"/>
      <c r="AD36" s="553"/>
    </row>
    <row r="37" spans="3:30" x14ac:dyDescent="0.2">
      <c r="C37" s="709" t="s">
        <v>44</v>
      </c>
      <c r="D37" s="553">
        <f>Assumptions!F49</f>
        <v>296.7</v>
      </c>
      <c r="E37" s="553">
        <f>D37</f>
        <v>296.7</v>
      </c>
      <c r="F37" s="553">
        <f t="shared" si="3"/>
        <v>296.7</v>
      </c>
      <c r="G37" s="553">
        <f t="shared" si="3"/>
        <v>296.7</v>
      </c>
      <c r="H37" s="553">
        <f t="shared" si="3"/>
        <v>296.7</v>
      </c>
      <c r="I37" s="553">
        <f t="shared" si="3"/>
        <v>296.7</v>
      </c>
      <c r="J37" s="553">
        <f t="shared" si="3"/>
        <v>296.7</v>
      </c>
      <c r="K37" s="553">
        <f t="shared" si="3"/>
        <v>296.7</v>
      </c>
      <c r="L37" s="553">
        <f t="shared" si="3"/>
        <v>296.7</v>
      </c>
      <c r="M37" s="553">
        <f t="shared" si="3"/>
        <v>296.7</v>
      </c>
      <c r="N37" s="553">
        <f t="shared" si="3"/>
        <v>296.7</v>
      </c>
      <c r="O37" s="553">
        <f t="shared" si="3"/>
        <v>296.7</v>
      </c>
      <c r="P37" s="553">
        <f t="shared" si="3"/>
        <v>296.7</v>
      </c>
      <c r="Q37" s="553">
        <f t="shared" si="3"/>
        <v>296.7</v>
      </c>
      <c r="R37" s="553">
        <f t="shared" si="3"/>
        <v>296.7</v>
      </c>
      <c r="S37" s="553">
        <f t="shared" si="3"/>
        <v>296.7</v>
      </c>
      <c r="T37" s="553">
        <f t="shared" si="3"/>
        <v>296.7</v>
      </c>
      <c r="U37" s="553">
        <f t="shared" si="3"/>
        <v>296.7</v>
      </c>
      <c r="V37" s="553">
        <f t="shared" si="3"/>
        <v>296.7</v>
      </c>
      <c r="W37" s="553">
        <f t="shared" si="3"/>
        <v>296.7</v>
      </c>
      <c r="X37" s="553">
        <f t="shared" si="3"/>
        <v>296.7</v>
      </c>
      <c r="Y37" s="814"/>
      <c r="Z37" s="553"/>
      <c r="AA37" s="553"/>
      <c r="AB37" s="553"/>
      <c r="AC37" s="553"/>
      <c r="AD37" s="553"/>
    </row>
    <row r="38" spans="3:30" x14ac:dyDescent="0.2">
      <c r="C38" s="709" t="s">
        <v>45</v>
      </c>
      <c r="D38" s="553">
        <f>Assumptions!F50</f>
        <v>407.25</v>
      </c>
      <c r="E38" s="553">
        <f>D38</f>
        <v>407.25</v>
      </c>
      <c r="F38" s="553">
        <f t="shared" si="3"/>
        <v>407.25</v>
      </c>
      <c r="G38" s="553">
        <f t="shared" si="3"/>
        <v>407.25</v>
      </c>
      <c r="H38" s="553">
        <f t="shared" si="3"/>
        <v>407.25</v>
      </c>
      <c r="I38" s="553">
        <f t="shared" si="3"/>
        <v>407.25</v>
      </c>
      <c r="J38" s="553">
        <f t="shared" si="3"/>
        <v>407.25</v>
      </c>
      <c r="K38" s="553">
        <f t="shared" si="3"/>
        <v>407.25</v>
      </c>
      <c r="L38" s="553">
        <f t="shared" si="3"/>
        <v>407.25</v>
      </c>
      <c r="M38" s="553">
        <f t="shared" si="3"/>
        <v>407.25</v>
      </c>
      <c r="N38" s="553">
        <f t="shared" si="3"/>
        <v>407.25</v>
      </c>
      <c r="O38" s="553">
        <f t="shared" si="3"/>
        <v>407.25</v>
      </c>
      <c r="P38" s="553">
        <f t="shared" si="3"/>
        <v>407.25</v>
      </c>
      <c r="Q38" s="553">
        <f t="shared" si="3"/>
        <v>407.25</v>
      </c>
      <c r="R38" s="553">
        <f t="shared" si="3"/>
        <v>407.25</v>
      </c>
      <c r="S38" s="553">
        <f t="shared" si="3"/>
        <v>407.25</v>
      </c>
      <c r="T38" s="553">
        <f t="shared" si="3"/>
        <v>407.25</v>
      </c>
      <c r="U38" s="553">
        <f t="shared" si="3"/>
        <v>407.25</v>
      </c>
      <c r="V38" s="553">
        <f t="shared" si="3"/>
        <v>407.25</v>
      </c>
      <c r="W38" s="553">
        <f t="shared" si="3"/>
        <v>407.25</v>
      </c>
      <c r="X38" s="553">
        <f t="shared" si="3"/>
        <v>407.25</v>
      </c>
      <c r="Y38" s="814"/>
      <c r="Z38" s="553"/>
      <c r="AA38" s="553"/>
      <c r="AB38" s="553"/>
      <c r="AC38" s="553"/>
      <c r="AD38" s="553"/>
    </row>
    <row r="39" spans="3:30" x14ac:dyDescent="0.2">
      <c r="C39" s="712" t="s">
        <v>162</v>
      </c>
      <c r="D39" s="553">
        <f>Assumptions!F51</f>
        <v>400</v>
      </c>
      <c r="E39" s="553">
        <f>D39</f>
        <v>400</v>
      </c>
      <c r="F39" s="553">
        <f t="shared" si="3"/>
        <v>400</v>
      </c>
      <c r="G39" s="553">
        <f t="shared" si="3"/>
        <v>400</v>
      </c>
      <c r="H39" s="553">
        <f t="shared" si="3"/>
        <v>400</v>
      </c>
      <c r="I39" s="553">
        <f t="shared" si="3"/>
        <v>400</v>
      </c>
      <c r="J39" s="553">
        <f t="shared" si="3"/>
        <v>400</v>
      </c>
      <c r="K39" s="553">
        <f t="shared" si="3"/>
        <v>400</v>
      </c>
      <c r="L39" s="553">
        <f t="shared" si="3"/>
        <v>400</v>
      </c>
      <c r="M39" s="553">
        <f t="shared" si="3"/>
        <v>400</v>
      </c>
      <c r="N39" s="553">
        <f t="shared" si="3"/>
        <v>400</v>
      </c>
      <c r="O39" s="553">
        <f t="shared" si="3"/>
        <v>400</v>
      </c>
      <c r="P39" s="553">
        <f t="shared" si="3"/>
        <v>400</v>
      </c>
      <c r="Q39" s="553">
        <f t="shared" si="3"/>
        <v>400</v>
      </c>
      <c r="R39" s="553">
        <f t="shared" si="3"/>
        <v>400</v>
      </c>
      <c r="S39" s="553">
        <f t="shared" si="3"/>
        <v>400</v>
      </c>
      <c r="T39" s="553">
        <f t="shared" si="3"/>
        <v>400</v>
      </c>
      <c r="U39" s="553">
        <f t="shared" si="3"/>
        <v>400</v>
      </c>
      <c r="V39" s="553">
        <f t="shared" si="3"/>
        <v>400</v>
      </c>
      <c r="W39" s="553">
        <f t="shared" si="3"/>
        <v>400</v>
      </c>
      <c r="X39" s="553">
        <f t="shared" si="3"/>
        <v>400</v>
      </c>
      <c r="Y39" s="814"/>
      <c r="Z39" s="553"/>
      <c r="AA39" s="553"/>
      <c r="AB39" s="553"/>
      <c r="AC39" s="553"/>
      <c r="AD39" s="553"/>
    </row>
    <row r="40" spans="3:30"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row>
    <row r="41" spans="3:30" x14ac:dyDescent="0.2">
      <c r="C41" s="708" t="s">
        <v>28</v>
      </c>
      <c r="D41" s="553"/>
      <c r="E41" s="553"/>
      <c r="F41" s="553"/>
      <c r="G41" s="553"/>
      <c r="H41" s="553"/>
      <c r="I41" s="553"/>
      <c r="Y41" s="549"/>
    </row>
    <row r="42" spans="3:30" x14ac:dyDescent="0.2">
      <c r="C42" s="709" t="s">
        <v>10</v>
      </c>
      <c r="D42" s="553">
        <f>D77*D36*0.001</f>
        <v>0</v>
      </c>
      <c r="E42" s="553">
        <f t="shared" ref="E42:E44" si="4">(E77-D77)*E36*0.001</f>
        <v>0</v>
      </c>
      <c r="F42" s="553">
        <f t="shared" ref="F42:F44" si="5">(F77-E77)*F36*0.001</f>
        <v>0</v>
      </c>
      <c r="G42" s="553">
        <f t="shared" ref="G42:G44" si="6">(G77-F77)*G36*0.001</f>
        <v>0</v>
      </c>
      <c r="H42" s="553">
        <f t="shared" ref="H42:H44" si="7">(H77-G77)*H36*0.001</f>
        <v>0</v>
      </c>
      <c r="I42" s="553">
        <f t="shared" ref="I42:X42" si="8">(I77-H77)*I36*0.001</f>
        <v>44.252985150000008</v>
      </c>
      <c r="J42" s="553">
        <f t="shared" si="8"/>
        <v>48.346386276374993</v>
      </c>
      <c r="K42" s="553">
        <f t="shared" si="8"/>
        <v>12.655247428271238</v>
      </c>
      <c r="L42" s="553">
        <f t="shared" si="8"/>
        <v>2.4208562336568549</v>
      </c>
      <c r="M42" s="553">
        <f t="shared" si="8"/>
        <v>2.4765359270309557</v>
      </c>
      <c r="N42" s="553">
        <f t="shared" si="8"/>
        <v>2.5334962533526841</v>
      </c>
      <c r="O42" s="553">
        <f t="shared" si="8"/>
        <v>2.5917666671797708</v>
      </c>
      <c r="P42" s="553">
        <f t="shared" si="8"/>
        <v>2.6513773005249184</v>
      </c>
      <c r="Q42" s="553">
        <f t="shared" si="8"/>
        <v>2.7123589784369777</v>
      </c>
      <c r="R42" s="553">
        <f t="shared" si="8"/>
        <v>2.7747432349410555</v>
      </c>
      <c r="S42" s="553">
        <f t="shared" si="8"/>
        <v>2.8385623293446796</v>
      </c>
      <c r="T42" s="553">
        <f t="shared" si="8"/>
        <v>2.9038492629196293</v>
      </c>
      <c r="U42" s="553">
        <f t="shared" si="8"/>
        <v>2.9706377959667609</v>
      </c>
      <c r="V42" s="553">
        <f t="shared" si="8"/>
        <v>3.0389624652740026</v>
      </c>
      <c r="W42" s="553">
        <f t="shared" si="8"/>
        <v>3.1088586019752675</v>
      </c>
      <c r="X42" s="553">
        <f t="shared" si="8"/>
        <v>3.1803623498207338</v>
      </c>
      <c r="Y42" s="814"/>
      <c r="Z42" s="553"/>
      <c r="AA42" s="553"/>
      <c r="AB42" s="553"/>
      <c r="AC42" s="553"/>
      <c r="AD42" s="553"/>
    </row>
    <row r="43" spans="3:30" x14ac:dyDescent="0.2">
      <c r="C43" s="709" t="s">
        <v>44</v>
      </c>
      <c r="D43" s="553">
        <v>0</v>
      </c>
      <c r="E43" s="553">
        <f t="shared" si="4"/>
        <v>0</v>
      </c>
      <c r="F43" s="553">
        <f t="shared" si="5"/>
        <v>0</v>
      </c>
      <c r="G43" s="553">
        <f t="shared" si="6"/>
        <v>0</v>
      </c>
      <c r="H43" s="553">
        <f t="shared" si="7"/>
        <v>0</v>
      </c>
      <c r="I43" s="553">
        <f t="shared" ref="I43:X43" si="9">(I78-H78)*I37*0.001</f>
        <v>46.74271139999999</v>
      </c>
      <c r="J43" s="553">
        <f t="shared" si="9"/>
        <v>51.06641220449999</v>
      </c>
      <c r="K43" s="553">
        <f t="shared" si="9"/>
        <v>13.367246892614983</v>
      </c>
      <c r="L43" s="553">
        <f t="shared" si="9"/>
        <v>2.5570565214336383</v>
      </c>
      <c r="M43" s="553">
        <f t="shared" si="9"/>
        <v>2.6158688214265959</v>
      </c>
      <c r="N43" s="553">
        <f t="shared" si="9"/>
        <v>2.6760338043194367</v>
      </c>
      <c r="O43" s="553">
        <f t="shared" si="9"/>
        <v>2.7375825818187569</v>
      </c>
      <c r="P43" s="553">
        <f t="shared" si="9"/>
        <v>2.8005469812005872</v>
      </c>
      <c r="Q43" s="553">
        <f t="shared" si="9"/>
        <v>2.8649595617682153</v>
      </c>
      <c r="R43" s="553">
        <f t="shared" si="9"/>
        <v>2.9308536316888705</v>
      </c>
      <c r="S43" s="553">
        <f t="shared" si="9"/>
        <v>2.998263265217727</v>
      </c>
      <c r="T43" s="553">
        <f t="shared" si="9"/>
        <v>3.0672233203177379</v>
      </c>
      <c r="U43" s="553">
        <f t="shared" si="9"/>
        <v>3.1377694566850312</v>
      </c>
      <c r="V43" s="553">
        <f t="shared" si="9"/>
        <v>3.2099381541888077</v>
      </c>
      <c r="W43" s="553">
        <f t="shared" si="9"/>
        <v>3.2837667317351054</v>
      </c>
      <c r="X43" s="553">
        <f t="shared" si="9"/>
        <v>3.3592933665650442</v>
      </c>
      <c r="Y43" s="814"/>
      <c r="Z43" s="553"/>
      <c r="AA43" s="553"/>
      <c r="AB43" s="553"/>
      <c r="AC43" s="553"/>
      <c r="AD43" s="553"/>
    </row>
    <row r="44" spans="3:30" x14ac:dyDescent="0.2">
      <c r="C44" s="709" t="s">
        <v>45</v>
      </c>
      <c r="D44" s="553">
        <v>0</v>
      </c>
      <c r="E44" s="553">
        <f t="shared" si="4"/>
        <v>0</v>
      </c>
      <c r="F44" s="553">
        <f t="shared" si="5"/>
        <v>0</v>
      </c>
      <c r="G44" s="553">
        <f t="shared" si="6"/>
        <v>0</v>
      </c>
      <c r="H44" s="553">
        <f t="shared" si="7"/>
        <v>0</v>
      </c>
      <c r="I44" s="553">
        <f t="shared" ref="I44:X44" si="10">(I79-H79)*I38*0.001</f>
        <v>90.751245031557005</v>
      </c>
      <c r="J44" s="553">
        <f t="shared" si="10"/>
        <v>99.145735196976005</v>
      </c>
      <c r="K44" s="553">
        <f t="shared" si="10"/>
        <v>25.952587297899477</v>
      </c>
      <c r="L44" s="553">
        <f t="shared" si="10"/>
        <v>4.9645400531079522</v>
      </c>
      <c r="M44" s="553">
        <f t="shared" si="10"/>
        <v>5.0787244743293778</v>
      </c>
      <c r="N44" s="553">
        <f t="shared" si="10"/>
        <v>5.1955351372390179</v>
      </c>
      <c r="O44" s="553">
        <f t="shared" si="10"/>
        <v>5.3150324453954463</v>
      </c>
      <c r="P44" s="553">
        <f t="shared" si="10"/>
        <v>5.4372781916395789</v>
      </c>
      <c r="Q44" s="553">
        <f t="shared" si="10"/>
        <v>5.5623355900472946</v>
      </c>
      <c r="R44" s="553">
        <f t="shared" si="10"/>
        <v>5.6902693086183591</v>
      </c>
      <c r="S44" s="553">
        <f t="shared" si="10"/>
        <v>5.8211455027165959</v>
      </c>
      <c r="T44" s="553">
        <f t="shared" si="10"/>
        <v>5.9550318492790746</v>
      </c>
      <c r="U44" s="553">
        <f t="shared" si="10"/>
        <v>6.0919975818124863</v>
      </c>
      <c r="V44" s="553">
        <f t="shared" si="10"/>
        <v>6.2321135261942269</v>
      </c>
      <c r="W44" s="553">
        <f t="shared" si="10"/>
        <v>6.3754521372965964</v>
      </c>
      <c r="X44" s="553">
        <f t="shared" si="10"/>
        <v>6.5220875364544693</v>
      </c>
      <c r="Y44" s="814"/>
      <c r="Z44" s="553"/>
      <c r="AA44" s="553"/>
      <c r="AB44" s="553"/>
      <c r="AC44" s="553"/>
      <c r="AD44" s="553"/>
    </row>
    <row r="45" spans="3:30" x14ac:dyDescent="0.2">
      <c r="C45" s="712" t="s">
        <v>162</v>
      </c>
      <c r="D45" s="553">
        <v>0</v>
      </c>
      <c r="E45" s="553">
        <f t="shared" ref="E45" si="11">(E81-D81)*E39*0.001</f>
        <v>0</v>
      </c>
      <c r="F45" s="553">
        <f t="shared" ref="F45" si="12">(F81-E81)*F39*0.001</f>
        <v>0</v>
      </c>
      <c r="G45" s="553">
        <f t="shared" ref="G45" si="13">(G81-F81)*G39*0.001</f>
        <v>0</v>
      </c>
      <c r="H45" s="553">
        <f t="shared" ref="H45" si="14">(H81-G81)*H39*0.001</f>
        <v>0</v>
      </c>
      <c r="I45" s="553">
        <f t="shared" ref="I45:X45" si="15">(I81-H81)*I39*0.001</f>
        <v>394.88239999999934</v>
      </c>
      <c r="J45" s="553">
        <f t="shared" si="15"/>
        <v>9.0822951999987716</v>
      </c>
      <c r="K45" s="553">
        <f t="shared" si="15"/>
        <v>9.291187989601168</v>
      </c>
      <c r="L45" s="553">
        <f t="shared" si="15"/>
        <v>9.5048853133601376</v>
      </c>
      <c r="M45" s="553">
        <f t="shared" si="15"/>
        <v>9.7234976755687974</v>
      </c>
      <c r="N45" s="553">
        <f t="shared" si="15"/>
        <v>9.9471381221053896</v>
      </c>
      <c r="O45" s="553">
        <f t="shared" si="15"/>
        <v>10.17592229891452</v>
      </c>
      <c r="P45" s="553">
        <f t="shared" si="15"/>
        <v>10.409968511789339</v>
      </c>
      <c r="Q45" s="553">
        <f t="shared" si="15"/>
        <v>10.649397787559428</v>
      </c>
      <c r="R45" s="553">
        <f t="shared" si="15"/>
        <v>10.894333936675684</v>
      </c>
      <c r="S45" s="553">
        <f t="shared" si="15"/>
        <v>11.14490361721837</v>
      </c>
      <c r="T45" s="553">
        <f t="shared" si="15"/>
        <v>11.401236400412746</v>
      </c>
      <c r="U45" s="553">
        <f t="shared" si="15"/>
        <v>11.663464837626089</v>
      </c>
      <c r="V45" s="553">
        <f t="shared" si="15"/>
        <v>11.931724528886845</v>
      </c>
      <c r="W45" s="553">
        <f t="shared" si="15"/>
        <v>12.206154193053953</v>
      </c>
      <c r="X45" s="553">
        <f t="shared" si="15"/>
        <v>12.486895739493775</v>
      </c>
      <c r="Y45" s="814"/>
      <c r="Z45" s="553"/>
      <c r="AA45" s="553"/>
      <c r="AB45" s="553"/>
      <c r="AC45" s="553"/>
      <c r="AD45" s="553"/>
    </row>
    <row r="46" spans="3:30" x14ac:dyDescent="0.2">
      <c r="C46" s="713" t="s">
        <v>32</v>
      </c>
      <c r="D46" s="554">
        <f>SUM(D42:D44)*0.001</f>
        <v>0</v>
      </c>
      <c r="E46" s="554">
        <f>SUM(E42:E44)*0.001</f>
        <v>0</v>
      </c>
      <c r="F46" s="554">
        <f>SUM(F42:F44)*0.001</f>
        <v>0</v>
      </c>
      <c r="G46" s="554">
        <f>SUM(G42:G44)*0.001</f>
        <v>0</v>
      </c>
      <c r="H46" s="554">
        <f>SUM(H42:H44)*0.001</f>
        <v>0</v>
      </c>
      <c r="I46" s="554">
        <f>SUM(I42:I45)*0.001</f>
        <v>0.57662934158155632</v>
      </c>
      <c r="J46" s="554">
        <f t="shared" ref="J46:X46" si="16">SUM(J42:J45)*0.001</f>
        <v>0.20764082887784976</v>
      </c>
      <c r="K46" s="554">
        <f t="shared" si="16"/>
        <v>6.1266269608386867E-2</v>
      </c>
      <c r="L46" s="554">
        <f t="shared" si="16"/>
        <v>1.9447338121558584E-2</v>
      </c>
      <c r="M46" s="554">
        <f t="shared" si="16"/>
        <v>1.9894626898355729E-2</v>
      </c>
      <c r="N46" s="554">
        <f t="shared" si="16"/>
        <v>2.0352203317016527E-2</v>
      </c>
      <c r="O46" s="554">
        <f t="shared" si="16"/>
        <v>2.0820303993308493E-2</v>
      </c>
      <c r="P46" s="554">
        <f t="shared" si="16"/>
        <v>2.1299170985154426E-2</v>
      </c>
      <c r="Q46" s="554">
        <f t="shared" si="16"/>
        <v>2.1789051917811917E-2</v>
      </c>
      <c r="R46" s="554">
        <f t="shared" si="16"/>
        <v>2.229020011192397E-2</v>
      </c>
      <c r="S46" s="554">
        <f t="shared" si="16"/>
        <v>2.2802874714497372E-2</v>
      </c>
      <c r="T46" s="554">
        <f t="shared" si="16"/>
        <v>2.3327340832929189E-2</v>
      </c>
      <c r="U46" s="554">
        <f t="shared" si="16"/>
        <v>2.3863869672090369E-2</v>
      </c>
      <c r="V46" s="554">
        <f t="shared" si="16"/>
        <v>2.4412738674543882E-2</v>
      </c>
      <c r="W46" s="554">
        <f t="shared" si="16"/>
        <v>2.4974231664060924E-2</v>
      </c>
      <c r="X46" s="554">
        <f t="shared" si="16"/>
        <v>2.5548638992334022E-2</v>
      </c>
      <c r="Y46" s="816"/>
      <c r="Z46" s="554"/>
      <c r="AA46" s="554"/>
      <c r="AB46" s="554"/>
      <c r="AC46" s="554"/>
      <c r="AD46" s="554"/>
    </row>
    <row r="47" spans="3:30" x14ac:dyDescent="0.2">
      <c r="C47" s="807"/>
      <c r="Y47" s="549"/>
    </row>
    <row r="48" spans="3:30" x14ac:dyDescent="0.2">
      <c r="C48" s="708" t="s">
        <v>58</v>
      </c>
      <c r="Y48" s="549"/>
    </row>
    <row r="49" spans="3:31" x14ac:dyDescent="0.2">
      <c r="C49" s="709" t="s">
        <v>59</v>
      </c>
      <c r="D49" s="707">
        <f>LRMC_energy</f>
        <v>0.21552001999999995</v>
      </c>
      <c r="E49" s="707">
        <f>D49</f>
        <v>0.21552001999999995</v>
      </c>
      <c r="F49" s="707">
        <f t="shared" ref="F49:U49" si="17">E49</f>
        <v>0.21552001999999995</v>
      </c>
      <c r="G49" s="707">
        <f t="shared" si="17"/>
        <v>0.21552001999999995</v>
      </c>
      <c r="H49" s="707">
        <f t="shared" si="17"/>
        <v>0.21552001999999995</v>
      </c>
      <c r="I49" s="707">
        <f t="shared" si="17"/>
        <v>0.21552001999999995</v>
      </c>
      <c r="J49" s="707">
        <f t="shared" si="17"/>
        <v>0.21552001999999995</v>
      </c>
      <c r="K49" s="707">
        <f t="shared" si="17"/>
        <v>0.21552001999999995</v>
      </c>
      <c r="L49" s="707">
        <f t="shared" si="17"/>
        <v>0.21552001999999995</v>
      </c>
      <c r="M49" s="707">
        <f t="shared" si="17"/>
        <v>0.21552001999999995</v>
      </c>
      <c r="N49" s="707">
        <f t="shared" si="17"/>
        <v>0.21552001999999995</v>
      </c>
      <c r="O49" s="707">
        <f t="shared" si="17"/>
        <v>0.21552001999999995</v>
      </c>
      <c r="P49" s="707">
        <f t="shared" si="17"/>
        <v>0.21552001999999995</v>
      </c>
      <c r="Q49" s="707">
        <f t="shared" si="17"/>
        <v>0.21552001999999995</v>
      </c>
      <c r="R49" s="707">
        <f t="shared" si="17"/>
        <v>0.21552001999999995</v>
      </c>
      <c r="S49" s="707">
        <f t="shared" si="17"/>
        <v>0.21552001999999995</v>
      </c>
      <c r="T49" s="707">
        <f t="shared" si="17"/>
        <v>0.21552001999999995</v>
      </c>
      <c r="U49" s="707">
        <f t="shared" si="17"/>
        <v>0.21552001999999995</v>
      </c>
      <c r="V49" s="707">
        <f t="shared" ref="V49:X49" si="18">U49</f>
        <v>0.21552001999999995</v>
      </c>
      <c r="W49" s="707">
        <f t="shared" si="18"/>
        <v>0.21552001999999995</v>
      </c>
      <c r="X49" s="707">
        <f t="shared" si="18"/>
        <v>0.21552001999999995</v>
      </c>
      <c r="Y49" s="817"/>
      <c r="Z49" s="707"/>
      <c r="AA49" s="707"/>
      <c r="AB49" s="707"/>
      <c r="AC49" s="707"/>
      <c r="AD49" s="707"/>
    </row>
    <row r="50" spans="3:31" x14ac:dyDescent="0.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row>
    <row r="51" spans="3:31" x14ac:dyDescent="0.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row>
    <row r="52" spans="3:31" x14ac:dyDescent="0.2">
      <c r="C52" s="713" t="s">
        <v>60</v>
      </c>
      <c r="D52" s="558">
        <f t="shared" ref="D52:H52" si="19">IF(D23=1,(D49*D117*(1+D50)*(1+D51)),0)</f>
        <v>0</v>
      </c>
      <c r="E52" s="558">
        <f t="shared" si="19"/>
        <v>0</v>
      </c>
      <c r="F52" s="558">
        <f t="shared" si="19"/>
        <v>0</v>
      </c>
      <c r="G52" s="558">
        <f t="shared" si="19"/>
        <v>0</v>
      </c>
      <c r="H52" s="558">
        <f t="shared" si="19"/>
        <v>0</v>
      </c>
      <c r="I52" s="558">
        <f>IF(I23=1,(I49*I117*(1+I50)*(1+I51)),0)</f>
        <v>0.2787867551530786</v>
      </c>
      <c r="J52" s="558">
        <f t="shared" ref="J52:X52" si="20">IF(J23=1,(J49*J117*(1+J50)*(1+J51)),0)</f>
        <v>0.58919489800939495</v>
      </c>
      <c r="K52" s="558">
        <f t="shared" si="20"/>
        <v>0.67641538274471902</v>
      </c>
      <c r="L52" s="558">
        <f t="shared" si="20"/>
        <v>0.69889266591332599</v>
      </c>
      <c r="M52" s="558">
        <f t="shared" si="20"/>
        <v>0.72211686920162577</v>
      </c>
      <c r="N52" s="558">
        <f t="shared" si="20"/>
        <v>0.74611281276519581</v>
      </c>
      <c r="O52" s="558">
        <f t="shared" si="20"/>
        <v>0.77090614153338288</v>
      </c>
      <c r="P52" s="558">
        <f t="shared" si="20"/>
        <v>0.79652335261653739</v>
      </c>
      <c r="Q52" s="558">
        <f t="shared" si="20"/>
        <v>0.82299182362398471</v>
      </c>
      <c r="R52" s="558">
        <f t="shared" si="20"/>
        <v>0.85033984192300993</v>
      </c>
      <c r="S52" s="558">
        <f t="shared" si="20"/>
        <v>0.87859663487011108</v>
      </c>
      <c r="T52" s="558">
        <f t="shared" si="20"/>
        <v>0.90779240104684489</v>
      </c>
      <c r="U52" s="558">
        <f t="shared" si="20"/>
        <v>0.93795834253363175</v>
      </c>
      <c r="V52" s="558">
        <f t="shared" si="20"/>
        <v>0.96912669825602415</v>
      </c>
      <c r="W52" s="558">
        <f t="shared" si="20"/>
        <v>1.0013307784390713</v>
      </c>
      <c r="X52" s="558">
        <f t="shared" si="20"/>
        <v>1.0346050002066021</v>
      </c>
      <c r="Y52" s="808"/>
      <c r="Z52" s="558"/>
      <c r="AA52" s="558"/>
      <c r="AB52" s="558"/>
      <c r="AC52" s="558"/>
      <c r="AD52" s="558"/>
      <c r="AE52" s="558"/>
    </row>
    <row r="53" spans="3:31" x14ac:dyDescent="0.2">
      <c r="C53" s="703"/>
      <c r="H53" s="714"/>
      <c r="Y53" s="549"/>
    </row>
    <row r="54" spans="3:31" x14ac:dyDescent="0.2">
      <c r="C54" s="708" t="s">
        <v>77</v>
      </c>
      <c r="D54" s="553"/>
      <c r="E54" s="553"/>
      <c r="Y54" s="549"/>
    </row>
    <row r="55" spans="3:31" x14ac:dyDescent="0.2">
      <c r="C55" s="713" t="s">
        <v>352</v>
      </c>
      <c r="D55" s="711">
        <v>0</v>
      </c>
      <c r="E55" s="711">
        <f>Assumptions!I22/10^6</f>
        <v>2.5114893973440789E-2</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row>
    <row r="56" spans="3:31" x14ac:dyDescent="0.2">
      <c r="C56" s="713" t="s">
        <v>29</v>
      </c>
      <c r="D56" s="711">
        <v>0</v>
      </c>
      <c r="E56" s="711">
        <f>E27*Assumptions!$J$22/10^6</f>
        <v>5.0302763887009796E-3</v>
      </c>
      <c r="F56" s="711">
        <f>F27*Assumptions!$J$22/10^6</f>
        <v>3.1439227429381121E-2</v>
      </c>
      <c r="G56" s="711">
        <f>G27*Assumptions!$J$22/10^6</f>
        <v>0.33451337984861518</v>
      </c>
      <c r="H56" s="711">
        <f>H27*Assumptions!$J$22/10^6</f>
        <v>0.34834663991754289</v>
      </c>
      <c r="I56" s="711">
        <f>I27*Assumptions!$J$22/10^6</f>
        <v>0.48919437880117028</v>
      </c>
      <c r="J56" s="711"/>
      <c r="K56" s="711"/>
      <c r="L56" s="711"/>
      <c r="M56" s="711"/>
      <c r="N56" s="711"/>
      <c r="O56" s="711"/>
      <c r="P56" s="711"/>
      <c r="Q56" s="711"/>
      <c r="R56" s="711"/>
      <c r="S56" s="711"/>
      <c r="T56" s="711"/>
      <c r="U56" s="711"/>
      <c r="V56" s="711"/>
      <c r="W56" s="711"/>
      <c r="X56" s="711"/>
      <c r="Y56" s="815"/>
      <c r="Z56" s="711"/>
      <c r="AA56" s="711"/>
      <c r="AB56" s="711"/>
      <c r="AC56" s="711"/>
      <c r="AD56" s="711"/>
    </row>
    <row r="57" spans="3:31" x14ac:dyDescent="0.2">
      <c r="C57" s="709" t="s">
        <v>79</v>
      </c>
      <c r="D57" s="711">
        <f>SUM(D55:D56)</f>
        <v>0</v>
      </c>
      <c r="E57" s="711">
        <f>SUM(E55:E56)</f>
        <v>3.0145170362141767E-2</v>
      </c>
      <c r="F57" s="711">
        <f t="shared" ref="F57:I57" si="21">SUM(F55:F56)</f>
        <v>3.1439227429381121E-2</v>
      </c>
      <c r="G57" s="711">
        <f t="shared" si="21"/>
        <v>0.33451337984861518</v>
      </c>
      <c r="H57" s="711">
        <f t="shared" si="21"/>
        <v>0.34834663991754289</v>
      </c>
      <c r="I57" s="711">
        <f t="shared" si="21"/>
        <v>0.48919437880117028</v>
      </c>
      <c r="J57" s="711"/>
      <c r="K57" s="711"/>
      <c r="L57" s="711"/>
      <c r="M57" s="711"/>
      <c r="N57" s="711"/>
      <c r="O57" s="711"/>
      <c r="P57" s="711"/>
      <c r="Q57" s="711"/>
      <c r="R57" s="711"/>
      <c r="S57" s="711"/>
      <c r="T57" s="711"/>
      <c r="U57" s="711"/>
      <c r="V57" s="711"/>
      <c r="W57" s="711"/>
      <c r="X57" s="711"/>
      <c r="Y57" s="815"/>
      <c r="Z57" s="711"/>
      <c r="AA57" s="711"/>
      <c r="AB57" s="711"/>
      <c r="AC57" s="711"/>
      <c r="AD57" s="711"/>
    </row>
    <row r="58" spans="3:31"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row>
    <row r="59" spans="3:31" x14ac:dyDescent="0.2">
      <c r="C59" s="708" t="s">
        <v>363</v>
      </c>
      <c r="D59" s="711">
        <v>0</v>
      </c>
      <c r="E59" s="711">
        <f>E$27*Assumptions!$K$22/10^6</f>
        <v>2.4210091306962611E-3</v>
      </c>
      <c r="F59" s="711">
        <f>F$27*Assumptions!$K$22/10^6</f>
        <v>1.5131307066851634E-2</v>
      </c>
      <c r="G59" s="711">
        <f>G$27*Assumptions!$K$22/10^6</f>
        <v>0.16099710719130139</v>
      </c>
      <c r="H59" s="711">
        <f>H$27*Assumptions!$K$22/10^6</f>
        <v>0.1676548823007161</v>
      </c>
      <c r="I59" s="711">
        <f>I$27*Assumptions!$K$22/10^6</f>
        <v>0.23544313796021143</v>
      </c>
      <c r="J59" s="711"/>
      <c r="K59" s="711"/>
      <c r="L59" s="711"/>
      <c r="M59" s="711"/>
      <c r="N59" s="711"/>
      <c r="O59" s="711"/>
      <c r="P59" s="711"/>
      <c r="Q59" s="711"/>
      <c r="R59" s="711"/>
      <c r="S59" s="711"/>
      <c r="T59" s="711"/>
      <c r="U59" s="711"/>
      <c r="V59" s="711"/>
      <c r="W59" s="711"/>
      <c r="X59" s="711"/>
      <c r="Y59" s="815"/>
      <c r="Z59" s="711"/>
      <c r="AA59" s="711"/>
      <c r="AB59" s="711"/>
      <c r="AC59" s="711"/>
      <c r="AD59" s="711"/>
    </row>
    <row r="60" spans="3:31" x14ac:dyDescent="0.2">
      <c r="C60" s="708" t="s">
        <v>364</v>
      </c>
      <c r="D60" s="711">
        <v>0</v>
      </c>
      <c r="E60" s="711">
        <f>E$27*Assumptions!$L$22/10^6</f>
        <v>1.0971277030232618E-3</v>
      </c>
      <c r="F60" s="711">
        <f>F$27*Assumptions!$L$22/10^6</f>
        <v>6.8570481438953862E-3</v>
      </c>
      <c r="G60" s="711">
        <f>G$27*Assumptions!$L$22/10^6</f>
        <v>7.295899225104692E-2</v>
      </c>
      <c r="H60" s="711">
        <f>H$27*Assumptions!$L$22/10^6</f>
        <v>7.5976093434360903E-2</v>
      </c>
      <c r="I60" s="711">
        <f>I$27*Assumptions!$L$22/10^6</f>
        <v>0.10669566911901222</v>
      </c>
      <c r="J60" s="711"/>
      <c r="K60" s="711"/>
      <c r="L60" s="711"/>
      <c r="M60" s="711"/>
      <c r="N60" s="711"/>
      <c r="O60" s="711"/>
      <c r="P60" s="711"/>
      <c r="Q60" s="711"/>
      <c r="R60" s="711"/>
      <c r="S60" s="711"/>
      <c r="T60" s="711"/>
      <c r="U60" s="711"/>
      <c r="V60" s="711"/>
      <c r="W60" s="711"/>
      <c r="X60" s="711"/>
      <c r="Y60" s="815"/>
      <c r="Z60" s="711"/>
      <c r="AA60" s="711"/>
      <c r="AB60" s="711"/>
      <c r="AC60" s="711"/>
      <c r="AD60" s="711"/>
    </row>
    <row r="61" spans="3:31"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row>
    <row r="62" spans="3:31" x14ac:dyDescent="0.2">
      <c r="C62" s="716" t="s">
        <v>100</v>
      </c>
      <c r="D62" s="711">
        <f>SUM(D28:D29,D31:D33,D46,D52,D57,D59:D60)*'ERR &amp; Sensitivity Analysis'!$G$9</f>
        <v>0</v>
      </c>
      <c r="E62" s="711">
        <f>SUM(E28:E29,E31:E33,E46,E52,E57,E59:E60)*'ERR &amp; Sensitivity Analysis'!$G$9</f>
        <v>0.2364124730320141</v>
      </c>
      <c r="F62" s="711">
        <f>SUM(F28:F29,F31:F33,F46,F52,F57,F59:F60)*'ERR &amp; Sensitivity Analysis'!$G$9</f>
        <v>0.54678309258231506</v>
      </c>
      <c r="G62" s="711">
        <f>SUM(G28:G29,G31:G33,G46,G52,G57,G59:G60)*'ERR &amp; Sensitivity Analysis'!$G$9</f>
        <v>5.3748803683012136</v>
      </c>
      <c r="H62" s="711">
        <f>SUM(H28:H29,H31:H33,H46,H52,H57,H59:H60)*'ERR &amp; Sensitivity Analysis'!$G$9</f>
        <v>5.181141315862221</v>
      </c>
      <c r="I62" s="711">
        <f>SUM(I28:I29,I31:I33,I46,I52,I57,I59:I60)*'ERR &amp; Sensitivity Analysis'!$G$9</f>
        <v>7.6044981432952801</v>
      </c>
      <c r="J62" s="711">
        <f>SUM(J28:J29,J31:J33,J46,J52,J57,J59:J60)*'ERR &amp; Sensitivity Analysis'!$G$9</f>
        <v>1.2397011202765247</v>
      </c>
      <c r="K62" s="711">
        <f>SUM(K28:K29,K31:K33,K46,K52,K57,K59:K60)*'ERR &amp; Sensitivity Analysis'!$G$9</f>
        <v>0.7376816523531059</v>
      </c>
      <c r="L62" s="711">
        <f>SUM(L28:L29,L31:L33,L46,L52,L57,L59:L60)*'ERR &amp; Sensitivity Analysis'!$G$9</f>
        <v>0.71834000403488463</v>
      </c>
      <c r="M62" s="711">
        <f>SUM(M28:M29,M31:M33,M46,M52,M57,M59:M60)*'ERR &amp; Sensitivity Analysis'!$G$9</f>
        <v>0.74201149609998152</v>
      </c>
      <c r="N62" s="711">
        <f>SUM(N28:N29,N31:N33,N46,N52,N57,N59:N60)*'ERR &amp; Sensitivity Analysis'!$G$9</f>
        <v>0.76646501608221229</v>
      </c>
      <c r="O62" s="711">
        <f>SUM(O28:O29,O31:O33,O46,O52,O57,O59:O60)*'ERR &amp; Sensitivity Analysis'!$G$9</f>
        <v>0.79172644552669136</v>
      </c>
      <c r="P62" s="711">
        <f>SUM(P28:P29,P31:P33,P46,P52,P57,P59:P60)*'ERR &amp; Sensitivity Analysis'!$G$9</f>
        <v>0.81782252360169183</v>
      </c>
      <c r="Q62" s="711">
        <f>SUM(Q28:Q29,Q31:Q33,Q46,Q52,Q57,Q59:Q60)*'ERR &amp; Sensitivity Analysis'!$G$9</f>
        <v>0.84478087554179659</v>
      </c>
      <c r="R62" s="711">
        <f>SUM(R28:R29,R31:R33,R46,R52,R57,R59:R60)*'ERR &amp; Sensitivity Analysis'!$G$9</f>
        <v>0.87263004203493388</v>
      </c>
      <c r="S62" s="711">
        <f>SUM(S28:S29,S31:S33,S46,S52,S57,S59:S60)*'ERR &amp; Sensitivity Analysis'!$G$9</f>
        <v>0.90139950958460846</v>
      </c>
      <c r="T62" s="711">
        <f>SUM(T28:T29,T31:T33,T46,T52,T57,T59:T60)*'ERR &amp; Sensitivity Analysis'!$G$9</f>
        <v>0.93111974187977409</v>
      </c>
      <c r="U62" s="711">
        <f>SUM(U28:U29,U31:U33,U46,U52,U57,U59:U60)*'ERR &amp; Sensitivity Analysis'!$G$9</f>
        <v>0.96182221220572217</v>
      </c>
      <c r="V62" s="711">
        <f>SUM(V28:V29,V31:V33,V46,V52,V57,V59:V60)*'ERR &amp; Sensitivity Analysis'!$G$9</f>
        <v>0.99353943693056801</v>
      </c>
      <c r="W62" s="711">
        <f>SUM(W28:W29,W31:W33,W46,W52,W57,W59:W60)*'ERR &amp; Sensitivity Analysis'!$G$9</f>
        <v>1.0263050101031321</v>
      </c>
      <c r="X62" s="711">
        <f>SUM(X28:X29,X31:X33,X46,X52,X57,X59:X60)*'ERR &amp; Sensitivity Analysis'!$G$9</f>
        <v>1.0601536391989361</v>
      </c>
      <c r="Y62" s="815"/>
      <c r="Z62" s="711"/>
      <c r="AA62" s="711"/>
      <c r="AB62" s="711"/>
      <c r="AC62" s="711"/>
      <c r="AD62" s="711"/>
    </row>
    <row r="63" spans="3:31" x14ac:dyDescent="0.2">
      <c r="C63" s="708" t="s">
        <v>367</v>
      </c>
      <c r="D63" s="711">
        <f>SUM(D28,D31:D33,D57,D59:D60)</f>
        <v>0</v>
      </c>
      <c r="E63" s="711">
        <f t="shared" ref="E63:I63" si="22">SUM(E28,E31:E33,E57,E59:E60)</f>
        <v>0.2364124730320141</v>
      </c>
      <c r="F63" s="711">
        <f t="shared" si="22"/>
        <v>0.54678309258231506</v>
      </c>
      <c r="G63" s="711">
        <f t="shared" si="22"/>
        <v>5.3748803683012136</v>
      </c>
      <c r="H63" s="711">
        <f t="shared" si="22"/>
        <v>5.181141315862221</v>
      </c>
      <c r="I63" s="711">
        <f t="shared" si="22"/>
        <v>6.7490820465606447</v>
      </c>
      <c r="J63" s="711"/>
      <c r="K63" s="711"/>
      <c r="L63" s="711"/>
      <c r="M63" s="711"/>
      <c r="N63" s="711"/>
      <c r="O63" s="711"/>
      <c r="P63" s="711"/>
      <c r="Q63" s="711"/>
      <c r="R63" s="711"/>
      <c r="S63" s="711"/>
      <c r="T63" s="711"/>
      <c r="U63" s="711"/>
      <c r="V63" s="711"/>
      <c r="W63" s="711"/>
      <c r="X63" s="711"/>
      <c r="Y63" s="815"/>
      <c r="Z63" s="711"/>
      <c r="AA63" s="711"/>
      <c r="AB63" s="711"/>
      <c r="AC63" s="711"/>
      <c r="AD63" s="711"/>
    </row>
    <row r="64" spans="3:31" ht="13.5" thickBot="1" x14ac:dyDescent="0.25">
      <c r="C64" s="540"/>
      <c r="D64" s="724"/>
      <c r="E64" s="724"/>
      <c r="F64" s="724"/>
      <c r="G64" s="724"/>
      <c r="H64" s="724"/>
      <c r="I64" s="724"/>
      <c r="J64" s="724"/>
      <c r="K64" s="724"/>
      <c r="L64" s="724"/>
      <c r="M64" s="724"/>
      <c r="N64" s="724"/>
      <c r="O64" s="724"/>
      <c r="P64" s="724"/>
      <c r="Q64" s="733"/>
      <c r="R64" s="724"/>
      <c r="S64" s="724"/>
      <c r="T64" s="724"/>
      <c r="U64" s="724"/>
      <c r="V64" s="724"/>
      <c r="W64" s="724"/>
      <c r="X64" s="724"/>
      <c r="Y64" s="700"/>
    </row>
    <row r="65" spans="3:31" x14ac:dyDescent="0.2">
      <c r="Q65" s="553"/>
    </row>
    <row r="66" spans="3:31" ht="13.5" thickBot="1" x14ac:dyDescent="0.25"/>
    <row r="67" spans="3:31" s="543" customFormat="1" ht="28.5" customHeight="1" x14ac:dyDescent="0.2">
      <c r="C67" s="530" t="s">
        <v>614</v>
      </c>
      <c r="D67" s="947" t="s">
        <v>173</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31" s="543" customFormat="1"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31" x14ac:dyDescent="0.2">
      <c r="C69" s="536"/>
      <c r="D69" s="537">
        <v>150</v>
      </c>
      <c r="E69" s="537">
        <v>350</v>
      </c>
      <c r="F69" s="537">
        <f>E70-D69-E69</f>
        <v>495.06610000000001</v>
      </c>
      <c r="G69" s="542">
        <v>15000</v>
      </c>
      <c r="H69" s="542">
        <v>1573</v>
      </c>
      <c r="I69" s="542">
        <v>737</v>
      </c>
      <c r="J69" s="539">
        <f>custnopa</f>
        <v>2.3E-2</v>
      </c>
      <c r="K69" s="539">
        <f>Assumptions!D62</f>
        <v>2.3E-2</v>
      </c>
      <c r="L69" s="539">
        <f>Assumptions!E62</f>
        <v>2.3E-2</v>
      </c>
      <c r="M69" s="539">
        <f>unitconspa</f>
        <v>0.01</v>
      </c>
      <c r="N69" s="539">
        <f>Assumptions!D61</f>
        <v>0.01</v>
      </c>
      <c r="O69" s="539">
        <f>Assumptions!E61</f>
        <v>0.01</v>
      </c>
      <c r="P69" s="743">
        <f>G69*D69*0.001</f>
        <v>2250</v>
      </c>
      <c r="Q69" s="743">
        <f>H69*E69*0.001*Assumptions!$C14</f>
        <v>412.91250000000002</v>
      </c>
      <c r="R69" s="743">
        <f>I69*F69*0.001*Assumptions!$C13</f>
        <v>182.43185785</v>
      </c>
      <c r="S69" s="538">
        <f>(SUM(P69:R69)/8.76)/T69</f>
        <v>536.17610679144514</v>
      </c>
      <c r="T69" s="684">
        <f>SUMPRODUCT(P69:R69,P70:R70)/SUM(P69:R69)</f>
        <v>0.60579163383143264</v>
      </c>
      <c r="U69" s="118" t="str">
        <f>IF(S69/X69&gt;1,"Constrained"," ")</f>
        <v xml:space="preserve"> </v>
      </c>
      <c r="V69" s="538">
        <v>6500</v>
      </c>
      <c r="W69" s="538">
        <v>1</v>
      </c>
      <c r="X69" s="538">
        <f>V69*W69</f>
        <v>6500</v>
      </c>
      <c r="Y69" s="710">
        <f>Assumptions!C22*10^-6</f>
        <v>8.7711776584788694</v>
      </c>
      <c r="Z69" s="710">
        <f>Assumptions!D22*10^-6</f>
        <v>3.6971864938654764</v>
      </c>
      <c r="AA69" s="710">
        <f>SUMPRODUCT(Y69:Z69,AB69:AC69)</f>
        <v>12.468364152344346</v>
      </c>
      <c r="AB69" s="111">
        <f>Assumptions!F11</f>
        <v>1</v>
      </c>
      <c r="AC69" s="550">
        <f>Assumptions!G11</f>
        <v>1</v>
      </c>
    </row>
    <row r="70" spans="3:31" x14ac:dyDescent="0.2">
      <c r="C70" s="703"/>
      <c r="D70" s="748" t="s">
        <v>0</v>
      </c>
      <c r="E70" s="537">
        <f>Summary!D51</f>
        <v>995.06610000000001</v>
      </c>
      <c r="F70" s="537">
        <f>SUM(D69:F69)</f>
        <v>995.06610000000001</v>
      </c>
      <c r="G70" s="538"/>
      <c r="H70" s="538"/>
      <c r="I70" s="538"/>
      <c r="J70" s="539"/>
      <c r="K70" s="539"/>
      <c r="L70" s="539"/>
      <c r="M70" s="539"/>
      <c r="N70" s="539"/>
      <c r="O70" s="539"/>
      <c r="P70" s="684">
        <f>Assumptions!F55</f>
        <v>0.65</v>
      </c>
      <c r="Q70" s="684">
        <f>Assumptions!F56</f>
        <v>0.5</v>
      </c>
      <c r="R70" s="684">
        <f>Assumptions!F57</f>
        <v>0.3</v>
      </c>
      <c r="S70" s="744">
        <f>S69/E70</f>
        <v>0.53883466313589135</v>
      </c>
      <c r="T70" s="684"/>
      <c r="U70" s="111"/>
      <c r="X70" s="558">
        <f>X69/S69</f>
        <v>12.122882608285053</v>
      </c>
      <c r="Y70" s="710"/>
      <c r="Z70" s="710"/>
      <c r="AA70" s="710"/>
      <c r="AC70" s="549"/>
    </row>
    <row r="71" spans="3:31" x14ac:dyDescent="0.2">
      <c r="C71" s="703"/>
      <c r="Q71" s="542" t="s">
        <v>64</v>
      </c>
      <c r="R71" s="538">
        <f>IF(R69=0,0,(SUM(P69:R69)/SUM(D69:F69))*1000)</f>
        <v>2859.452611087846</v>
      </c>
      <c r="AC71" s="549"/>
    </row>
    <row r="72" spans="3:31" x14ac:dyDescent="0.2">
      <c r="C72" s="703"/>
      <c r="H72" s="542" t="s">
        <v>94</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684"/>
      <c r="Z72" s="684"/>
      <c r="AA72" s="684"/>
      <c r="AB72" s="684"/>
      <c r="AC72" s="820"/>
      <c r="AD72" s="684"/>
    </row>
    <row r="73" spans="3:31" x14ac:dyDescent="0.2">
      <c r="C73" s="548"/>
      <c r="AC73" s="549"/>
    </row>
    <row r="74" spans="3:31" x14ac:dyDescent="0.2">
      <c r="C74" s="548"/>
      <c r="D74" s="111">
        <v>2008</v>
      </c>
      <c r="E74" s="111">
        <v>2009</v>
      </c>
      <c r="F74" s="111">
        <f>E74+1</f>
        <v>2010</v>
      </c>
      <c r="G74" s="111">
        <f>F74+1</f>
        <v>2011</v>
      </c>
      <c r="H74" s="111">
        <f>G74+1</f>
        <v>2012</v>
      </c>
      <c r="I74" s="111">
        <v>2010</v>
      </c>
      <c r="J74" s="111">
        <v>2011</v>
      </c>
      <c r="K74" s="111">
        <f t="shared" ref="K74:M74" si="23">J74+1</f>
        <v>2012</v>
      </c>
      <c r="L74" s="111">
        <f t="shared" si="23"/>
        <v>2013</v>
      </c>
      <c r="M74" s="111">
        <f t="shared" si="23"/>
        <v>2014</v>
      </c>
      <c r="N74" s="111">
        <v>2012</v>
      </c>
      <c r="O74" s="111">
        <v>2013</v>
      </c>
      <c r="P74" s="111">
        <f t="shared" ref="P74:R74" si="24">O74+1</f>
        <v>2014</v>
      </c>
      <c r="Q74" s="111">
        <f t="shared" si="24"/>
        <v>2015</v>
      </c>
      <c r="R74" s="111">
        <f t="shared" si="24"/>
        <v>2016</v>
      </c>
      <c r="S74" s="111">
        <v>2014</v>
      </c>
      <c r="T74" s="111">
        <v>2015</v>
      </c>
      <c r="U74" s="111">
        <f t="shared" ref="U74:W74" si="25">T74+1</f>
        <v>2016</v>
      </c>
      <c r="V74" s="111">
        <f t="shared" si="25"/>
        <v>2017</v>
      </c>
      <c r="W74" s="111">
        <f t="shared" si="25"/>
        <v>2018</v>
      </c>
      <c r="X74" s="111">
        <v>2016</v>
      </c>
      <c r="AC74" s="549"/>
    </row>
    <row r="75" spans="3:31" x14ac:dyDescent="0.2">
      <c r="C75" s="551" t="s">
        <v>33</v>
      </c>
      <c r="AC75" s="549"/>
    </row>
    <row r="76" spans="3:31" x14ac:dyDescent="0.2">
      <c r="C76" s="551"/>
      <c r="AC76" s="549"/>
    </row>
    <row r="77" spans="3:31" x14ac:dyDescent="0.2">
      <c r="C77" s="552" t="s">
        <v>10</v>
      </c>
      <c r="D77" s="553">
        <f>$D$69*(1+$J$69)^D$21*(D$23=1)</f>
        <v>0</v>
      </c>
      <c r="E77" s="553">
        <f>$D$69*(1+$J$69)^E$21*(E$23=1)</f>
        <v>0</v>
      </c>
      <c r="F77" s="553">
        <f>$D$69*(1+$J$69)^F$21*(F$23=1)</f>
        <v>0</v>
      </c>
      <c r="G77" s="553">
        <f>$D$69*(1+$J$69)^G$21*(G$23=1)</f>
        <v>0</v>
      </c>
      <c r="H77" s="553">
        <f>$D$69*(1+$J$69)^H$21*(H$23=1)</f>
        <v>0</v>
      </c>
      <c r="I77" s="553">
        <f t="shared" ref="I77:X77" si="26">IF(H96=0,$D$69*(1+$J$69)^I$21*(I$23)*I72,H77)*$AB$69</f>
        <v>67.518000000000001</v>
      </c>
      <c r="J77" s="553">
        <f t="shared" si="26"/>
        <v>141.28141499999998</v>
      </c>
      <c r="K77" s="553">
        <f t="shared" si="26"/>
        <v>160.58987504999996</v>
      </c>
      <c r="L77" s="553">
        <f t="shared" si="26"/>
        <v>164.28344217614995</v>
      </c>
      <c r="M77" s="553">
        <f t="shared" si="26"/>
        <v>168.06196134620137</v>
      </c>
      <c r="N77" s="553">
        <f t="shared" si="26"/>
        <v>171.927386457164</v>
      </c>
      <c r="O77" s="553">
        <f t="shared" si="26"/>
        <v>175.88171634567874</v>
      </c>
      <c r="P77" s="553">
        <f t="shared" si="26"/>
        <v>179.92699582162933</v>
      </c>
      <c r="Q77" s="553">
        <f t="shared" si="26"/>
        <v>184.06531672552677</v>
      </c>
      <c r="R77" s="553">
        <f t="shared" si="26"/>
        <v>188.29881901021389</v>
      </c>
      <c r="S77" s="553">
        <f t="shared" si="26"/>
        <v>192.62969184744878</v>
      </c>
      <c r="T77" s="553">
        <f t="shared" si="26"/>
        <v>197.06017475994011</v>
      </c>
      <c r="U77" s="553">
        <f t="shared" si="26"/>
        <v>201.59255877941871</v>
      </c>
      <c r="V77" s="553">
        <f t="shared" si="26"/>
        <v>206.22918763134533</v>
      </c>
      <c r="W77" s="553">
        <f t="shared" si="26"/>
        <v>210.9724589468662</v>
      </c>
      <c r="X77" s="553">
        <f t="shared" si="26"/>
        <v>215.8248255026441</v>
      </c>
      <c r="Y77" s="553"/>
      <c r="Z77" s="553"/>
      <c r="AA77" s="553"/>
      <c r="AB77" s="553"/>
      <c r="AC77" s="814"/>
      <c r="AD77" s="553"/>
    </row>
    <row r="78" spans="3:31" x14ac:dyDescent="0.2">
      <c r="C78" s="552" t="s">
        <v>44</v>
      </c>
      <c r="D78" s="553">
        <f>$E$69*(1+$K$69)^D$21*(D$23=1)</f>
        <v>0</v>
      </c>
      <c r="E78" s="553">
        <f>$E$69*(1+$K$69)^E$21*(E$23=1)</f>
        <v>0</v>
      </c>
      <c r="F78" s="553">
        <f>$E$69*(1+$K$69)^F$21*(F$23=1)</f>
        <v>0</v>
      </c>
      <c r="G78" s="553">
        <f>$E$69*(1+$K$69)^G$21*(G$23=1)</f>
        <v>0</v>
      </c>
      <c r="H78" s="553">
        <f>$E$69*(1+$K$69)^H$21*(H$23=1)</f>
        <v>0</v>
      </c>
      <c r="I78" s="553">
        <f t="shared" ref="I78:X78" si="27">IF(H96=0,$E$69*(1+$K$69)^I$21*(I$23)*I72,H78)*$AB$69</f>
        <v>157.54199999999997</v>
      </c>
      <c r="J78" s="553">
        <f t="shared" si="27"/>
        <v>329.65663499999994</v>
      </c>
      <c r="K78" s="553">
        <f t="shared" si="27"/>
        <v>374.70970844999988</v>
      </c>
      <c r="L78" s="553">
        <f t="shared" si="27"/>
        <v>383.32803174434986</v>
      </c>
      <c r="M78" s="553">
        <f t="shared" si="27"/>
        <v>392.14457647446983</v>
      </c>
      <c r="N78" s="553">
        <f t="shared" si="27"/>
        <v>401.16390173338266</v>
      </c>
      <c r="O78" s="553">
        <f t="shared" si="27"/>
        <v>410.39067147325039</v>
      </c>
      <c r="P78" s="553">
        <f t="shared" si="27"/>
        <v>419.82965691713508</v>
      </c>
      <c r="Q78" s="553">
        <f t="shared" si="27"/>
        <v>429.48573902622917</v>
      </c>
      <c r="R78" s="553">
        <f t="shared" si="27"/>
        <v>439.36391102383237</v>
      </c>
      <c r="S78" s="553">
        <f t="shared" si="27"/>
        <v>449.46928097738049</v>
      </c>
      <c r="T78" s="553">
        <f t="shared" si="27"/>
        <v>459.80707443986023</v>
      </c>
      <c r="U78" s="553">
        <f t="shared" si="27"/>
        <v>470.38263715197695</v>
      </c>
      <c r="V78" s="553">
        <f t="shared" si="27"/>
        <v>481.20143780647243</v>
      </c>
      <c r="W78" s="553">
        <f t="shared" si="27"/>
        <v>492.26907087602115</v>
      </c>
      <c r="X78" s="553">
        <f t="shared" si="27"/>
        <v>503.59125950616959</v>
      </c>
      <c r="Y78" s="553"/>
      <c r="Z78" s="553"/>
      <c r="AA78" s="553"/>
      <c r="AB78" s="553"/>
      <c r="AC78" s="814"/>
      <c r="AD78" s="553"/>
    </row>
    <row r="79" spans="3:31" x14ac:dyDescent="0.2">
      <c r="C79" s="552" t="s">
        <v>45</v>
      </c>
      <c r="D79" s="553">
        <f>$F$69*(1+$L$69)^D$21*(D$23=1)</f>
        <v>0</v>
      </c>
      <c r="E79" s="553">
        <f>$F$69*(1+$L$69)^E$21*(E$23=1)</f>
        <v>0</v>
      </c>
      <c r="F79" s="553">
        <f>$F$69*(1+$L$69)^F$21*(F$23=1)</f>
        <v>0</v>
      </c>
      <c r="G79" s="553">
        <f>$F$69*(1+$L$69)^G$21*(G$23=1)</f>
        <v>0</v>
      </c>
      <c r="H79" s="553">
        <f>$F$69*(1+$L$69)^H$21*(H$23=1)</f>
        <v>0</v>
      </c>
      <c r="I79" s="553">
        <f t="shared" ref="I79:X79" si="28">IF(H96=0,$F$69*(1+$L$69)^I$21*(I$23)*I72,H79)*$AB$69</f>
        <v>222.83915293199999</v>
      </c>
      <c r="J79" s="553">
        <f t="shared" si="28"/>
        <v>466.29092751020994</v>
      </c>
      <c r="K79" s="553">
        <f t="shared" si="28"/>
        <v>530.01735426993855</v>
      </c>
      <c r="L79" s="553">
        <f t="shared" si="28"/>
        <v>542.20775341814715</v>
      </c>
      <c r="M79" s="553">
        <f t="shared" si="28"/>
        <v>554.67853174676441</v>
      </c>
      <c r="N79" s="553">
        <f t="shared" si="28"/>
        <v>567.43613797694002</v>
      </c>
      <c r="O79" s="553">
        <f t="shared" si="28"/>
        <v>580.4871691504095</v>
      </c>
      <c r="P79" s="553">
        <f t="shared" si="28"/>
        <v>593.83837404086887</v>
      </c>
      <c r="Q79" s="553">
        <f t="shared" si="28"/>
        <v>607.49665664380882</v>
      </c>
      <c r="R79" s="553">
        <f t="shared" si="28"/>
        <v>621.46907974661633</v>
      </c>
      <c r="S79" s="553">
        <f t="shared" si="28"/>
        <v>635.76286858078845</v>
      </c>
      <c r="T79" s="553">
        <f t="shared" si="28"/>
        <v>650.38541455814652</v>
      </c>
      <c r="U79" s="553">
        <f t="shared" si="28"/>
        <v>665.34427909298381</v>
      </c>
      <c r="V79" s="553">
        <f t="shared" si="28"/>
        <v>680.64719751212249</v>
      </c>
      <c r="W79" s="553">
        <f t="shared" si="28"/>
        <v>696.30208305490112</v>
      </c>
      <c r="X79" s="553">
        <f t="shared" si="28"/>
        <v>712.31703096516378</v>
      </c>
      <c r="Y79" s="553"/>
      <c r="Z79" s="553"/>
      <c r="AA79" s="553"/>
      <c r="AB79" s="553"/>
      <c r="AC79" s="814"/>
      <c r="AD79" s="553"/>
    </row>
    <row r="80" spans="3:31" x14ac:dyDescent="0.2">
      <c r="C80" s="552" t="s">
        <v>163</v>
      </c>
      <c r="D80" s="554"/>
      <c r="E80" s="554"/>
      <c r="F80" s="554"/>
      <c r="G80" s="554"/>
      <c r="H80" s="554"/>
      <c r="I80" s="553">
        <f>SUM(I77:I79)</f>
        <v>447.89915293199999</v>
      </c>
      <c r="J80" s="553">
        <f t="shared" ref="J80:X80" si="29">SUM(J77:J79)</f>
        <v>937.22897751020992</v>
      </c>
      <c r="K80" s="553">
        <f t="shared" si="29"/>
        <v>1065.3169377699382</v>
      </c>
      <c r="L80" s="553">
        <f t="shared" si="29"/>
        <v>1089.8192273386469</v>
      </c>
      <c r="M80" s="553">
        <f t="shared" si="29"/>
        <v>1114.8850695674355</v>
      </c>
      <c r="N80" s="553">
        <f t="shared" si="29"/>
        <v>1140.5274261674867</v>
      </c>
      <c r="O80" s="553">
        <f t="shared" si="29"/>
        <v>1166.7595569693385</v>
      </c>
      <c r="P80" s="553">
        <f t="shared" si="29"/>
        <v>1193.5950267796334</v>
      </c>
      <c r="Q80" s="553">
        <f t="shared" si="29"/>
        <v>1221.0477123955648</v>
      </c>
      <c r="R80" s="553">
        <f t="shared" si="29"/>
        <v>1249.1318097806625</v>
      </c>
      <c r="S80" s="553">
        <f t="shared" si="29"/>
        <v>1277.8618414056177</v>
      </c>
      <c r="T80" s="553">
        <f t="shared" si="29"/>
        <v>1307.2526637579467</v>
      </c>
      <c r="U80" s="553">
        <f t="shared" si="29"/>
        <v>1337.3194750243795</v>
      </c>
      <c r="V80" s="553">
        <f t="shared" si="29"/>
        <v>1368.0778229499401</v>
      </c>
      <c r="W80" s="553">
        <f t="shared" si="29"/>
        <v>1399.5436128777883</v>
      </c>
      <c r="X80" s="553">
        <f t="shared" si="29"/>
        <v>1431.7331159739774</v>
      </c>
      <c r="Y80" s="553"/>
      <c r="Z80" s="553"/>
      <c r="AA80" s="553"/>
      <c r="AB80" s="553"/>
      <c r="AC80" s="814"/>
      <c r="AD80" s="553"/>
      <c r="AE80" s="557"/>
    </row>
    <row r="81" spans="2:31" x14ac:dyDescent="0.2">
      <c r="C81" s="552" t="s">
        <v>168</v>
      </c>
      <c r="I81" s="553">
        <f>IF(I104=" ",I112-H112,H81)</f>
        <v>987.20599999999831</v>
      </c>
      <c r="J81" s="553">
        <f t="shared" ref="J81:X81" si="30">IF(J104=" ",J112-I112,I81)</f>
        <v>1009.9117379999952</v>
      </c>
      <c r="K81" s="553">
        <f t="shared" si="30"/>
        <v>1033.1397079739982</v>
      </c>
      <c r="L81" s="553">
        <f t="shared" si="30"/>
        <v>1056.9019212573985</v>
      </c>
      <c r="M81" s="553">
        <f t="shared" si="30"/>
        <v>1081.2106654463205</v>
      </c>
      <c r="N81" s="553">
        <f t="shared" si="30"/>
        <v>1106.078510751584</v>
      </c>
      <c r="O81" s="553">
        <f t="shared" si="30"/>
        <v>1131.5183164988703</v>
      </c>
      <c r="P81" s="553">
        <f t="shared" si="30"/>
        <v>1157.5432377783436</v>
      </c>
      <c r="Q81" s="553">
        <f t="shared" si="30"/>
        <v>1184.1667322472422</v>
      </c>
      <c r="R81" s="553">
        <f t="shared" si="30"/>
        <v>1211.4025670889314</v>
      </c>
      <c r="S81" s="553">
        <f t="shared" si="30"/>
        <v>1239.2648261319773</v>
      </c>
      <c r="T81" s="553">
        <f t="shared" si="30"/>
        <v>1267.7679171330092</v>
      </c>
      <c r="U81" s="553">
        <f t="shared" si="30"/>
        <v>1296.9265792270744</v>
      </c>
      <c r="V81" s="553">
        <f t="shared" si="30"/>
        <v>1326.7558905492915</v>
      </c>
      <c r="W81" s="553">
        <f t="shared" si="30"/>
        <v>1357.2712760319264</v>
      </c>
      <c r="X81" s="553">
        <f t="shared" si="30"/>
        <v>1388.4885153806608</v>
      </c>
      <c r="Y81" s="553"/>
      <c r="Z81" s="553"/>
      <c r="AA81" s="553"/>
      <c r="AB81" s="553"/>
      <c r="AC81" s="814"/>
      <c r="AD81" s="553"/>
      <c r="AE81" s="557"/>
    </row>
    <row r="82" spans="2:31" x14ac:dyDescent="0.2">
      <c r="C82" s="551"/>
      <c r="AC82" s="549"/>
    </row>
    <row r="83" spans="2:31" x14ac:dyDescent="0.2">
      <c r="B83" s="702"/>
      <c r="C83" s="551" t="s">
        <v>46</v>
      </c>
      <c r="J83" s="553"/>
      <c r="K83" s="553"/>
      <c r="L83" s="553"/>
      <c r="M83" s="553"/>
      <c r="N83" s="553"/>
      <c r="O83" s="553"/>
      <c r="P83" s="553"/>
      <c r="Q83" s="553"/>
      <c r="R83" s="553"/>
      <c r="S83" s="553"/>
      <c r="T83" s="553"/>
      <c r="U83" s="553"/>
      <c r="V83" s="553"/>
      <c r="W83" s="553"/>
      <c r="X83" s="553"/>
      <c r="Y83" s="553"/>
      <c r="Z83" s="553"/>
      <c r="AA83" s="553"/>
      <c r="AB83" s="553"/>
      <c r="AC83" s="814"/>
      <c r="AD83" s="553"/>
    </row>
    <row r="84" spans="2:31" x14ac:dyDescent="0.2">
      <c r="B84" s="702"/>
      <c r="C84" s="552" t="s">
        <v>10</v>
      </c>
      <c r="D84" s="553">
        <f t="shared" ref="D84:X84" si="31">$G$69*(1+$M$69)^D$21*(D$23=1)</f>
        <v>0</v>
      </c>
      <c r="E84" s="553">
        <f t="shared" si="31"/>
        <v>0</v>
      </c>
      <c r="F84" s="553">
        <f t="shared" si="31"/>
        <v>0</v>
      </c>
      <c r="G84" s="553">
        <f t="shared" si="31"/>
        <v>0</v>
      </c>
      <c r="H84" s="553">
        <f t="shared" si="31"/>
        <v>0</v>
      </c>
      <c r="I84" s="553">
        <f t="shared" si="31"/>
        <v>15150</v>
      </c>
      <c r="J84" s="553">
        <f t="shared" si="31"/>
        <v>15301.5</v>
      </c>
      <c r="K84" s="553">
        <f t="shared" si="31"/>
        <v>15454.514999999999</v>
      </c>
      <c r="L84" s="553">
        <f t="shared" si="31"/>
        <v>15609.060150000001</v>
      </c>
      <c r="M84" s="553">
        <f t="shared" si="31"/>
        <v>15765.150751499999</v>
      </c>
      <c r="N84" s="553">
        <f t="shared" si="31"/>
        <v>15922.802259015001</v>
      </c>
      <c r="O84" s="553">
        <f t="shared" si="31"/>
        <v>16082.030281605148</v>
      </c>
      <c r="P84" s="553">
        <f t="shared" si="31"/>
        <v>16242.850584421203</v>
      </c>
      <c r="Q84" s="553">
        <f t="shared" si="31"/>
        <v>16405.279090265416</v>
      </c>
      <c r="R84" s="553">
        <f t="shared" si="31"/>
        <v>16569.331881168073</v>
      </c>
      <c r="S84" s="553">
        <f t="shared" si="31"/>
        <v>16735.025199979747</v>
      </c>
      <c r="T84" s="553">
        <f t="shared" si="31"/>
        <v>16902.375451979548</v>
      </c>
      <c r="U84" s="553">
        <f t="shared" si="31"/>
        <v>17071.399206499344</v>
      </c>
      <c r="V84" s="553">
        <f t="shared" si="31"/>
        <v>17242.113198564337</v>
      </c>
      <c r="W84" s="553">
        <f t="shared" si="31"/>
        <v>17414.534330549977</v>
      </c>
      <c r="X84" s="553">
        <f t="shared" si="31"/>
        <v>17588.67967385548</v>
      </c>
      <c r="Y84" s="553"/>
      <c r="Z84" s="553"/>
      <c r="AA84" s="553"/>
      <c r="AB84" s="553"/>
      <c r="AC84" s="814"/>
      <c r="AD84" s="553"/>
    </row>
    <row r="85" spans="2:31" x14ac:dyDescent="0.2">
      <c r="C85" s="552" t="s">
        <v>44</v>
      </c>
      <c r="D85" s="553">
        <f>$H$69*(1+$N$69)^D$21*(D$23=1)</f>
        <v>0</v>
      </c>
      <c r="E85" s="553">
        <f>$H$69*(1+$N$69)^E$21*(E$23=1)</f>
        <v>0</v>
      </c>
      <c r="F85" s="553">
        <f>$H$69*(1+$N$69)^F$21*(F$23=1)</f>
        <v>0</v>
      </c>
      <c r="G85" s="553">
        <f>$H$69*(1+$N$69)^G$21*(G$23=1)</f>
        <v>0</v>
      </c>
      <c r="H85" s="553">
        <f>$H$69*(1+$N$69)^H$21*(H$23=1)</f>
        <v>0</v>
      </c>
      <c r="I85" s="553">
        <f>$H$69*(1+$N$69)^I$21*(I$23=1)*Assumptions!$C$14</f>
        <v>1191.5475000000001</v>
      </c>
      <c r="J85" s="553">
        <f>$H$69*(1+$N$69)^J$21*(J$23=1)*Assumptions!$C$14</f>
        <v>1203.4629750000001</v>
      </c>
      <c r="K85" s="553">
        <f>$H$69*(1+$N$69)^K$21*(K$23=1)*Assumptions!$C$14</f>
        <v>1215.4976047499999</v>
      </c>
      <c r="L85" s="553">
        <f>$H$69*(1+$N$69)^L$21*(L$23=1)*Assumptions!$C$14</f>
        <v>1227.6525807974999</v>
      </c>
      <c r="M85" s="553">
        <f>$H$69*(1+$N$69)^M$21*(M$23=1)*Assumptions!$C$14</f>
        <v>1239.9291066054748</v>
      </c>
      <c r="N85" s="553">
        <f>$H$69*(1+$N$69)^N$21*(N$23=1)*Assumptions!$C$14</f>
        <v>1252.3283976715297</v>
      </c>
      <c r="O85" s="553">
        <f>$H$69*(1+$N$69)^O$21*(O$23=1)*Assumptions!$C$14</f>
        <v>1264.8516816482449</v>
      </c>
      <c r="P85" s="553">
        <f>$H$69*(1+$N$69)^P$21*(P$23=1)*Assumptions!$C$14</f>
        <v>1277.5001984647276</v>
      </c>
      <c r="Q85" s="553">
        <f>$H$69*(1+$N$69)^Q$21*(Q$23=1)*Assumptions!$C$14</f>
        <v>1290.275200449375</v>
      </c>
      <c r="R85" s="553">
        <f>$H$69*(1+$N$69)^R$21*(R$23=1)*Assumptions!$C$14</f>
        <v>1303.1779524538688</v>
      </c>
      <c r="S85" s="553">
        <f>$H$69*(1+$N$69)^S$21*(S$23=1)*Assumptions!$C$14</f>
        <v>1316.209731978407</v>
      </c>
      <c r="T85" s="553">
        <f>$H$69*(1+$N$69)^T$21*(T$23=1)*Assumptions!$C$14</f>
        <v>1329.3718292981914</v>
      </c>
      <c r="U85" s="553">
        <f>$H$69*(1+$N$69)^U$21*(U$23=1)*Assumptions!$C$14</f>
        <v>1342.6655475911734</v>
      </c>
      <c r="V85" s="553">
        <f>$H$69*(1+$N$69)^V$21*(V$23=1)*Assumptions!$C$14</f>
        <v>1356.0922030670852</v>
      </c>
      <c r="W85" s="553">
        <f>$H$69*(1+$N$69)^W$21*(W$23=1)*Assumptions!$C$14</f>
        <v>1369.6531250977555</v>
      </c>
      <c r="X85" s="553">
        <f>$H$69*(1+$N$69)^X$21*(X$23=1)*Assumptions!$C$14</f>
        <v>1383.3496563487336</v>
      </c>
      <c r="Y85" s="553"/>
      <c r="Z85" s="553"/>
      <c r="AA85" s="553"/>
      <c r="AB85" s="553"/>
      <c r="AC85" s="814"/>
      <c r="AD85" s="553"/>
    </row>
    <row r="86" spans="2:31" x14ac:dyDescent="0.2">
      <c r="C86" s="552" t="s">
        <v>45</v>
      </c>
      <c r="D86" s="553">
        <f>$I$69*(1+$O$69)^D$21*(D$23=1)</f>
        <v>0</v>
      </c>
      <c r="E86" s="553">
        <f>$I$69*(1+$O$69)^E$21*(E$23=1)</f>
        <v>0</v>
      </c>
      <c r="F86" s="553">
        <f>$I$69*(1+$O$69)^F$21*(F$23=1)</f>
        <v>0</v>
      </c>
      <c r="G86" s="553">
        <f>$I$69*(1+$O$69)^G$21*(G$23=1)</f>
        <v>0</v>
      </c>
      <c r="H86" s="553">
        <f>$I$69*(1+$O$69)^H$21*(H$23=1)</f>
        <v>0</v>
      </c>
      <c r="I86" s="553">
        <f t="shared" ref="I86:X86" si="32">$I$69*(1+$O$69)^I$21*(I$23=1)*Demand_scalar</f>
        <v>372.185</v>
      </c>
      <c r="J86" s="553">
        <f t="shared" si="32"/>
        <v>375.90685000000002</v>
      </c>
      <c r="K86" s="553">
        <f t="shared" si="32"/>
        <v>379.66591849999998</v>
      </c>
      <c r="L86" s="553">
        <f t="shared" si="32"/>
        <v>383.46257768499999</v>
      </c>
      <c r="M86" s="553">
        <f t="shared" si="32"/>
        <v>387.29720346184996</v>
      </c>
      <c r="N86" s="553">
        <f t="shared" si="32"/>
        <v>391.17017549646857</v>
      </c>
      <c r="O86" s="553">
        <f t="shared" si="32"/>
        <v>395.08187725143313</v>
      </c>
      <c r="P86" s="553">
        <f t="shared" si="32"/>
        <v>399.03269602394755</v>
      </c>
      <c r="Q86" s="553">
        <f t="shared" si="32"/>
        <v>403.02302298418709</v>
      </c>
      <c r="R86" s="553">
        <f t="shared" si="32"/>
        <v>407.05325321402893</v>
      </c>
      <c r="S86" s="553">
        <f t="shared" si="32"/>
        <v>411.12378574616918</v>
      </c>
      <c r="T86" s="553">
        <f t="shared" si="32"/>
        <v>415.23502360363085</v>
      </c>
      <c r="U86" s="553">
        <f t="shared" si="32"/>
        <v>419.38737383966719</v>
      </c>
      <c r="V86" s="553">
        <f t="shared" si="32"/>
        <v>423.58124757806394</v>
      </c>
      <c r="W86" s="553">
        <f t="shared" si="32"/>
        <v>427.81706005384444</v>
      </c>
      <c r="X86" s="553">
        <f t="shared" si="32"/>
        <v>432.09523065438299</v>
      </c>
      <c r="Y86" s="553"/>
      <c r="Z86" s="553"/>
      <c r="AA86" s="553"/>
      <c r="AB86" s="553"/>
      <c r="AC86" s="814"/>
      <c r="AD86" s="553"/>
    </row>
    <row r="87" spans="2:31" x14ac:dyDescent="0.2">
      <c r="C87" s="551"/>
      <c r="AC87" s="549"/>
    </row>
    <row r="88" spans="2:31" x14ac:dyDescent="0.2">
      <c r="C88" s="551" t="s">
        <v>50</v>
      </c>
      <c r="AC88" s="549"/>
    </row>
    <row r="89" spans="2:31" x14ac:dyDescent="0.2">
      <c r="C89" s="552" t="s">
        <v>10</v>
      </c>
      <c r="D89" s="555">
        <f t="shared" ref="D89:X89" si="33">D77*D84*0.001</f>
        <v>0</v>
      </c>
      <c r="E89" s="555">
        <f t="shared" si="33"/>
        <v>0</v>
      </c>
      <c r="F89" s="555">
        <f t="shared" si="33"/>
        <v>0</v>
      </c>
      <c r="G89" s="555">
        <f t="shared" si="33"/>
        <v>0</v>
      </c>
      <c r="H89" s="555">
        <f t="shared" si="33"/>
        <v>0</v>
      </c>
      <c r="I89" s="555">
        <f t="shared" si="33"/>
        <v>1022.8977</v>
      </c>
      <c r="J89" s="555">
        <f t="shared" si="33"/>
        <v>2161.8175716224996</v>
      </c>
      <c r="K89" s="555">
        <f t="shared" si="33"/>
        <v>2481.8386328083502</v>
      </c>
      <c r="L89" s="555">
        <f t="shared" si="33"/>
        <v>2564.3101305765713</v>
      </c>
      <c r="M89" s="555">
        <f t="shared" si="33"/>
        <v>2649.5221562156307</v>
      </c>
      <c r="N89" s="555">
        <f t="shared" si="33"/>
        <v>2737.5657774666761</v>
      </c>
      <c r="O89" s="555">
        <f t="shared" si="33"/>
        <v>2828.5350882518924</v>
      </c>
      <c r="P89" s="555">
        <f t="shared" si="33"/>
        <v>2922.5273092345033</v>
      </c>
      <c r="Q89" s="555">
        <f t="shared" si="33"/>
        <v>3019.6428917203652</v>
      </c>
      <c r="R89" s="555">
        <f t="shared" si="33"/>
        <v>3119.9856250122339</v>
      </c>
      <c r="S89" s="555">
        <f t="shared" si="33"/>
        <v>3223.6627473313888</v>
      </c>
      <c r="T89" s="555">
        <f t="shared" si="33"/>
        <v>3330.7850604252112</v>
      </c>
      <c r="U89" s="555">
        <f t="shared" si="33"/>
        <v>3441.4670479831407</v>
      </c>
      <c r="V89" s="555">
        <f t="shared" si="33"/>
        <v>3555.8269979876204</v>
      </c>
      <c r="W89" s="555">
        <f t="shared" si="33"/>
        <v>3673.9871291307472</v>
      </c>
      <c r="X89" s="555">
        <f t="shared" si="33"/>
        <v>3796.0737214317624</v>
      </c>
      <c r="Y89" s="555"/>
      <c r="Z89" s="555"/>
      <c r="AA89" s="555"/>
      <c r="AB89" s="555"/>
      <c r="AC89" s="821"/>
      <c r="AD89" s="555"/>
    </row>
    <row r="90" spans="2:31" x14ac:dyDescent="0.2">
      <c r="C90" s="552" t="s">
        <v>44</v>
      </c>
      <c r="D90" s="555">
        <f t="shared" ref="D90:X90" si="34">D78*D85*0.001</f>
        <v>0</v>
      </c>
      <c r="E90" s="555">
        <f t="shared" si="34"/>
        <v>0</v>
      </c>
      <c r="F90" s="555">
        <f t="shared" si="34"/>
        <v>0</v>
      </c>
      <c r="G90" s="555">
        <f t="shared" si="34"/>
        <v>0</v>
      </c>
      <c r="H90" s="555">
        <f t="shared" si="34"/>
        <v>0</v>
      </c>
      <c r="I90" s="555">
        <f t="shared" si="34"/>
        <v>187.71877624499999</v>
      </c>
      <c r="J90" s="555">
        <f t="shared" si="34"/>
        <v>396.72955468558911</v>
      </c>
      <c r="K90" s="555">
        <f t="shared" si="34"/>
        <v>455.45875309754564</v>
      </c>
      <c r="L90" s="555">
        <f t="shared" si="34"/>
        <v>470.59364746297712</v>
      </c>
      <c r="M90" s="555">
        <f t="shared" si="34"/>
        <v>486.23147436817163</v>
      </c>
      <c r="N90" s="555">
        <f t="shared" si="34"/>
        <v>502.3889462614261</v>
      </c>
      <c r="O90" s="555">
        <f t="shared" si="34"/>
        <v>519.08333094569321</v>
      </c>
      <c r="P90" s="555">
        <f t="shared" si="34"/>
        <v>536.33247003301858</v>
      </c>
      <c r="Q90" s="555">
        <f t="shared" si="34"/>
        <v>554.15479801221579</v>
      </c>
      <c r="R90" s="555">
        <f t="shared" si="34"/>
        <v>572.56936195016169</v>
      </c>
      <c r="S90" s="555">
        <f t="shared" si="34"/>
        <v>591.59584184776531</v>
      </c>
      <c r="T90" s="555">
        <f t="shared" si="34"/>
        <v>611.25457167236675</v>
      </c>
      <c r="U90" s="555">
        <f t="shared" si="34"/>
        <v>631.5665610890394</v>
      </c>
      <c r="V90" s="555">
        <f t="shared" si="34"/>
        <v>652.55351791402813</v>
      </c>
      <c r="W90" s="555">
        <f t="shared" si="34"/>
        <v>674.23787131431084</v>
      </c>
      <c r="X90" s="555">
        <f t="shared" si="34"/>
        <v>696.64279577808566</v>
      </c>
      <c r="Y90" s="555"/>
      <c r="Z90" s="555"/>
      <c r="AA90" s="555"/>
      <c r="AB90" s="555"/>
      <c r="AC90" s="821"/>
      <c r="AD90" s="555"/>
    </row>
    <row r="91" spans="2:31" x14ac:dyDescent="0.2">
      <c r="C91" s="552" t="s">
        <v>45</v>
      </c>
      <c r="D91" s="555">
        <f t="shared" ref="D91:X91" si="35">D79*D86*0.001</f>
        <v>0</v>
      </c>
      <c r="E91" s="555">
        <f t="shared" si="35"/>
        <v>0</v>
      </c>
      <c r="F91" s="555">
        <f t="shared" si="35"/>
        <v>0</v>
      </c>
      <c r="G91" s="555">
        <f t="shared" si="35"/>
        <v>0</v>
      </c>
      <c r="H91" s="555">
        <f t="shared" si="35"/>
        <v>0</v>
      </c>
      <c r="I91" s="555">
        <f t="shared" si="35"/>
        <v>82.937390133996416</v>
      </c>
      <c r="J91" s="555">
        <f t="shared" si="35"/>
        <v>175.28195374394139</v>
      </c>
      <c r="K91" s="555">
        <f t="shared" si="35"/>
        <v>201.2295256298361</v>
      </c>
      <c r="L91" s="555">
        <f t="shared" si="35"/>
        <v>207.91638276651557</v>
      </c>
      <c r="M91" s="555">
        <f t="shared" si="35"/>
        <v>214.82544416584682</v>
      </c>
      <c r="N91" s="555">
        <f t="shared" si="35"/>
        <v>221.96409367547798</v>
      </c>
      <c r="O91" s="555">
        <f t="shared" si="35"/>
        <v>229.33996050831399</v>
      </c>
      <c r="P91" s="555">
        <f t="shared" si="35"/>
        <v>236.96092739600527</v>
      </c>
      <c r="Q91" s="555">
        <f t="shared" si="35"/>
        <v>244.83513901337457</v>
      </c>
      <c r="R91" s="555">
        <f t="shared" si="35"/>
        <v>252.97101068278894</v>
      </c>
      <c r="S91" s="555">
        <f t="shared" si="35"/>
        <v>261.37723736777798</v>
      </c>
      <c r="T91" s="555">
        <f t="shared" si="35"/>
        <v>270.06280296550921</v>
      </c>
      <c r="U91" s="555">
        <f t="shared" si="35"/>
        <v>279.0369899080531</v>
      </c>
      <c r="V91" s="555">
        <f t="shared" si="35"/>
        <v>288.30938908269775</v>
      </c>
      <c r="W91" s="555">
        <f t="shared" si="35"/>
        <v>297.88991008191562</v>
      </c>
      <c r="X91" s="555">
        <f t="shared" si="35"/>
        <v>307.78879179393772</v>
      </c>
      <c r="Y91" s="555"/>
      <c r="Z91" s="555"/>
      <c r="AA91" s="555"/>
      <c r="AB91" s="555"/>
      <c r="AC91" s="821"/>
      <c r="AD91" s="555"/>
    </row>
    <row r="92" spans="2:31" x14ac:dyDescent="0.2">
      <c r="C92" s="551"/>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821"/>
      <c r="AD92" s="555"/>
    </row>
    <row r="93" spans="2:31" x14ac:dyDescent="0.2">
      <c r="C93" s="551" t="s">
        <v>47</v>
      </c>
      <c r="D93" s="553">
        <f t="shared" ref="D93:X93" si="36">SUM(D89:D91)</f>
        <v>0</v>
      </c>
      <c r="E93" s="553">
        <f t="shared" si="36"/>
        <v>0</v>
      </c>
      <c r="F93" s="553">
        <f t="shared" si="36"/>
        <v>0</v>
      </c>
      <c r="G93" s="553">
        <f t="shared" si="36"/>
        <v>0</v>
      </c>
      <c r="H93" s="553">
        <f t="shared" si="36"/>
        <v>0</v>
      </c>
      <c r="I93" s="553">
        <f t="shared" si="36"/>
        <v>1293.5538663789964</v>
      </c>
      <c r="J93" s="553">
        <f t="shared" si="36"/>
        <v>2733.8290800520299</v>
      </c>
      <c r="K93" s="553">
        <f t="shared" si="36"/>
        <v>3138.5269115357319</v>
      </c>
      <c r="L93" s="553">
        <f t="shared" si="36"/>
        <v>3242.820160806064</v>
      </c>
      <c r="M93" s="553">
        <f t="shared" si="36"/>
        <v>3350.5790747496494</v>
      </c>
      <c r="N93" s="553">
        <f t="shared" si="36"/>
        <v>3461.9188174035803</v>
      </c>
      <c r="O93" s="553">
        <f t="shared" si="36"/>
        <v>3576.9583797058995</v>
      </c>
      <c r="P93" s="553">
        <f t="shared" si="36"/>
        <v>3695.8207066635273</v>
      </c>
      <c r="Q93" s="553">
        <f t="shared" si="36"/>
        <v>3818.6328287459555</v>
      </c>
      <c r="R93" s="553">
        <f t="shared" si="36"/>
        <v>3945.5259976451844</v>
      </c>
      <c r="S93" s="553">
        <f t="shared" si="36"/>
        <v>4076.6358265469321</v>
      </c>
      <c r="T93" s="553">
        <f t="shared" si="36"/>
        <v>4212.1024350630869</v>
      </c>
      <c r="U93" s="553">
        <f t="shared" si="36"/>
        <v>4352.0705989802336</v>
      </c>
      <c r="V93" s="553">
        <f t="shared" si="36"/>
        <v>4496.689904984346</v>
      </c>
      <c r="W93" s="553">
        <f t="shared" si="36"/>
        <v>4646.1149105269733</v>
      </c>
      <c r="X93" s="553">
        <f t="shared" si="36"/>
        <v>4800.5053090037864</v>
      </c>
      <c r="Y93" s="553"/>
      <c r="Z93" s="553"/>
      <c r="AA93" s="553"/>
      <c r="AB93" s="553"/>
      <c r="AC93" s="814"/>
      <c r="AD93" s="553"/>
    </row>
    <row r="94" spans="2:31" x14ac:dyDescent="0.2">
      <c r="C94" s="551" t="s">
        <v>52</v>
      </c>
      <c r="D94" s="553"/>
      <c r="E94" s="553"/>
      <c r="F94" s="553"/>
      <c r="G94" s="553">
        <f t="shared" ref="G94:X94" si="37">(G93/8.76)/$T69</f>
        <v>0</v>
      </c>
      <c r="H94" s="553">
        <f t="shared" si="37"/>
        <v>0</v>
      </c>
      <c r="I94" s="553">
        <f t="shared" si="37"/>
        <v>243.75702508085487</v>
      </c>
      <c r="J94" s="553">
        <f t="shared" si="37"/>
        <v>515.16219073150569</v>
      </c>
      <c r="K94" s="553">
        <f t="shared" si="37"/>
        <v>591.42336703279284</v>
      </c>
      <c r="L94" s="553">
        <f t="shared" si="37"/>
        <v>611.07636551929249</v>
      </c>
      <c r="M94" s="553">
        <f t="shared" si="37"/>
        <v>631.38243314549868</v>
      </c>
      <c r="N94" s="553">
        <f t="shared" si="37"/>
        <v>652.36327139892353</v>
      </c>
      <c r="O94" s="553">
        <f t="shared" si="37"/>
        <v>674.04130290750948</v>
      </c>
      <c r="P94" s="553">
        <f t="shared" si="37"/>
        <v>696.43969540312605</v>
      </c>
      <c r="Q94" s="553">
        <f t="shared" si="37"/>
        <v>719.58238648137183</v>
      </c>
      <c r="R94" s="553">
        <f t="shared" si="37"/>
        <v>743.49410918414787</v>
      </c>
      <c r="S94" s="553">
        <f t="shared" si="37"/>
        <v>768.20041843233685</v>
      </c>
      <c r="T94" s="553">
        <f t="shared" si="37"/>
        <v>793.7277183368434</v>
      </c>
      <c r="U94" s="553">
        <f t="shared" si="37"/>
        <v>820.10329041717682</v>
      </c>
      <c r="V94" s="553">
        <f t="shared" si="37"/>
        <v>847.35532275773949</v>
      </c>
      <c r="W94" s="553">
        <f t="shared" si="37"/>
        <v>875.51294013297866</v>
      </c>
      <c r="X94" s="553">
        <f t="shared" si="37"/>
        <v>904.60623513359792</v>
      </c>
      <c r="Y94" s="553"/>
      <c r="Z94" s="553"/>
      <c r="AA94" s="553"/>
      <c r="AB94" s="553"/>
      <c r="AC94" s="814"/>
      <c r="AD94" s="553"/>
    </row>
    <row r="95" spans="2:31" x14ac:dyDescent="0.2">
      <c r="C95" s="551" t="s">
        <v>48</v>
      </c>
      <c r="D95" s="553"/>
      <c r="E95" s="553"/>
      <c r="F95" s="553"/>
      <c r="G95" s="555">
        <f t="shared" ref="G95:X95" si="38">IF(G94&lt;$X$69,G93,($X$69/G94)*G93)</f>
        <v>0</v>
      </c>
      <c r="H95" s="555">
        <f t="shared" si="38"/>
        <v>0</v>
      </c>
      <c r="I95" s="555">
        <f t="shared" si="38"/>
        <v>1293.5538663789964</v>
      </c>
      <c r="J95" s="555">
        <f t="shared" si="38"/>
        <v>2733.8290800520299</v>
      </c>
      <c r="K95" s="555">
        <f t="shared" si="38"/>
        <v>3138.5269115357319</v>
      </c>
      <c r="L95" s="555">
        <f t="shared" si="38"/>
        <v>3242.820160806064</v>
      </c>
      <c r="M95" s="555">
        <f t="shared" si="38"/>
        <v>3350.5790747496494</v>
      </c>
      <c r="N95" s="555">
        <f t="shared" si="38"/>
        <v>3461.9188174035803</v>
      </c>
      <c r="O95" s="555">
        <f t="shared" si="38"/>
        <v>3576.9583797058995</v>
      </c>
      <c r="P95" s="555">
        <f t="shared" si="38"/>
        <v>3695.8207066635273</v>
      </c>
      <c r="Q95" s="555">
        <f t="shared" si="38"/>
        <v>3818.6328287459555</v>
      </c>
      <c r="R95" s="555">
        <f t="shared" si="38"/>
        <v>3945.5259976451844</v>
      </c>
      <c r="S95" s="555">
        <f t="shared" si="38"/>
        <v>4076.6358265469321</v>
      </c>
      <c r="T95" s="555">
        <f t="shared" si="38"/>
        <v>4212.1024350630869</v>
      </c>
      <c r="U95" s="555">
        <f t="shared" si="38"/>
        <v>4352.0705989802336</v>
      </c>
      <c r="V95" s="555">
        <f t="shared" si="38"/>
        <v>4496.689904984346</v>
      </c>
      <c r="W95" s="555">
        <f t="shared" si="38"/>
        <v>4646.1149105269733</v>
      </c>
      <c r="X95" s="555">
        <f t="shared" si="38"/>
        <v>4800.5053090037864</v>
      </c>
      <c r="Y95" s="555"/>
      <c r="Z95" s="555"/>
      <c r="AA95" s="555"/>
      <c r="AB95" s="555"/>
      <c r="AC95" s="821"/>
      <c r="AD95" s="555"/>
    </row>
    <row r="96" spans="2:31" x14ac:dyDescent="0.2">
      <c r="C96" s="551" t="s">
        <v>95</v>
      </c>
      <c r="D96" s="553"/>
      <c r="E96" s="553"/>
      <c r="F96" s="553"/>
      <c r="G96" s="555"/>
      <c r="H96" s="555">
        <v>0</v>
      </c>
      <c r="I96" s="556">
        <f t="shared" ref="I96:X96" si="39">IF(I94&gt;$X$69,I22,0)</f>
        <v>0</v>
      </c>
      <c r="J96" s="556">
        <f t="shared" si="39"/>
        <v>0</v>
      </c>
      <c r="K96" s="556">
        <f t="shared" si="39"/>
        <v>0</v>
      </c>
      <c r="L96" s="556">
        <f t="shared" si="39"/>
        <v>0</v>
      </c>
      <c r="M96" s="556">
        <f t="shared" si="39"/>
        <v>0</v>
      </c>
      <c r="N96" s="556">
        <f t="shared" si="39"/>
        <v>0</v>
      </c>
      <c r="O96" s="556">
        <f t="shared" si="39"/>
        <v>0</v>
      </c>
      <c r="P96" s="556">
        <f t="shared" si="39"/>
        <v>0</v>
      </c>
      <c r="Q96" s="556">
        <f t="shared" si="39"/>
        <v>0</v>
      </c>
      <c r="R96" s="556">
        <f t="shared" si="39"/>
        <v>0</v>
      </c>
      <c r="S96" s="556">
        <f t="shared" si="39"/>
        <v>0</v>
      </c>
      <c r="T96" s="556">
        <f t="shared" si="39"/>
        <v>0</v>
      </c>
      <c r="U96" s="556">
        <f t="shared" si="39"/>
        <v>0</v>
      </c>
      <c r="V96" s="556">
        <f t="shared" si="39"/>
        <v>0</v>
      </c>
      <c r="W96" s="556">
        <f t="shared" si="39"/>
        <v>0</v>
      </c>
      <c r="X96" s="556">
        <f t="shared" si="39"/>
        <v>0</v>
      </c>
      <c r="Y96" s="556"/>
      <c r="Z96" s="556"/>
      <c r="AA96" s="556"/>
      <c r="AB96" s="556"/>
      <c r="AC96" s="822"/>
      <c r="AD96" s="556"/>
      <c r="AE96" s="819"/>
    </row>
    <row r="97" spans="2:30" x14ac:dyDescent="0.2">
      <c r="B97" s="702"/>
      <c r="C97" s="552" t="s">
        <v>10</v>
      </c>
      <c r="D97" s="553"/>
      <c r="E97" s="553"/>
      <c r="F97" s="553"/>
      <c r="G97" s="553">
        <f>IF(G23=1,(G95/G93)*G89,0)</f>
        <v>0</v>
      </c>
      <c r="H97" s="553">
        <f>IF(H23=1,(H95/H93)*H89,0)</f>
        <v>0</v>
      </c>
      <c r="I97" s="553">
        <f>IF($AB$69=1,(I$95/I$93)*I89,0)</f>
        <v>1022.8977</v>
      </c>
      <c r="J97" s="553">
        <f t="shared" ref="J97:X99" si="40">IF($AB$69=1,(J$95/J$93)*J89,0)</f>
        <v>2161.8175716224996</v>
      </c>
      <c r="K97" s="553">
        <f t="shared" si="40"/>
        <v>2481.8386328083502</v>
      </c>
      <c r="L97" s="553">
        <f t="shared" si="40"/>
        <v>2564.3101305765713</v>
      </c>
      <c r="M97" s="553">
        <f t="shared" si="40"/>
        <v>2649.5221562156307</v>
      </c>
      <c r="N97" s="553">
        <f t="shared" si="40"/>
        <v>2737.5657774666761</v>
      </c>
      <c r="O97" s="553">
        <f t="shared" si="40"/>
        <v>2828.5350882518924</v>
      </c>
      <c r="P97" s="553">
        <f t="shared" si="40"/>
        <v>2922.5273092345033</v>
      </c>
      <c r="Q97" s="553">
        <f t="shared" si="40"/>
        <v>3019.6428917203652</v>
      </c>
      <c r="R97" s="553">
        <f t="shared" si="40"/>
        <v>3119.9856250122339</v>
      </c>
      <c r="S97" s="553">
        <f t="shared" si="40"/>
        <v>3223.6627473313888</v>
      </c>
      <c r="T97" s="553">
        <f t="shared" si="40"/>
        <v>3330.7850604252112</v>
      </c>
      <c r="U97" s="553">
        <f t="shared" si="40"/>
        <v>3441.4670479831407</v>
      </c>
      <c r="V97" s="553">
        <f t="shared" si="40"/>
        <v>3555.8269979876204</v>
      </c>
      <c r="W97" s="553">
        <f t="shared" si="40"/>
        <v>3673.9871291307472</v>
      </c>
      <c r="X97" s="553">
        <f t="shared" si="40"/>
        <v>3796.0737214317624</v>
      </c>
      <c r="Y97" s="553"/>
      <c r="Z97" s="553"/>
      <c r="AA97" s="553"/>
      <c r="AB97" s="553"/>
      <c r="AC97" s="814"/>
      <c r="AD97" s="553"/>
    </row>
    <row r="98" spans="2:30" x14ac:dyDescent="0.2">
      <c r="B98" s="702"/>
      <c r="C98" s="552" t="s">
        <v>44</v>
      </c>
      <c r="D98" s="553"/>
      <c r="E98" s="553"/>
      <c r="F98" s="553"/>
      <c r="G98" s="553">
        <f>IF(G23=1,(G95/G93)*G90,0)</f>
        <v>0</v>
      </c>
      <c r="H98" s="553">
        <f>IF(H23=1,(H95/H93)*H90,0)</f>
        <v>0</v>
      </c>
      <c r="I98" s="553">
        <f t="shared" ref="I98:X99" si="41">IF($AB$69=1,(I$95/I$93)*I90,0)</f>
        <v>187.71877624499999</v>
      </c>
      <c r="J98" s="553">
        <f t="shared" si="41"/>
        <v>396.72955468558911</v>
      </c>
      <c r="K98" s="553">
        <f t="shared" si="41"/>
        <v>455.45875309754564</v>
      </c>
      <c r="L98" s="553">
        <f t="shared" si="41"/>
        <v>470.59364746297712</v>
      </c>
      <c r="M98" s="553">
        <f t="shared" si="41"/>
        <v>486.23147436817163</v>
      </c>
      <c r="N98" s="553">
        <f t="shared" si="41"/>
        <v>502.3889462614261</v>
      </c>
      <c r="O98" s="553">
        <f t="shared" si="41"/>
        <v>519.08333094569321</v>
      </c>
      <c r="P98" s="553">
        <f t="shared" si="41"/>
        <v>536.33247003301858</v>
      </c>
      <c r="Q98" s="553">
        <f t="shared" si="41"/>
        <v>554.15479801221579</v>
      </c>
      <c r="R98" s="553">
        <f t="shared" si="41"/>
        <v>572.56936195016169</v>
      </c>
      <c r="S98" s="553">
        <f t="shared" si="41"/>
        <v>591.59584184776531</v>
      </c>
      <c r="T98" s="553">
        <f t="shared" si="41"/>
        <v>611.25457167236675</v>
      </c>
      <c r="U98" s="553">
        <f t="shared" si="41"/>
        <v>631.5665610890394</v>
      </c>
      <c r="V98" s="553">
        <f t="shared" si="41"/>
        <v>652.55351791402813</v>
      </c>
      <c r="W98" s="553">
        <f t="shared" si="41"/>
        <v>674.23787131431084</v>
      </c>
      <c r="X98" s="553">
        <f t="shared" si="41"/>
        <v>696.64279577808566</v>
      </c>
      <c r="Y98" s="553"/>
      <c r="Z98" s="553"/>
      <c r="AA98" s="553"/>
      <c r="AB98" s="553"/>
      <c r="AC98" s="814"/>
      <c r="AD98" s="553"/>
    </row>
    <row r="99" spans="2:30" x14ac:dyDescent="0.2">
      <c r="B99" s="702"/>
      <c r="C99" s="552" t="s">
        <v>45</v>
      </c>
      <c r="D99" s="553"/>
      <c r="E99" s="553"/>
      <c r="F99" s="553"/>
      <c r="G99" s="553">
        <f>IF(G23=1,(G95/G93)*G91,0)</f>
        <v>0</v>
      </c>
      <c r="H99" s="553">
        <f>IF(H23=1,(H95/H93)*H91,0)</f>
        <v>0</v>
      </c>
      <c r="I99" s="553">
        <f t="shared" si="41"/>
        <v>82.937390133996416</v>
      </c>
      <c r="J99" s="553">
        <f t="shared" si="40"/>
        <v>175.28195374394139</v>
      </c>
      <c r="K99" s="553">
        <f t="shared" si="40"/>
        <v>201.2295256298361</v>
      </c>
      <c r="L99" s="553">
        <f t="shared" si="40"/>
        <v>207.91638276651557</v>
      </c>
      <c r="M99" s="553">
        <f t="shared" si="40"/>
        <v>214.82544416584682</v>
      </c>
      <c r="N99" s="553">
        <f t="shared" si="40"/>
        <v>221.96409367547798</v>
      </c>
      <c r="O99" s="553">
        <f t="shared" si="40"/>
        <v>229.33996050831399</v>
      </c>
      <c r="P99" s="553">
        <f t="shared" si="40"/>
        <v>236.96092739600527</v>
      </c>
      <c r="Q99" s="553">
        <f t="shared" si="40"/>
        <v>244.83513901337457</v>
      </c>
      <c r="R99" s="553">
        <f t="shared" si="40"/>
        <v>252.97101068278894</v>
      </c>
      <c r="S99" s="553">
        <f t="shared" si="40"/>
        <v>261.37723736777798</v>
      </c>
      <c r="T99" s="553">
        <f t="shared" si="40"/>
        <v>270.06280296550921</v>
      </c>
      <c r="U99" s="553">
        <f t="shared" si="40"/>
        <v>279.0369899080531</v>
      </c>
      <c r="V99" s="553">
        <f t="shared" si="40"/>
        <v>288.30938908269775</v>
      </c>
      <c r="W99" s="553">
        <f t="shared" si="40"/>
        <v>297.88991008191562</v>
      </c>
      <c r="X99" s="553">
        <f t="shared" si="40"/>
        <v>307.78879179393772</v>
      </c>
      <c r="Y99" s="553"/>
      <c r="Z99" s="553"/>
      <c r="AA99" s="553"/>
      <c r="AB99" s="553"/>
      <c r="AC99" s="814"/>
      <c r="AD99" s="553"/>
    </row>
    <row r="100" spans="2:30" x14ac:dyDescent="0.2">
      <c r="B100" s="702"/>
      <c r="C100" s="552"/>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823"/>
      <c r="AD100" s="557"/>
    </row>
    <row r="101" spans="2:30" x14ac:dyDescent="0.2">
      <c r="B101" s="702"/>
      <c r="C101" s="809" t="s">
        <v>65</v>
      </c>
      <c r="D101" s="558">
        <f t="shared" ref="D101:X101" si="42">$AB$69*D$95*0.001</f>
        <v>0</v>
      </c>
      <c r="E101" s="558">
        <f t="shared" si="42"/>
        <v>0</v>
      </c>
      <c r="F101" s="558">
        <f t="shared" si="42"/>
        <v>0</v>
      </c>
      <c r="G101" s="558">
        <f t="shared" si="42"/>
        <v>0</v>
      </c>
      <c r="H101" s="558">
        <f t="shared" si="42"/>
        <v>0</v>
      </c>
      <c r="I101" s="558">
        <f t="shared" si="42"/>
        <v>1.2935538663789965</v>
      </c>
      <c r="J101" s="558">
        <f t="shared" si="42"/>
        <v>2.73382908005203</v>
      </c>
      <c r="K101" s="558">
        <f t="shared" si="42"/>
        <v>3.1385269115357319</v>
      </c>
      <c r="L101" s="558">
        <f t="shared" si="42"/>
        <v>3.2428201608060641</v>
      </c>
      <c r="M101" s="558">
        <f t="shared" si="42"/>
        <v>3.3505790747496493</v>
      </c>
      <c r="N101" s="558">
        <f t="shared" si="42"/>
        <v>3.4619188174035802</v>
      </c>
      <c r="O101" s="558">
        <f t="shared" si="42"/>
        <v>3.5769583797058995</v>
      </c>
      <c r="P101" s="558">
        <f t="shared" si="42"/>
        <v>3.6958207066635276</v>
      </c>
      <c r="Q101" s="558">
        <f t="shared" si="42"/>
        <v>3.8186328287459554</v>
      </c>
      <c r="R101" s="558">
        <f t="shared" si="42"/>
        <v>3.9455259976451846</v>
      </c>
      <c r="S101" s="558">
        <f t="shared" si="42"/>
        <v>4.0766358265469318</v>
      </c>
      <c r="T101" s="558">
        <f t="shared" si="42"/>
        <v>4.2121024350630867</v>
      </c>
      <c r="U101" s="558">
        <f t="shared" si="42"/>
        <v>4.3520705989802337</v>
      </c>
      <c r="V101" s="558">
        <f t="shared" si="42"/>
        <v>4.4966899049843461</v>
      </c>
      <c r="W101" s="558">
        <f t="shared" si="42"/>
        <v>4.6461149105269737</v>
      </c>
      <c r="X101" s="558">
        <f t="shared" si="42"/>
        <v>4.8005053090037864</v>
      </c>
      <c r="Y101" s="558"/>
      <c r="Z101" s="558"/>
      <c r="AA101" s="558"/>
      <c r="AB101" s="558"/>
      <c r="AC101" s="808"/>
      <c r="AD101" s="558"/>
    </row>
    <row r="102" spans="2:30" ht="13.5" thickBot="1" x14ac:dyDescent="0.25">
      <c r="C102" s="540"/>
      <c r="D102" s="724"/>
      <c r="E102" s="724"/>
      <c r="F102" s="724"/>
      <c r="G102" s="724"/>
      <c r="H102" s="749"/>
      <c r="I102" s="749" t="str">
        <f>IF(I96=0," ",I96)</f>
        <v xml:space="preserve"> </v>
      </c>
      <c r="J102" s="749" t="str">
        <f t="shared" ref="J102:X102" si="43">IF(J96=0," ",J96)</f>
        <v xml:space="preserve"> </v>
      </c>
      <c r="K102" s="749" t="str">
        <f t="shared" si="43"/>
        <v xml:space="preserve"> </v>
      </c>
      <c r="L102" s="749" t="str">
        <f t="shared" si="43"/>
        <v xml:space="preserve"> </v>
      </c>
      <c r="M102" s="749" t="str">
        <f t="shared" si="43"/>
        <v xml:space="preserve"> </v>
      </c>
      <c r="N102" s="749" t="str">
        <f t="shared" si="43"/>
        <v xml:space="preserve"> </v>
      </c>
      <c r="O102" s="749" t="str">
        <f t="shared" si="43"/>
        <v xml:space="preserve"> </v>
      </c>
      <c r="P102" s="749" t="str">
        <f t="shared" si="43"/>
        <v xml:space="preserve"> </v>
      </c>
      <c r="Q102" s="749" t="str">
        <f t="shared" si="43"/>
        <v xml:space="preserve"> </v>
      </c>
      <c r="R102" s="749" t="str">
        <f t="shared" si="43"/>
        <v xml:space="preserve"> </v>
      </c>
      <c r="S102" s="749" t="str">
        <f t="shared" si="43"/>
        <v xml:space="preserve"> </v>
      </c>
      <c r="T102" s="749" t="str">
        <f t="shared" si="43"/>
        <v xml:space="preserve"> </v>
      </c>
      <c r="U102" s="749" t="str">
        <f t="shared" si="43"/>
        <v xml:space="preserve"> </v>
      </c>
      <c r="V102" s="749" t="str">
        <f t="shared" si="43"/>
        <v xml:space="preserve"> </v>
      </c>
      <c r="W102" s="749" t="str">
        <f t="shared" si="43"/>
        <v xml:space="preserve"> </v>
      </c>
      <c r="X102" s="749" t="str">
        <f t="shared" si="43"/>
        <v xml:space="preserve"> </v>
      </c>
      <c r="Y102" s="749"/>
      <c r="Z102" s="749"/>
      <c r="AA102" s="749"/>
      <c r="AB102" s="749"/>
      <c r="AC102" s="824"/>
      <c r="AD102" s="246"/>
    </row>
    <row r="103" spans="2:30" ht="13.5" thickBot="1" x14ac:dyDescent="0.25">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row>
    <row r="104" spans="2:30" s="543" customFormat="1" x14ac:dyDescent="0.2">
      <c r="C104" s="560"/>
      <c r="D104" s="752">
        <f>IF(D115=$D113,1,0)</f>
        <v>0</v>
      </c>
      <c r="E104" s="752">
        <f>IF(E115=$D113,1,0)</f>
        <v>0</v>
      </c>
      <c r="F104" s="752">
        <f>IF(F115=$D113,1,0)</f>
        <v>0</v>
      </c>
      <c r="G104" s="753" t="s">
        <v>140</v>
      </c>
      <c r="H104" s="754" t="str">
        <f t="shared" ref="H104:X104" si="44">IF(H115=$D113,H22," ")</f>
        <v xml:space="preserve"> </v>
      </c>
      <c r="I104" s="754" t="str">
        <f t="shared" si="44"/>
        <v xml:space="preserve"> </v>
      </c>
      <c r="J104" s="754" t="str">
        <f t="shared" si="44"/>
        <v xml:space="preserve"> </v>
      </c>
      <c r="K104" s="754" t="str">
        <f t="shared" si="44"/>
        <v xml:space="preserve"> </v>
      </c>
      <c r="L104" s="754" t="str">
        <f t="shared" si="44"/>
        <v xml:space="preserve"> </v>
      </c>
      <c r="M104" s="754" t="str">
        <f t="shared" si="44"/>
        <v xml:space="preserve"> </v>
      </c>
      <c r="N104" s="754" t="str">
        <f t="shared" si="44"/>
        <v xml:space="preserve"> </v>
      </c>
      <c r="O104" s="754" t="str">
        <f t="shared" si="44"/>
        <v xml:space="preserve"> </v>
      </c>
      <c r="P104" s="754" t="str">
        <f t="shared" si="44"/>
        <v xml:space="preserve"> </v>
      </c>
      <c r="Q104" s="755" t="str">
        <f t="shared" si="44"/>
        <v xml:space="preserve"> </v>
      </c>
      <c r="R104" s="755" t="str">
        <f t="shared" si="44"/>
        <v xml:space="preserve"> </v>
      </c>
      <c r="S104" s="755" t="str">
        <f t="shared" si="44"/>
        <v xml:space="preserve"> </v>
      </c>
      <c r="T104" s="755" t="str">
        <f t="shared" si="44"/>
        <v xml:space="preserve"> </v>
      </c>
      <c r="U104" s="755" t="str">
        <f t="shared" si="44"/>
        <v xml:space="preserve"> </v>
      </c>
      <c r="V104" s="755" t="str">
        <f t="shared" si="44"/>
        <v xml:space="preserve"> </v>
      </c>
      <c r="W104" s="755" t="str">
        <f t="shared" si="44"/>
        <v xml:space="preserve"> </v>
      </c>
      <c r="X104" s="755" t="str">
        <f t="shared" si="44"/>
        <v xml:space="preserve"> </v>
      </c>
      <c r="Y104" s="532"/>
      <c r="Z104" s="542"/>
      <c r="AA104" s="542"/>
      <c r="AB104" s="542"/>
      <c r="AC104" s="542"/>
    </row>
    <row r="105" spans="2:30" s="543" customFormat="1"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30" s="543" customFormat="1" x14ac:dyDescent="0.2">
      <c r="C106" s="727"/>
      <c r="D106" s="111">
        <v>2008</v>
      </c>
      <c r="E106" s="111">
        <v>2009</v>
      </c>
      <c r="F106" s="111">
        <f>E106+1</f>
        <v>2010</v>
      </c>
      <c r="G106" s="111">
        <f>F106+1</f>
        <v>2011</v>
      </c>
      <c r="H106" s="111">
        <f>G106+1</f>
        <v>2012</v>
      </c>
      <c r="I106" s="111">
        <f>H106+1</f>
        <v>2013</v>
      </c>
      <c r="J106" s="111">
        <f t="shared" ref="J106:X106" si="45">I106+1</f>
        <v>2014</v>
      </c>
      <c r="K106" s="111">
        <f t="shared" si="45"/>
        <v>2015</v>
      </c>
      <c r="L106" s="111">
        <f t="shared" si="45"/>
        <v>2016</v>
      </c>
      <c r="M106" s="111">
        <f t="shared" si="45"/>
        <v>2017</v>
      </c>
      <c r="N106" s="111">
        <f t="shared" si="45"/>
        <v>2018</v>
      </c>
      <c r="O106" s="111">
        <f t="shared" si="45"/>
        <v>2019</v>
      </c>
      <c r="P106" s="111">
        <f t="shared" si="45"/>
        <v>2020</v>
      </c>
      <c r="Q106" s="111">
        <f t="shared" si="45"/>
        <v>2021</v>
      </c>
      <c r="R106" s="111">
        <f t="shared" si="45"/>
        <v>2022</v>
      </c>
      <c r="S106" s="111">
        <f t="shared" si="45"/>
        <v>2023</v>
      </c>
      <c r="T106" s="111">
        <f t="shared" si="45"/>
        <v>2024</v>
      </c>
      <c r="U106" s="111">
        <f t="shared" si="45"/>
        <v>2025</v>
      </c>
      <c r="V106" s="111">
        <f t="shared" si="45"/>
        <v>2026</v>
      </c>
      <c r="W106" s="111">
        <f t="shared" si="45"/>
        <v>2027</v>
      </c>
      <c r="X106" s="111">
        <f t="shared" si="45"/>
        <v>2028</v>
      </c>
      <c r="Y106" s="549"/>
      <c r="Z106" s="542"/>
      <c r="AA106" s="542"/>
      <c r="AB106" s="542"/>
      <c r="AC106" s="542"/>
    </row>
    <row r="107" spans="2:30" s="543" customFormat="1" x14ac:dyDescent="0.2">
      <c r="C107" s="727"/>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549"/>
      <c r="Z107" s="542"/>
      <c r="AA107" s="542"/>
      <c r="AB107" s="542"/>
      <c r="AC107" s="542"/>
    </row>
    <row r="108" spans="2:30" x14ac:dyDescent="0.2">
      <c r="C108" s="721" t="s">
        <v>67</v>
      </c>
      <c r="D108" s="810">
        <v>5</v>
      </c>
      <c r="E108" s="710">
        <f t="shared" ref="E108:X108" si="46">IF(E$23=1,$D108*$AC69,0)</f>
        <v>0</v>
      </c>
      <c r="F108" s="710">
        <f t="shared" si="46"/>
        <v>0</v>
      </c>
      <c r="G108" s="710">
        <f t="shared" si="46"/>
        <v>0</v>
      </c>
      <c r="H108" s="710">
        <f t="shared" si="46"/>
        <v>0</v>
      </c>
      <c r="I108" s="710">
        <f t="shared" si="46"/>
        <v>5</v>
      </c>
      <c r="J108" s="710">
        <f t="shared" si="46"/>
        <v>5</v>
      </c>
      <c r="K108" s="710">
        <f t="shared" si="46"/>
        <v>5</v>
      </c>
      <c r="L108" s="710">
        <f t="shared" si="46"/>
        <v>5</v>
      </c>
      <c r="M108" s="710">
        <f t="shared" si="46"/>
        <v>5</v>
      </c>
      <c r="N108" s="710">
        <f t="shared" si="46"/>
        <v>5</v>
      </c>
      <c r="O108" s="710">
        <f t="shared" si="46"/>
        <v>5</v>
      </c>
      <c r="P108" s="710">
        <f t="shared" si="46"/>
        <v>5</v>
      </c>
      <c r="Q108" s="710">
        <f t="shared" si="46"/>
        <v>5</v>
      </c>
      <c r="R108" s="710">
        <f t="shared" si="46"/>
        <v>5</v>
      </c>
      <c r="S108" s="710">
        <f t="shared" si="46"/>
        <v>5</v>
      </c>
      <c r="T108" s="710">
        <f t="shared" si="46"/>
        <v>5</v>
      </c>
      <c r="U108" s="710">
        <f t="shared" si="46"/>
        <v>5</v>
      </c>
      <c r="V108" s="710">
        <f t="shared" si="46"/>
        <v>5</v>
      </c>
      <c r="W108" s="710">
        <f t="shared" si="46"/>
        <v>5</v>
      </c>
      <c r="X108" s="710">
        <f t="shared" si="46"/>
        <v>5</v>
      </c>
      <c r="Y108" s="696"/>
      <c r="Z108" s="710"/>
      <c r="AA108" s="710"/>
      <c r="AB108" s="710"/>
      <c r="AC108" s="710"/>
      <c r="AD108" s="710"/>
    </row>
    <row r="109" spans="2:30" x14ac:dyDescent="0.2">
      <c r="B109" s="543">
        <f>B152</f>
        <v>1</v>
      </c>
      <c r="C109" s="721" t="s">
        <v>69</v>
      </c>
      <c r="D109" s="722">
        <f>D108*0.85*Assumptions!C57*8.76*$AC69</f>
        <v>20.476500000000001</v>
      </c>
      <c r="E109" s="722">
        <f>D109</f>
        <v>20.476500000000001</v>
      </c>
      <c r="F109" s="722">
        <f t="shared" ref="F109:X109" si="47">E109</f>
        <v>20.476500000000001</v>
      </c>
      <c r="G109" s="722">
        <f t="shared" si="47"/>
        <v>20.476500000000001</v>
      </c>
      <c r="H109" s="722">
        <f t="shared" si="47"/>
        <v>20.476500000000001</v>
      </c>
      <c r="I109" s="722">
        <f t="shared" si="47"/>
        <v>20.476500000000001</v>
      </c>
      <c r="J109" s="722">
        <f t="shared" si="47"/>
        <v>20.476500000000001</v>
      </c>
      <c r="K109" s="722">
        <f t="shared" si="47"/>
        <v>20.476500000000001</v>
      </c>
      <c r="L109" s="722">
        <f t="shared" si="47"/>
        <v>20.476500000000001</v>
      </c>
      <c r="M109" s="722">
        <f t="shared" si="47"/>
        <v>20.476500000000001</v>
      </c>
      <c r="N109" s="722">
        <f t="shared" si="47"/>
        <v>20.476500000000001</v>
      </c>
      <c r="O109" s="722">
        <f t="shared" si="47"/>
        <v>20.476500000000001</v>
      </c>
      <c r="P109" s="722">
        <f t="shared" si="47"/>
        <v>20.476500000000001</v>
      </c>
      <c r="Q109" s="722">
        <f t="shared" si="47"/>
        <v>20.476500000000001</v>
      </c>
      <c r="R109" s="722">
        <f t="shared" si="47"/>
        <v>20.476500000000001</v>
      </c>
      <c r="S109" s="722">
        <f t="shared" si="47"/>
        <v>20.476500000000001</v>
      </c>
      <c r="T109" s="722">
        <f t="shared" si="47"/>
        <v>20.476500000000001</v>
      </c>
      <c r="U109" s="722">
        <f t="shared" si="47"/>
        <v>20.476500000000001</v>
      </c>
      <c r="V109" s="722">
        <f t="shared" si="47"/>
        <v>20.476500000000001</v>
      </c>
      <c r="W109" s="722">
        <f t="shared" si="47"/>
        <v>20.476500000000001</v>
      </c>
      <c r="X109" s="722">
        <f t="shared" si="47"/>
        <v>20.476500000000001</v>
      </c>
      <c r="Y109" s="825"/>
      <c r="Z109" s="722"/>
      <c r="AA109" s="722"/>
      <c r="AB109" s="722"/>
      <c r="AC109" s="722"/>
      <c r="AD109" s="722"/>
    </row>
    <row r="110" spans="2:30" x14ac:dyDescent="0.2">
      <c r="B110" s="543">
        <f>B153</f>
        <v>2</v>
      </c>
      <c r="C110" s="721" t="s">
        <v>68</v>
      </c>
      <c r="D110" s="810">
        <v>6.5</v>
      </c>
      <c r="E110" s="710">
        <f t="shared" ref="E110:X110" si="48">IF(E$23=1,$D110,0)</f>
        <v>0</v>
      </c>
      <c r="F110" s="710">
        <f t="shared" si="48"/>
        <v>0</v>
      </c>
      <c r="G110" s="710">
        <f t="shared" si="48"/>
        <v>0</v>
      </c>
      <c r="H110" s="710">
        <f t="shared" si="48"/>
        <v>0</v>
      </c>
      <c r="I110" s="710">
        <f t="shared" si="48"/>
        <v>6.5</v>
      </c>
      <c r="J110" s="710">
        <f t="shared" si="48"/>
        <v>6.5</v>
      </c>
      <c r="K110" s="710">
        <f t="shared" si="48"/>
        <v>6.5</v>
      </c>
      <c r="L110" s="710">
        <f t="shared" si="48"/>
        <v>6.5</v>
      </c>
      <c r="M110" s="710">
        <f t="shared" si="48"/>
        <v>6.5</v>
      </c>
      <c r="N110" s="710">
        <f t="shared" si="48"/>
        <v>6.5</v>
      </c>
      <c r="O110" s="710">
        <f t="shared" si="48"/>
        <v>6.5</v>
      </c>
      <c r="P110" s="710">
        <f t="shared" si="48"/>
        <v>6.5</v>
      </c>
      <c r="Q110" s="710">
        <f t="shared" si="48"/>
        <v>6.5</v>
      </c>
      <c r="R110" s="710">
        <f t="shared" si="48"/>
        <v>6.5</v>
      </c>
      <c r="S110" s="710">
        <f t="shared" si="48"/>
        <v>6.5</v>
      </c>
      <c r="T110" s="710">
        <f t="shared" si="48"/>
        <v>6.5</v>
      </c>
      <c r="U110" s="710">
        <f t="shared" si="48"/>
        <v>6.5</v>
      </c>
      <c r="V110" s="710">
        <f t="shared" si="48"/>
        <v>6.5</v>
      </c>
      <c r="W110" s="710">
        <f t="shared" si="48"/>
        <v>6.5</v>
      </c>
      <c r="X110" s="710">
        <f t="shared" si="48"/>
        <v>6.5</v>
      </c>
      <c r="Y110" s="696"/>
      <c r="Z110" s="710"/>
      <c r="AA110" s="710"/>
      <c r="AB110" s="710"/>
      <c r="AC110" s="710"/>
      <c r="AD110" s="710"/>
    </row>
    <row r="111" spans="2:30" x14ac:dyDescent="0.2">
      <c r="B111" s="543">
        <f>B154</f>
        <v>3</v>
      </c>
      <c r="C111" s="721" t="s">
        <v>72</v>
      </c>
      <c r="D111" s="722">
        <f>(D110*0.58*8760*0.001)+D109</f>
        <v>53.5017</v>
      </c>
      <c r="E111" s="710"/>
      <c r="F111" s="710"/>
      <c r="G111" s="710"/>
      <c r="H111" s="710"/>
      <c r="I111" s="710"/>
      <c r="J111" s="710"/>
      <c r="K111" s="710"/>
      <c r="L111" s="710"/>
      <c r="M111" s="710"/>
      <c r="N111" s="710"/>
      <c r="O111" s="710"/>
      <c r="P111" s="710"/>
      <c r="Q111" s="710"/>
      <c r="R111" s="710"/>
      <c r="S111" s="710"/>
      <c r="T111" s="710"/>
      <c r="U111" s="710"/>
      <c r="V111" s="710"/>
      <c r="W111" s="710"/>
      <c r="X111" s="710"/>
      <c r="Y111" s="696"/>
      <c r="Z111" s="710"/>
      <c r="AA111" s="710"/>
      <c r="AB111" s="710"/>
      <c r="AC111" s="710"/>
      <c r="AD111" s="710"/>
    </row>
    <row r="112" spans="2:30" x14ac:dyDescent="0.2">
      <c r="B112" s="543"/>
      <c r="C112" s="721" t="s">
        <v>33</v>
      </c>
      <c r="D112" s="710"/>
      <c r="E112" s="710"/>
      <c r="F112" s="710"/>
      <c r="G112" s="710"/>
      <c r="H112" s="538">
        <f>IF(AC69=1,Assumptions!F36,0)</f>
        <v>42922</v>
      </c>
      <c r="I112" s="538">
        <f>IF(I104=" ",H112*(1+Assumptions!$C$56),H112)</f>
        <v>43909.205999999998</v>
      </c>
      <c r="J112" s="538">
        <f>IF(J104=" ",I112*(1+Assumptions!$C$56),I112)</f>
        <v>44919.117737999994</v>
      </c>
      <c r="K112" s="538">
        <f>IF(K104=" ",J112*(1+Assumptions!$C$56),J112)</f>
        <v>45952.257445973992</v>
      </c>
      <c r="L112" s="538">
        <f>IF(L104=" ",K112*(1+Assumptions!$C$56),K112)</f>
        <v>47009.15936723139</v>
      </c>
      <c r="M112" s="538">
        <f>IF(M104=" ",L112*(1+Assumptions!$C$56),L112)</f>
        <v>48090.370032677711</v>
      </c>
      <c r="N112" s="538">
        <f>IF(N104=" ",M112*(1+Assumptions!$C$56),M112)</f>
        <v>49196.448543429295</v>
      </c>
      <c r="O112" s="538">
        <f>IF(O104=" ",N112*(1+Assumptions!$C$56),N112)</f>
        <v>50327.966859928165</v>
      </c>
      <c r="P112" s="538">
        <f>IF(P104=" ",O112*(1+Assumptions!$C$56),O112)</f>
        <v>51485.510097706509</v>
      </c>
      <c r="Q112" s="538">
        <f>IF(Q104=" ",P112*(1+Assumptions!$C$56),P112)</f>
        <v>52669.676829953751</v>
      </c>
      <c r="R112" s="538">
        <f>IF(R104=" ",Q112*(1+Assumptions!$C$56),Q112)</f>
        <v>53881.079397042682</v>
      </c>
      <c r="S112" s="538">
        <f>IF(S104=" ",R112*(1+Assumptions!$C$56),R112)</f>
        <v>55120.344223174659</v>
      </c>
      <c r="T112" s="538">
        <f>IF(T104=" ",S112*(1+Assumptions!$C$56),S112)</f>
        <v>56388.112140307669</v>
      </c>
      <c r="U112" s="538">
        <f>IF(U104=" ",T112*(1+Assumptions!$C$56),T112)</f>
        <v>57685.038719534743</v>
      </c>
      <c r="V112" s="538">
        <f>IF(V104=" ",U112*(1+Assumptions!$C$56),U112)</f>
        <v>59011.794610084035</v>
      </c>
      <c r="W112" s="538">
        <f>IF(W104=" ",V112*(1+Assumptions!$C$56),V112)</f>
        <v>60369.065886115961</v>
      </c>
      <c r="X112" s="538">
        <f>IF(X104=" ",W112*(1+Assumptions!$C$56),W112)</f>
        <v>61757.554401496622</v>
      </c>
      <c r="Y112" s="826"/>
      <c r="Z112" s="538"/>
      <c r="AA112" s="538"/>
      <c r="AB112" s="538"/>
      <c r="AC112" s="538"/>
      <c r="AD112" s="538"/>
    </row>
    <row r="113" spans="2:31" x14ac:dyDescent="0.2">
      <c r="B113" s="543">
        <f>B155</f>
        <v>4</v>
      </c>
      <c r="C113" s="721" t="s">
        <v>96</v>
      </c>
      <c r="D113" s="722">
        <f>D110*Assumptions!C57*8760*0.001</f>
        <v>31.317</v>
      </c>
      <c r="E113" s="722">
        <f t="shared" ref="E113:X113" si="49">IF(E$23=0,D113,MIN((D113*(1+ss_growth)),$D111))</f>
        <v>31.317</v>
      </c>
      <c r="F113" s="722">
        <f t="shared" si="49"/>
        <v>31.317</v>
      </c>
      <c r="G113" s="722">
        <f t="shared" si="49"/>
        <v>31.317</v>
      </c>
      <c r="H113" s="722">
        <f t="shared" si="49"/>
        <v>31.317</v>
      </c>
      <c r="I113" s="722">
        <f t="shared" si="49"/>
        <v>31.63017</v>
      </c>
      <c r="J113" s="722">
        <f t="shared" si="49"/>
        <v>31.9464717</v>
      </c>
      <c r="K113" s="722">
        <f t="shared" si="49"/>
        <v>32.265936416999999</v>
      </c>
      <c r="L113" s="722">
        <f t="shared" si="49"/>
        <v>32.58859578117</v>
      </c>
      <c r="M113" s="722">
        <f t="shared" si="49"/>
        <v>32.914481738981699</v>
      </c>
      <c r="N113" s="722">
        <f t="shared" si="49"/>
        <v>33.243626556371517</v>
      </c>
      <c r="O113" s="722">
        <f t="shared" si="49"/>
        <v>33.576062821935231</v>
      </c>
      <c r="P113" s="722">
        <f t="shared" si="49"/>
        <v>33.911823450154586</v>
      </c>
      <c r="Q113" s="722">
        <f t="shared" si="49"/>
        <v>34.250941684656134</v>
      </c>
      <c r="R113" s="722">
        <f t="shared" si="49"/>
        <v>34.593451101502694</v>
      </c>
      <c r="S113" s="722">
        <f t="shared" si="49"/>
        <v>34.939385612517718</v>
      </c>
      <c r="T113" s="722">
        <f t="shared" si="49"/>
        <v>35.288779468642893</v>
      </c>
      <c r="U113" s="722">
        <f t="shared" si="49"/>
        <v>35.641667263329325</v>
      </c>
      <c r="V113" s="722">
        <f t="shared" si="49"/>
        <v>35.998083935962619</v>
      </c>
      <c r="W113" s="722">
        <f t="shared" si="49"/>
        <v>36.358064775322248</v>
      </c>
      <c r="X113" s="722">
        <f t="shared" si="49"/>
        <v>36.721645423075472</v>
      </c>
      <c r="Y113" s="825"/>
      <c r="Z113" s="722"/>
      <c r="AA113" s="722"/>
      <c r="AB113" s="722"/>
      <c r="AC113" s="722"/>
      <c r="AD113" s="722"/>
    </row>
    <row r="114" spans="2:31" x14ac:dyDescent="0.2">
      <c r="B114" s="543"/>
      <c r="C114" s="721" t="s">
        <v>66</v>
      </c>
      <c r="D114" s="710">
        <v>0</v>
      </c>
      <c r="E114" s="710">
        <f t="shared" ref="E114:X114" si="50">E113-$D113</f>
        <v>0</v>
      </c>
      <c r="F114" s="710">
        <f t="shared" si="50"/>
        <v>0</v>
      </c>
      <c r="G114" s="710">
        <f t="shared" si="50"/>
        <v>0</v>
      </c>
      <c r="H114" s="710">
        <f t="shared" si="50"/>
        <v>0</v>
      </c>
      <c r="I114" s="710">
        <f t="shared" si="50"/>
        <v>0.3131699999999995</v>
      </c>
      <c r="J114" s="710">
        <f t="shared" si="50"/>
        <v>0.62947169999999986</v>
      </c>
      <c r="K114" s="710">
        <f t="shared" si="50"/>
        <v>0.94893641699999876</v>
      </c>
      <c r="L114" s="710">
        <f t="shared" si="50"/>
        <v>1.2715957811699994</v>
      </c>
      <c r="M114" s="710">
        <f t="shared" si="50"/>
        <v>1.5974817389816991</v>
      </c>
      <c r="N114" s="710">
        <f t="shared" si="50"/>
        <v>1.9266265563715166</v>
      </c>
      <c r="O114" s="710">
        <f t="shared" si="50"/>
        <v>2.2590628219352311</v>
      </c>
      <c r="P114" s="710">
        <f t="shared" si="50"/>
        <v>2.5948234501545855</v>
      </c>
      <c r="Q114" s="710">
        <f t="shared" si="50"/>
        <v>2.9339416846561335</v>
      </c>
      <c r="R114" s="710">
        <f t="shared" si="50"/>
        <v>3.276451101502694</v>
      </c>
      <c r="S114" s="710">
        <f t="shared" si="50"/>
        <v>3.6223856125177178</v>
      </c>
      <c r="T114" s="710">
        <f t="shared" si="50"/>
        <v>3.9717794686428931</v>
      </c>
      <c r="U114" s="710">
        <f t="shared" si="50"/>
        <v>4.3246672633293244</v>
      </c>
      <c r="V114" s="710">
        <f t="shared" si="50"/>
        <v>4.6810839359626186</v>
      </c>
      <c r="W114" s="710">
        <f t="shared" si="50"/>
        <v>5.0410647753222477</v>
      </c>
      <c r="X114" s="710">
        <f t="shared" si="50"/>
        <v>5.4046454230754719</v>
      </c>
      <c r="Y114" s="696"/>
      <c r="Z114" s="710"/>
      <c r="AA114" s="710"/>
      <c r="AB114" s="710"/>
      <c r="AC114" s="710"/>
      <c r="AD114" s="710"/>
    </row>
    <row r="115" spans="2:31" x14ac:dyDescent="0.2">
      <c r="B115" s="543">
        <f>B156</f>
        <v>5</v>
      </c>
      <c r="C115" s="721" t="s">
        <v>80</v>
      </c>
      <c r="D115" s="710">
        <f>SUM(D114:D114)-(SUM(D114:D114)*(1-D51))</f>
        <v>0</v>
      </c>
      <c r="E115" s="710">
        <f>IF(E23=0,0,SUM(E114:E114))</f>
        <v>0</v>
      </c>
      <c r="F115" s="710">
        <f t="shared" ref="F115:X115" si="51">IF(F23=0,0,((SUM(F114:F114)*(1-F51))))</f>
        <v>0</v>
      </c>
      <c r="G115" s="710">
        <f t="shared" si="51"/>
        <v>0</v>
      </c>
      <c r="H115" s="710">
        <f t="shared" si="51"/>
        <v>0</v>
      </c>
      <c r="I115" s="710">
        <f t="shared" si="51"/>
        <v>0.3131699999999995</v>
      </c>
      <c r="J115" s="710">
        <f t="shared" si="51"/>
        <v>0.62947169999999986</v>
      </c>
      <c r="K115" s="710">
        <f t="shared" si="51"/>
        <v>0.94893641699999876</v>
      </c>
      <c r="L115" s="710">
        <f t="shared" si="51"/>
        <v>1.2715957811699994</v>
      </c>
      <c r="M115" s="710">
        <f t="shared" si="51"/>
        <v>1.5974817389816991</v>
      </c>
      <c r="N115" s="710">
        <f t="shared" si="51"/>
        <v>1.9266265563715166</v>
      </c>
      <c r="O115" s="710">
        <f t="shared" si="51"/>
        <v>2.2590628219352311</v>
      </c>
      <c r="P115" s="710">
        <f t="shared" si="51"/>
        <v>2.5948234501545855</v>
      </c>
      <c r="Q115" s="710">
        <f t="shared" si="51"/>
        <v>2.9339416846561335</v>
      </c>
      <c r="R115" s="710">
        <f t="shared" si="51"/>
        <v>3.276451101502694</v>
      </c>
      <c r="S115" s="710">
        <f t="shared" si="51"/>
        <v>3.6223856125177178</v>
      </c>
      <c r="T115" s="710">
        <f t="shared" si="51"/>
        <v>3.9717794686428931</v>
      </c>
      <c r="U115" s="710">
        <f t="shared" si="51"/>
        <v>4.3246672633293244</v>
      </c>
      <c r="V115" s="710">
        <f t="shared" si="51"/>
        <v>4.6810839359626186</v>
      </c>
      <c r="W115" s="710">
        <f t="shared" si="51"/>
        <v>5.0410647753222477</v>
      </c>
      <c r="X115" s="710">
        <f t="shared" si="51"/>
        <v>5.4046454230754719</v>
      </c>
      <c r="Y115" s="696"/>
      <c r="Z115" s="710"/>
      <c r="AA115" s="710"/>
      <c r="AB115" s="710"/>
      <c r="AC115" s="710"/>
      <c r="AD115" s="710"/>
    </row>
    <row r="116" spans="2:31" x14ac:dyDescent="0.2">
      <c r="C116" s="552" t="s">
        <v>558</v>
      </c>
      <c r="D116" s="710">
        <f>D115*Assumptions!$C$75</f>
        <v>0</v>
      </c>
      <c r="E116" s="710">
        <f>E115*Assumptions!$C$75</f>
        <v>0</v>
      </c>
      <c r="F116" s="710">
        <f>F115*Assumptions!$C$75</f>
        <v>0</v>
      </c>
      <c r="G116" s="710">
        <f>G115*Assumptions!$C$75</f>
        <v>0</v>
      </c>
      <c r="H116" s="710">
        <f>H115*Assumptions!$C$75</f>
        <v>0</v>
      </c>
      <c r="I116" s="710">
        <f>I115*Assumptions!$C$75</f>
        <v>3.7580399999999942E-3</v>
      </c>
      <c r="J116" s="710">
        <f>J115*Assumptions!$C$75</f>
        <v>7.5536603999999986E-3</v>
      </c>
      <c r="K116" s="710">
        <f>K115*Assumptions!$C$75</f>
        <v>1.1387237003999986E-2</v>
      </c>
      <c r="L116" s="710">
        <f>L115*Assumptions!$C$75</f>
        <v>1.5259149374039993E-2</v>
      </c>
      <c r="M116" s="710">
        <f>M115*Assumptions!$C$75</f>
        <v>1.916978086778039E-2</v>
      </c>
      <c r="N116" s="710">
        <f>N115*Assumptions!$C$75</f>
        <v>2.3119518676458201E-2</v>
      </c>
      <c r="O116" s="710">
        <f>O115*Assumptions!$C$75</f>
        <v>2.7108753863222774E-2</v>
      </c>
      <c r="P116" s="710">
        <f>P115*Assumptions!$C$75</f>
        <v>3.1137881401855028E-2</v>
      </c>
      <c r="Q116" s="710">
        <f>Q115*Assumptions!$C$75</f>
        <v>3.5207300215873601E-2</v>
      </c>
      <c r="R116" s="710">
        <f>R115*Assumptions!$C$75</f>
        <v>3.9317413218032331E-2</v>
      </c>
      <c r="S116" s="710">
        <f>S115*Assumptions!$C$75</f>
        <v>4.3468627350212612E-2</v>
      </c>
      <c r="T116" s="710">
        <f>T115*Assumptions!$C$75</f>
        <v>4.7661353623714715E-2</v>
      </c>
      <c r="U116" s="710">
        <f>U115*Assumptions!$C$75</f>
        <v>5.1896007159951893E-2</v>
      </c>
      <c r="V116" s="710">
        <f>V115*Assumptions!$C$75</f>
        <v>5.6173007231551428E-2</v>
      </c>
      <c r="W116" s="710">
        <f>W115*Assumptions!$C$75</f>
        <v>6.0492777303866971E-2</v>
      </c>
      <c r="X116" s="710">
        <f>X115*Assumptions!$C$75</f>
        <v>6.4855745076905669E-2</v>
      </c>
      <c r="Y116" s="696"/>
      <c r="Z116" s="710"/>
      <c r="AA116" s="710"/>
      <c r="AB116" s="710"/>
      <c r="AC116" s="710"/>
      <c r="AD116" s="710"/>
    </row>
    <row r="117" spans="2:31" x14ac:dyDescent="0.2">
      <c r="C117" s="721" t="s">
        <v>81</v>
      </c>
      <c r="D117" s="710">
        <f>D101</f>
        <v>0</v>
      </c>
      <c r="E117" s="710">
        <f>E101</f>
        <v>0</v>
      </c>
      <c r="F117" s="710">
        <f>F101</f>
        <v>0</v>
      </c>
      <c r="G117" s="710">
        <f>G101</f>
        <v>0</v>
      </c>
      <c r="H117" s="710">
        <f>H101</f>
        <v>0</v>
      </c>
      <c r="I117" s="710">
        <f t="shared" ref="I117:X117" si="52">I101</f>
        <v>1.2935538663789965</v>
      </c>
      <c r="J117" s="710">
        <f t="shared" si="52"/>
        <v>2.73382908005203</v>
      </c>
      <c r="K117" s="710">
        <f t="shared" si="52"/>
        <v>3.1385269115357319</v>
      </c>
      <c r="L117" s="710">
        <f t="shared" si="52"/>
        <v>3.2428201608060641</v>
      </c>
      <c r="M117" s="710">
        <f t="shared" si="52"/>
        <v>3.3505790747496493</v>
      </c>
      <c r="N117" s="710">
        <f t="shared" si="52"/>
        <v>3.4619188174035802</v>
      </c>
      <c r="O117" s="710">
        <f t="shared" si="52"/>
        <v>3.5769583797058995</v>
      </c>
      <c r="P117" s="710">
        <f t="shared" si="52"/>
        <v>3.6958207066635276</v>
      </c>
      <c r="Q117" s="710">
        <f t="shared" si="52"/>
        <v>3.8186328287459554</v>
      </c>
      <c r="R117" s="710">
        <f t="shared" si="52"/>
        <v>3.9455259976451846</v>
      </c>
      <c r="S117" s="710">
        <f t="shared" si="52"/>
        <v>4.0766358265469318</v>
      </c>
      <c r="T117" s="710">
        <f t="shared" si="52"/>
        <v>4.2121024350630867</v>
      </c>
      <c r="U117" s="710">
        <f t="shared" si="52"/>
        <v>4.3520705989802337</v>
      </c>
      <c r="V117" s="710">
        <f t="shared" si="52"/>
        <v>4.4966899049843461</v>
      </c>
      <c r="W117" s="710">
        <f t="shared" si="52"/>
        <v>4.6461149105269737</v>
      </c>
      <c r="X117" s="710">
        <f t="shared" si="52"/>
        <v>4.8005053090037864</v>
      </c>
      <c r="Y117" s="696"/>
      <c r="Z117" s="710"/>
      <c r="AA117" s="710"/>
      <c r="AB117" s="710"/>
      <c r="AC117" s="710"/>
      <c r="AD117" s="710"/>
    </row>
    <row r="118" spans="2:31" x14ac:dyDescent="0.2">
      <c r="C118" s="723" t="s">
        <v>82</v>
      </c>
      <c r="D118" s="710">
        <f>SUM(D117+D115)</f>
        <v>0</v>
      </c>
      <c r="E118" s="710">
        <f>SUM(E117+E115)</f>
        <v>0</v>
      </c>
      <c r="F118" s="710">
        <f>SUM(F117+F115)</f>
        <v>0</v>
      </c>
      <c r="G118" s="710">
        <f>SUM(G117+G115)</f>
        <v>0</v>
      </c>
      <c r="H118" s="710">
        <f>SUM(H117+H114)</f>
        <v>0</v>
      </c>
      <c r="I118" s="710">
        <f>SUM(I117+I114)</f>
        <v>1.606723866378996</v>
      </c>
      <c r="J118" s="710">
        <f>SUM(J117+J114)</f>
        <v>3.3633007800520298</v>
      </c>
      <c r="K118" s="710">
        <f t="shared" ref="K118:X118" si="53">SUM(K117+K114)</f>
        <v>4.0874633285357307</v>
      </c>
      <c r="L118" s="710">
        <f t="shared" si="53"/>
        <v>4.514415941976063</v>
      </c>
      <c r="M118" s="710">
        <f t="shared" si="53"/>
        <v>4.9480608137313489</v>
      </c>
      <c r="N118" s="710">
        <f t="shared" si="53"/>
        <v>5.3885453737750968</v>
      </c>
      <c r="O118" s="710">
        <f t="shared" si="53"/>
        <v>5.836021201641131</v>
      </c>
      <c r="P118" s="710">
        <f t="shared" si="53"/>
        <v>6.2906441568181126</v>
      </c>
      <c r="Q118" s="710">
        <f t="shared" si="53"/>
        <v>6.7525745134020889</v>
      </c>
      <c r="R118" s="710">
        <f t="shared" si="53"/>
        <v>7.2219770991478782</v>
      </c>
      <c r="S118" s="710">
        <f t="shared" si="53"/>
        <v>7.6990214390646496</v>
      </c>
      <c r="T118" s="710">
        <f t="shared" si="53"/>
        <v>8.1838819037059807</v>
      </c>
      <c r="U118" s="710">
        <f t="shared" si="53"/>
        <v>8.6767378623095581</v>
      </c>
      <c r="V118" s="710">
        <f t="shared" si="53"/>
        <v>9.1777738409469656</v>
      </c>
      <c r="W118" s="710">
        <f t="shared" si="53"/>
        <v>9.6871796858492214</v>
      </c>
      <c r="X118" s="710">
        <f t="shared" si="53"/>
        <v>10.205150732079257</v>
      </c>
      <c r="Y118" s="696"/>
      <c r="Z118" s="710"/>
      <c r="AA118" s="710"/>
      <c r="AB118" s="710"/>
      <c r="AC118" s="710"/>
      <c r="AD118" s="710"/>
    </row>
    <row r="119" spans="2:31" x14ac:dyDescent="0.2">
      <c r="C119" s="703"/>
      <c r="G119" s="538"/>
      <c r="P119" s="538"/>
      <c r="Y119" s="549"/>
    </row>
    <row r="120" spans="2:31" x14ac:dyDescent="0.2">
      <c r="C120" s="703"/>
      <c r="H120" s="676" t="s">
        <v>107</v>
      </c>
      <c r="I120" s="538">
        <f>(I115/I117)*I80</f>
        <v>108.43659577653578</v>
      </c>
      <c r="J120" s="538">
        <f t="shared" ref="J120:X120" si="54">(J115/J117)*J80</f>
        <v>215.79956189191807</v>
      </c>
      <c r="K120" s="538">
        <f t="shared" si="54"/>
        <v>322.09952834279102</v>
      </c>
      <c r="L120" s="538">
        <f t="shared" si="54"/>
        <v>427.34701987830948</v>
      </c>
      <c r="M120" s="538">
        <f t="shared" si="54"/>
        <v>531.55245704218873</v>
      </c>
      <c r="N120" s="538">
        <f t="shared" si="54"/>
        <v>634.72615720444594</v>
      </c>
      <c r="O120" s="538">
        <f t="shared" si="54"/>
        <v>736.87833558291788</v>
      </c>
      <c r="P120" s="538">
        <f t="shared" si="54"/>
        <v>838.01910625467292</v>
      </c>
      <c r="Q120" s="538">
        <f t="shared" si="54"/>
        <v>938.15848315740107</v>
      </c>
      <c r="R120" s="538">
        <f t="shared" si="54"/>
        <v>1037.3063810808928</v>
      </c>
      <c r="S120" s="538">
        <f t="shared" si="54"/>
        <v>1135.4726166487067</v>
      </c>
      <c r="T120" s="538">
        <f t="shared" si="54"/>
        <v>1232.6669092901059</v>
      </c>
      <c r="U120" s="538">
        <f t="shared" si="54"/>
        <v>1328.8988822023839</v>
      </c>
      <c r="V120" s="538">
        <f t="shared" si="54"/>
        <v>1424.1780633036492</v>
      </c>
      <c r="W120" s="538">
        <f t="shared" si="54"/>
        <v>1518.5138861761895</v>
      </c>
      <c r="X120" s="538">
        <f t="shared" si="54"/>
        <v>1611.915691000486</v>
      </c>
      <c r="Y120" s="826"/>
      <c r="Z120" s="538"/>
      <c r="AA120" s="538"/>
      <c r="AB120" s="538"/>
      <c r="AC120" s="538"/>
      <c r="AD120" s="538"/>
      <c r="AE120" s="557"/>
    </row>
    <row r="121" spans="2:31" ht="13.5" thickBot="1" x14ac:dyDescent="0.25">
      <c r="C121" s="540"/>
      <c r="D121" s="724"/>
      <c r="E121" s="724"/>
      <c r="F121" s="724"/>
      <c r="G121" s="724"/>
      <c r="H121" s="724"/>
      <c r="I121" s="724"/>
      <c r="J121" s="724"/>
      <c r="K121" s="724"/>
      <c r="L121" s="724"/>
      <c r="M121" s="724"/>
      <c r="N121" s="724"/>
      <c r="O121" s="724"/>
      <c r="P121" s="724"/>
      <c r="Q121" s="724"/>
      <c r="R121" s="724"/>
      <c r="S121" s="724"/>
      <c r="T121" s="724"/>
      <c r="U121" s="724"/>
      <c r="V121" s="724"/>
      <c r="W121" s="724"/>
      <c r="X121" s="724"/>
      <c r="Y121" s="700"/>
    </row>
    <row r="122" spans="2:31" ht="13.5" thickBot="1" x14ac:dyDescent="0.25"/>
    <row r="123" spans="2:31" s="543" customFormat="1" x14ac:dyDescent="0.2">
      <c r="C123" s="756"/>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6"/>
    </row>
    <row r="124" spans="2:31" s="543" customFormat="1" x14ac:dyDescent="0.2">
      <c r="C124" s="757" t="s">
        <v>83</v>
      </c>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7"/>
    </row>
    <row r="125" spans="2:31" s="240" customFormat="1" x14ac:dyDescent="0.2">
      <c r="C125" s="548"/>
      <c r="D125" s="111">
        <v>2008</v>
      </c>
      <c r="E125" s="111">
        <v>2009</v>
      </c>
      <c r="F125" s="111">
        <v>2010</v>
      </c>
      <c r="G125" s="111">
        <v>2011</v>
      </c>
      <c r="H125" s="111">
        <v>2012</v>
      </c>
      <c r="I125" s="111">
        <v>2013</v>
      </c>
      <c r="J125" s="111">
        <v>2014</v>
      </c>
      <c r="K125" s="111">
        <v>2015</v>
      </c>
      <c r="L125" s="111">
        <v>2016</v>
      </c>
      <c r="M125" s="111">
        <v>2017</v>
      </c>
      <c r="N125" s="111">
        <v>2018</v>
      </c>
      <c r="O125" s="111">
        <v>2019</v>
      </c>
      <c r="P125" s="111">
        <v>2020</v>
      </c>
      <c r="Q125" s="111">
        <v>2021</v>
      </c>
      <c r="R125" s="111">
        <v>2022</v>
      </c>
      <c r="S125" s="111">
        <v>2023</v>
      </c>
      <c r="T125" s="111">
        <v>2024</v>
      </c>
      <c r="U125" s="111">
        <v>2025</v>
      </c>
      <c r="V125" s="111">
        <v>2026</v>
      </c>
      <c r="W125" s="111">
        <v>2027</v>
      </c>
      <c r="X125" s="111">
        <v>2028</v>
      </c>
      <c r="Y125" s="550"/>
    </row>
    <row r="126" spans="2:31" x14ac:dyDescent="0.2">
      <c r="C126" s="728" t="s">
        <v>93</v>
      </c>
      <c r="D126" s="553"/>
      <c r="E126" s="553"/>
      <c r="F126" s="553"/>
      <c r="G126" s="553"/>
      <c r="H126" s="553"/>
      <c r="I126" s="553"/>
      <c r="Y126" s="549"/>
    </row>
    <row r="127" spans="2:31" x14ac:dyDescent="0.2">
      <c r="C127" s="723" t="s">
        <v>84</v>
      </c>
      <c r="Y127" s="549"/>
    </row>
    <row r="128" spans="2:31" x14ac:dyDescent="0.2">
      <c r="C128" s="713" t="s">
        <v>10</v>
      </c>
      <c r="D128" s="730">
        <f>Assumptions!C48</f>
        <v>0.57000000000000006</v>
      </c>
      <c r="E128" s="730">
        <f>$D128</f>
        <v>0.57000000000000006</v>
      </c>
      <c r="F128" s="730">
        <f t="shared" ref="F128:X130" si="55">$D128</f>
        <v>0.57000000000000006</v>
      </c>
      <c r="G128" s="730">
        <f t="shared" si="55"/>
        <v>0.57000000000000006</v>
      </c>
      <c r="H128" s="730">
        <f t="shared" si="55"/>
        <v>0.57000000000000006</v>
      </c>
      <c r="I128" s="730">
        <f t="shared" si="55"/>
        <v>0.57000000000000006</v>
      </c>
      <c r="J128" s="730">
        <f t="shared" si="55"/>
        <v>0.57000000000000006</v>
      </c>
      <c r="K128" s="730">
        <f t="shared" si="55"/>
        <v>0.57000000000000006</v>
      </c>
      <c r="L128" s="730">
        <f t="shared" si="55"/>
        <v>0.57000000000000006</v>
      </c>
      <c r="M128" s="730">
        <f t="shared" si="55"/>
        <v>0.57000000000000006</v>
      </c>
      <c r="N128" s="730">
        <f t="shared" si="55"/>
        <v>0.57000000000000006</v>
      </c>
      <c r="O128" s="730">
        <f t="shared" si="55"/>
        <v>0.57000000000000006</v>
      </c>
      <c r="P128" s="730">
        <f t="shared" si="55"/>
        <v>0.57000000000000006</v>
      </c>
      <c r="Q128" s="730">
        <f t="shared" si="55"/>
        <v>0.57000000000000006</v>
      </c>
      <c r="R128" s="730">
        <f t="shared" si="55"/>
        <v>0.57000000000000006</v>
      </c>
      <c r="S128" s="730">
        <f t="shared" si="55"/>
        <v>0.57000000000000006</v>
      </c>
      <c r="T128" s="730">
        <f t="shared" si="55"/>
        <v>0.57000000000000006</v>
      </c>
      <c r="U128" s="730">
        <f t="shared" si="55"/>
        <v>0.57000000000000006</v>
      </c>
      <c r="V128" s="730">
        <f t="shared" si="55"/>
        <v>0.57000000000000006</v>
      </c>
      <c r="W128" s="730">
        <f t="shared" si="55"/>
        <v>0.57000000000000006</v>
      </c>
      <c r="X128" s="730">
        <f t="shared" si="55"/>
        <v>0.57000000000000006</v>
      </c>
      <c r="Y128" s="827"/>
      <c r="Z128" s="730"/>
      <c r="AA128" s="730"/>
      <c r="AB128" s="730"/>
      <c r="AC128" s="730"/>
      <c r="AD128" s="730"/>
    </row>
    <row r="129" spans="2:30" x14ac:dyDescent="0.2">
      <c r="C129" s="713" t="s">
        <v>44</v>
      </c>
      <c r="D129" s="730">
        <f>Assumptions!C49</f>
        <v>0.59699999999999998</v>
      </c>
      <c r="E129" s="730">
        <f t="shared" ref="E129:T130" si="56">$D129</f>
        <v>0.59699999999999998</v>
      </c>
      <c r="F129" s="730">
        <f t="shared" si="56"/>
        <v>0.59699999999999998</v>
      </c>
      <c r="G129" s="730">
        <f t="shared" si="56"/>
        <v>0.59699999999999998</v>
      </c>
      <c r="H129" s="730">
        <f t="shared" si="56"/>
        <v>0.59699999999999998</v>
      </c>
      <c r="I129" s="730">
        <f t="shared" si="56"/>
        <v>0.59699999999999998</v>
      </c>
      <c r="J129" s="730">
        <f t="shared" si="56"/>
        <v>0.59699999999999998</v>
      </c>
      <c r="K129" s="730">
        <f t="shared" si="56"/>
        <v>0.59699999999999998</v>
      </c>
      <c r="L129" s="730">
        <f t="shared" si="56"/>
        <v>0.59699999999999998</v>
      </c>
      <c r="M129" s="730">
        <f t="shared" si="56"/>
        <v>0.59699999999999998</v>
      </c>
      <c r="N129" s="730">
        <f t="shared" si="56"/>
        <v>0.59699999999999998</v>
      </c>
      <c r="O129" s="730">
        <f t="shared" si="56"/>
        <v>0.59699999999999998</v>
      </c>
      <c r="P129" s="730">
        <f t="shared" si="56"/>
        <v>0.59699999999999998</v>
      </c>
      <c r="Q129" s="730">
        <f t="shared" si="56"/>
        <v>0.59699999999999998</v>
      </c>
      <c r="R129" s="730">
        <f t="shared" si="56"/>
        <v>0.59699999999999998</v>
      </c>
      <c r="S129" s="730">
        <f t="shared" si="56"/>
        <v>0.59699999999999998</v>
      </c>
      <c r="T129" s="730">
        <f t="shared" si="56"/>
        <v>0.59699999999999998</v>
      </c>
      <c r="U129" s="730">
        <f t="shared" si="55"/>
        <v>0.59699999999999998</v>
      </c>
      <c r="V129" s="730">
        <f t="shared" si="55"/>
        <v>0.59699999999999998</v>
      </c>
      <c r="W129" s="730">
        <f t="shared" si="55"/>
        <v>0.59699999999999998</v>
      </c>
      <c r="X129" s="730">
        <f t="shared" si="55"/>
        <v>0.59699999999999998</v>
      </c>
      <c r="Y129" s="827"/>
      <c r="Z129" s="730"/>
      <c r="AA129" s="730"/>
      <c r="AB129" s="730"/>
      <c r="AC129" s="730"/>
      <c r="AD129" s="730"/>
    </row>
    <row r="130" spans="2:30" x14ac:dyDescent="0.2">
      <c r="C130" s="713" t="s">
        <v>45</v>
      </c>
      <c r="D130" s="730">
        <f>Assumptions!C50</f>
        <v>0.69599999999999995</v>
      </c>
      <c r="E130" s="730">
        <f t="shared" si="56"/>
        <v>0.69599999999999995</v>
      </c>
      <c r="F130" s="730">
        <f t="shared" si="55"/>
        <v>0.69599999999999995</v>
      </c>
      <c r="G130" s="730">
        <f t="shared" si="55"/>
        <v>0.69599999999999995</v>
      </c>
      <c r="H130" s="730">
        <f t="shared" si="55"/>
        <v>0.69599999999999995</v>
      </c>
      <c r="I130" s="730">
        <f t="shared" si="55"/>
        <v>0.69599999999999995</v>
      </c>
      <c r="J130" s="730">
        <f t="shared" si="55"/>
        <v>0.69599999999999995</v>
      </c>
      <c r="K130" s="730">
        <f t="shared" si="55"/>
        <v>0.69599999999999995</v>
      </c>
      <c r="L130" s="730">
        <f t="shared" si="55"/>
        <v>0.69599999999999995</v>
      </c>
      <c r="M130" s="730">
        <f t="shared" si="55"/>
        <v>0.69599999999999995</v>
      </c>
      <c r="N130" s="730">
        <f t="shared" si="55"/>
        <v>0.69599999999999995</v>
      </c>
      <c r="O130" s="730">
        <f t="shared" si="55"/>
        <v>0.69599999999999995</v>
      </c>
      <c r="P130" s="730">
        <f t="shared" si="55"/>
        <v>0.69599999999999995</v>
      </c>
      <c r="Q130" s="730">
        <f t="shared" si="55"/>
        <v>0.69599999999999995</v>
      </c>
      <c r="R130" s="730">
        <f t="shared" si="55"/>
        <v>0.69599999999999995</v>
      </c>
      <c r="S130" s="730">
        <f t="shared" si="55"/>
        <v>0.69599999999999995</v>
      </c>
      <c r="T130" s="730">
        <f t="shared" si="55"/>
        <v>0.69599999999999995</v>
      </c>
      <c r="U130" s="730">
        <f t="shared" si="55"/>
        <v>0.69599999999999995</v>
      </c>
      <c r="V130" s="730">
        <f t="shared" si="55"/>
        <v>0.69599999999999995</v>
      </c>
      <c r="W130" s="730">
        <f t="shared" si="55"/>
        <v>0.69599999999999995</v>
      </c>
      <c r="X130" s="730">
        <f t="shared" si="55"/>
        <v>0.69599999999999995</v>
      </c>
      <c r="Y130" s="827"/>
      <c r="Z130" s="730"/>
      <c r="AA130" s="730"/>
      <c r="AB130" s="730"/>
      <c r="AC130" s="730"/>
      <c r="AD130" s="730"/>
    </row>
    <row r="131" spans="2:30"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827"/>
      <c r="Z131" s="730"/>
      <c r="AA131" s="730"/>
      <c r="AB131" s="730"/>
      <c r="AC131" s="730"/>
      <c r="AD131" s="730"/>
    </row>
    <row r="132" spans="2:30"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814"/>
      <c r="Z132" s="553"/>
      <c r="AA132" s="553"/>
      <c r="AB132" s="553"/>
      <c r="AC132" s="553"/>
      <c r="AD132" s="553"/>
    </row>
    <row r="133" spans="2:30" x14ac:dyDescent="0.2">
      <c r="B133" s="702"/>
      <c r="C133" s="713" t="s">
        <v>10</v>
      </c>
      <c r="D133" s="553">
        <f t="shared" ref="D133:X133" si="57">D97*$AB$69*D128</f>
        <v>0</v>
      </c>
      <c r="E133" s="553">
        <f t="shared" si="57"/>
        <v>0</v>
      </c>
      <c r="F133" s="553">
        <f t="shared" si="57"/>
        <v>0</v>
      </c>
      <c r="G133" s="553">
        <f t="shared" si="57"/>
        <v>0</v>
      </c>
      <c r="H133" s="553">
        <f t="shared" si="57"/>
        <v>0</v>
      </c>
      <c r="I133" s="553">
        <f t="shared" si="57"/>
        <v>583.05168900000001</v>
      </c>
      <c r="J133" s="553">
        <f t="shared" si="57"/>
        <v>1232.236015824825</v>
      </c>
      <c r="K133" s="553">
        <f t="shared" si="57"/>
        <v>1414.6480207007598</v>
      </c>
      <c r="L133" s="553">
        <f t="shared" si="57"/>
        <v>1461.6567744286458</v>
      </c>
      <c r="M133" s="553">
        <f t="shared" si="57"/>
        <v>1510.2276290429097</v>
      </c>
      <c r="N133" s="553">
        <f t="shared" si="57"/>
        <v>1560.4124931560054</v>
      </c>
      <c r="O133" s="553">
        <f t="shared" si="57"/>
        <v>1612.2650003035787</v>
      </c>
      <c r="P133" s="553">
        <f t="shared" si="57"/>
        <v>1665.8405662636671</v>
      </c>
      <c r="Q133" s="553">
        <f t="shared" si="57"/>
        <v>1721.1964482806084</v>
      </c>
      <c r="R133" s="553">
        <f t="shared" si="57"/>
        <v>1778.3918062569735</v>
      </c>
      <c r="S133" s="553">
        <f t="shared" si="57"/>
        <v>1837.4877659788917</v>
      </c>
      <c r="T133" s="553">
        <f t="shared" si="57"/>
        <v>1898.5474844423707</v>
      </c>
      <c r="U133" s="553">
        <f t="shared" si="57"/>
        <v>1961.6362173503903</v>
      </c>
      <c r="V133" s="553">
        <f t="shared" si="57"/>
        <v>2026.8213888529438</v>
      </c>
      <c r="W133" s="553">
        <f t="shared" si="57"/>
        <v>2094.172663604526</v>
      </c>
      <c r="X133" s="553">
        <f t="shared" si="57"/>
        <v>2163.7620212161046</v>
      </c>
      <c r="Y133" s="814"/>
      <c r="Z133" s="553"/>
      <c r="AA133" s="553"/>
      <c r="AB133" s="553"/>
      <c r="AC133" s="553"/>
      <c r="AD133" s="553"/>
    </row>
    <row r="134" spans="2:30" x14ac:dyDescent="0.2">
      <c r="C134" s="713" t="s">
        <v>44</v>
      </c>
      <c r="D134" s="553">
        <f t="shared" ref="D134:X134" si="58">D98*$AB$69*D129</f>
        <v>0</v>
      </c>
      <c r="E134" s="553">
        <f t="shared" si="58"/>
        <v>0</v>
      </c>
      <c r="F134" s="553">
        <f t="shared" si="58"/>
        <v>0</v>
      </c>
      <c r="G134" s="553">
        <f t="shared" si="58"/>
        <v>0</v>
      </c>
      <c r="H134" s="553">
        <f t="shared" si="58"/>
        <v>0</v>
      </c>
      <c r="I134" s="553">
        <f t="shared" si="58"/>
        <v>112.06810941826498</v>
      </c>
      <c r="J134" s="553">
        <f t="shared" si="58"/>
        <v>236.84754414729667</v>
      </c>
      <c r="K134" s="553">
        <f t="shared" si="58"/>
        <v>271.90887559923476</v>
      </c>
      <c r="L134" s="553">
        <f t="shared" si="58"/>
        <v>280.94440753539732</v>
      </c>
      <c r="M134" s="553">
        <f t="shared" si="58"/>
        <v>290.28019019779845</v>
      </c>
      <c r="N134" s="553">
        <f t="shared" si="58"/>
        <v>299.92620091807134</v>
      </c>
      <c r="O134" s="553">
        <f t="shared" si="58"/>
        <v>309.89274857457883</v>
      </c>
      <c r="P134" s="553">
        <f t="shared" si="58"/>
        <v>320.19048460971209</v>
      </c>
      <c r="Q134" s="553">
        <f t="shared" si="58"/>
        <v>330.83041441329283</v>
      </c>
      <c r="R134" s="553">
        <f t="shared" si="58"/>
        <v>341.82390908424651</v>
      </c>
      <c r="S134" s="553">
        <f t="shared" si="58"/>
        <v>353.1827175831159</v>
      </c>
      <c r="T134" s="553">
        <f t="shared" si="58"/>
        <v>364.91897928840291</v>
      </c>
      <c r="U134" s="553">
        <f t="shared" si="58"/>
        <v>377.04523697015651</v>
      </c>
      <c r="V134" s="553">
        <f t="shared" si="58"/>
        <v>389.5744501946748</v>
      </c>
      <c r="W134" s="553">
        <f t="shared" si="58"/>
        <v>402.52000917464358</v>
      </c>
      <c r="X134" s="553">
        <f t="shared" si="58"/>
        <v>415.89574907951715</v>
      </c>
      <c r="Y134" s="814"/>
      <c r="Z134" s="553"/>
      <c r="AA134" s="553"/>
      <c r="AB134" s="553"/>
      <c r="AC134" s="553"/>
      <c r="AD134" s="553"/>
    </row>
    <row r="135" spans="2:30" x14ac:dyDescent="0.2">
      <c r="C135" s="713" t="s">
        <v>45</v>
      </c>
      <c r="D135" s="553">
        <f t="shared" ref="D135:X135" si="59">D99*$AB$69*D130</f>
        <v>0</v>
      </c>
      <c r="E135" s="553">
        <f t="shared" si="59"/>
        <v>0</v>
      </c>
      <c r="F135" s="553">
        <f t="shared" si="59"/>
        <v>0</v>
      </c>
      <c r="G135" s="553">
        <f t="shared" si="59"/>
        <v>0</v>
      </c>
      <c r="H135" s="553">
        <f t="shared" si="59"/>
        <v>0</v>
      </c>
      <c r="I135" s="553">
        <f t="shared" si="59"/>
        <v>57.724423533261501</v>
      </c>
      <c r="J135" s="553">
        <f t="shared" si="59"/>
        <v>121.99623980578319</v>
      </c>
      <c r="K135" s="553">
        <f t="shared" si="59"/>
        <v>140.05574983836593</v>
      </c>
      <c r="L135" s="553">
        <f t="shared" si="59"/>
        <v>144.70980240549483</v>
      </c>
      <c r="M135" s="553">
        <f t="shared" si="59"/>
        <v>149.51850913942937</v>
      </c>
      <c r="N135" s="553">
        <f t="shared" si="59"/>
        <v>154.48700919813265</v>
      </c>
      <c r="O135" s="553">
        <f t="shared" si="59"/>
        <v>159.62061251378654</v>
      </c>
      <c r="P135" s="553">
        <f t="shared" si="59"/>
        <v>164.92480546761965</v>
      </c>
      <c r="Q135" s="553">
        <f t="shared" si="59"/>
        <v>170.40525675330869</v>
      </c>
      <c r="R135" s="553">
        <f t="shared" si="59"/>
        <v>176.0678234352211</v>
      </c>
      <c r="S135" s="553">
        <f t="shared" si="59"/>
        <v>181.91855720797346</v>
      </c>
      <c r="T135" s="553">
        <f t="shared" si="59"/>
        <v>187.96371086399441</v>
      </c>
      <c r="U135" s="553">
        <f t="shared" si="59"/>
        <v>194.20974497600494</v>
      </c>
      <c r="V135" s="553">
        <f t="shared" si="59"/>
        <v>200.66333480155762</v>
      </c>
      <c r="W135" s="553">
        <f t="shared" si="59"/>
        <v>207.33137741701324</v>
      </c>
      <c r="X135" s="553">
        <f t="shared" si="59"/>
        <v>214.22099908858064</v>
      </c>
      <c r="Y135" s="814"/>
      <c r="Z135" s="553"/>
      <c r="AA135" s="553"/>
      <c r="AB135" s="553"/>
      <c r="AC135" s="553"/>
      <c r="AD135" s="553"/>
    </row>
    <row r="136" spans="2:30"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814"/>
      <c r="Z136" s="553"/>
      <c r="AA136" s="553"/>
      <c r="AB136" s="553"/>
      <c r="AC136" s="553"/>
      <c r="AD136" s="553"/>
    </row>
    <row r="137" spans="2:30" x14ac:dyDescent="0.2">
      <c r="C137" s="723" t="s">
        <v>86</v>
      </c>
      <c r="D137" s="554">
        <f t="shared" ref="D137:X137" si="60">SUM(D133:D135)*0.001</f>
        <v>0</v>
      </c>
      <c r="E137" s="554">
        <f t="shared" si="60"/>
        <v>0</v>
      </c>
      <c r="F137" s="554">
        <f t="shared" si="60"/>
        <v>0</v>
      </c>
      <c r="G137" s="554">
        <f t="shared" si="60"/>
        <v>0</v>
      </c>
      <c r="H137" s="554">
        <f t="shared" si="60"/>
        <v>0</v>
      </c>
      <c r="I137" s="554">
        <f t="shared" si="60"/>
        <v>0.75284422195152656</v>
      </c>
      <c r="J137" s="554">
        <f t="shared" si="60"/>
        <v>1.5910797997779051</v>
      </c>
      <c r="K137" s="554">
        <f t="shared" si="60"/>
        <v>1.8266126461383605</v>
      </c>
      <c r="L137" s="554">
        <f t="shared" si="60"/>
        <v>1.8873109843695379</v>
      </c>
      <c r="M137" s="554">
        <f t="shared" si="60"/>
        <v>1.9500263283801376</v>
      </c>
      <c r="N137" s="554">
        <f t="shared" si="60"/>
        <v>2.0148257032722094</v>
      </c>
      <c r="O137" s="554">
        <f t="shared" si="60"/>
        <v>2.0817783613919443</v>
      </c>
      <c r="P137" s="554">
        <f t="shared" si="60"/>
        <v>2.1509558563409987</v>
      </c>
      <c r="Q137" s="554">
        <f t="shared" si="60"/>
        <v>2.2224321194472099</v>
      </c>
      <c r="R137" s="554">
        <f t="shared" si="60"/>
        <v>2.2962835387764411</v>
      </c>
      <c r="S137" s="554">
        <f t="shared" si="60"/>
        <v>2.3725890407699812</v>
      </c>
      <c r="T137" s="554">
        <f t="shared" si="60"/>
        <v>2.4514301745947682</v>
      </c>
      <c r="U137" s="554">
        <f t="shared" si="60"/>
        <v>2.5328911992965519</v>
      </c>
      <c r="V137" s="554">
        <f t="shared" si="60"/>
        <v>2.6170591738491762</v>
      </c>
      <c r="W137" s="554">
        <f t="shared" si="60"/>
        <v>2.7040240501961832</v>
      </c>
      <c r="X137" s="554">
        <f t="shared" si="60"/>
        <v>2.7938787693842029</v>
      </c>
      <c r="Y137" s="816"/>
      <c r="Z137" s="554"/>
      <c r="AA137" s="554"/>
      <c r="AB137" s="554"/>
      <c r="AC137" s="554"/>
      <c r="AD137" s="554"/>
    </row>
    <row r="138" spans="2:30" x14ac:dyDescent="0.2">
      <c r="C138" s="551"/>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row>
    <row r="139" spans="2:30" x14ac:dyDescent="0.2">
      <c r="C139" s="723" t="s">
        <v>71</v>
      </c>
      <c r="D139" s="553"/>
      <c r="E139" s="553"/>
      <c r="F139" s="553"/>
      <c r="G139" s="553"/>
      <c r="H139" s="554"/>
      <c r="I139" s="554"/>
      <c r="J139" s="554"/>
      <c r="K139" s="554"/>
      <c r="L139" s="554"/>
      <c r="M139" s="554"/>
      <c r="N139" s="554"/>
      <c r="O139" s="554"/>
      <c r="P139" s="554"/>
      <c r="Q139" s="554"/>
      <c r="R139" s="554"/>
      <c r="S139" s="554"/>
      <c r="T139" s="554"/>
      <c r="U139" s="554"/>
      <c r="V139" s="554"/>
      <c r="W139" s="554"/>
      <c r="X139" s="554"/>
      <c r="Y139" s="816"/>
      <c r="Z139" s="554"/>
      <c r="AA139" s="554"/>
      <c r="AB139" s="554"/>
      <c r="AC139" s="554"/>
      <c r="AD139" s="554"/>
    </row>
    <row r="140" spans="2:30" x14ac:dyDescent="0.2">
      <c r="C140" s="72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9.2385149999999847E-2</v>
      </c>
      <c r="J140" s="711">
        <f>IF(J23=1,(Assumptions!$C$51*J115),0)</f>
        <v>0.18569415149999996</v>
      </c>
      <c r="K140" s="711">
        <f>IF(K23=1,(Assumptions!$C$51*K115),0)</f>
        <v>0.27993624301499964</v>
      </c>
      <c r="L140" s="711">
        <f>IF(L23=1,(Assumptions!$C$51*L115),0)</f>
        <v>0.37512075544514978</v>
      </c>
      <c r="M140" s="711">
        <f>IF(M23=1,(Assumptions!$C$51*M115),0)</f>
        <v>0.47125711299960121</v>
      </c>
      <c r="N140" s="711">
        <f>IF(N23=1,(Assumptions!$C$51*N115),0)</f>
        <v>0.56835483412959731</v>
      </c>
      <c r="O140" s="711">
        <f>IF(O23=1,(Assumptions!$C$51*O115),0)</f>
        <v>0.66642353247089314</v>
      </c>
      <c r="P140" s="711">
        <f>IF(P23=1,(Assumptions!$C$51*P115),0)</f>
        <v>0.76547291779560267</v>
      </c>
      <c r="Q140" s="711">
        <f>IF(Q23=1,(Assumptions!$C$51*Q115),0)</f>
        <v>0.86551279697355932</v>
      </c>
      <c r="R140" s="711">
        <f>IF(R23=1,(Assumptions!$C$51*R115),0)</f>
        <v>0.96655307494329468</v>
      </c>
      <c r="S140" s="711">
        <f>IF(S23=1,(Assumptions!$C$51*S115),0)</f>
        <v>1.0686037556927268</v>
      </c>
      <c r="T140" s="711">
        <f>IF(T23=1,(Assumptions!$C$51*T115),0)</f>
        <v>1.1716749432496534</v>
      </c>
      <c r="U140" s="711">
        <f>IF(U23=1,(Assumptions!$C$51*U115),0)</f>
        <v>1.2757768426821505</v>
      </c>
      <c r="V140" s="711">
        <f>IF(V23=1,(Assumptions!$C$51*V115),0)</f>
        <v>1.3809197611089725</v>
      </c>
      <c r="W140" s="711">
        <f>IF(W23=1,(Assumptions!$C$51*W115),0)</f>
        <v>1.487114108720063</v>
      </c>
      <c r="X140" s="711">
        <f>IF(X23=1,(Assumptions!$C$51*X115),0)</f>
        <v>1.594370399807264</v>
      </c>
      <c r="Y140" s="815"/>
      <c r="Z140" s="711"/>
      <c r="AA140" s="711"/>
      <c r="AB140" s="711"/>
      <c r="AC140" s="711"/>
      <c r="AD140" s="711"/>
    </row>
    <row r="141" spans="2:30" x14ac:dyDescent="0.2">
      <c r="C141" s="723" t="s">
        <v>87</v>
      </c>
      <c r="D141" s="554">
        <f t="shared" ref="D141:X141" si="61">D137+D140</f>
        <v>0</v>
      </c>
      <c r="E141" s="554">
        <f t="shared" si="61"/>
        <v>0</v>
      </c>
      <c r="F141" s="554">
        <f t="shared" si="61"/>
        <v>0</v>
      </c>
      <c r="G141" s="554">
        <f t="shared" si="61"/>
        <v>0</v>
      </c>
      <c r="H141" s="554">
        <f t="shared" si="61"/>
        <v>0</v>
      </c>
      <c r="I141" s="554">
        <f t="shared" si="61"/>
        <v>0.84522937195152636</v>
      </c>
      <c r="J141" s="554">
        <f t="shared" si="61"/>
        <v>1.7767739512779051</v>
      </c>
      <c r="K141" s="554">
        <f t="shared" si="61"/>
        <v>2.1065488891533599</v>
      </c>
      <c r="L141" s="554">
        <f t="shared" si="61"/>
        <v>2.2624317398146876</v>
      </c>
      <c r="M141" s="554">
        <f t="shared" si="61"/>
        <v>2.4212834413797388</v>
      </c>
      <c r="N141" s="554">
        <f t="shared" si="61"/>
        <v>2.5831805374018066</v>
      </c>
      <c r="O141" s="554">
        <f t="shared" si="61"/>
        <v>2.7482018938628374</v>
      </c>
      <c r="P141" s="554">
        <f t="shared" si="61"/>
        <v>2.9164287741366013</v>
      </c>
      <c r="Q141" s="554">
        <f t="shared" si="61"/>
        <v>3.0879449164207693</v>
      </c>
      <c r="R141" s="554">
        <f t="shared" si="61"/>
        <v>3.2628366137197355</v>
      </c>
      <c r="S141" s="554">
        <f t="shared" si="61"/>
        <v>3.4411927964627083</v>
      </c>
      <c r="T141" s="554">
        <f t="shared" si="61"/>
        <v>3.6231051178444216</v>
      </c>
      <c r="U141" s="554">
        <f t="shared" si="61"/>
        <v>3.8086680419787022</v>
      </c>
      <c r="V141" s="554">
        <f t="shared" si="61"/>
        <v>3.9979789349581489</v>
      </c>
      <c r="W141" s="554">
        <f t="shared" si="61"/>
        <v>4.191138158916246</v>
      </c>
      <c r="X141" s="554">
        <f t="shared" si="61"/>
        <v>4.3882491691914671</v>
      </c>
      <c r="Y141" s="816"/>
      <c r="Z141" s="554"/>
      <c r="AA141" s="554"/>
      <c r="AB141" s="554"/>
      <c r="AC141" s="554"/>
      <c r="AD141" s="554"/>
    </row>
    <row r="142" spans="2:30" x14ac:dyDescent="0.2">
      <c r="C142" s="723"/>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row>
    <row r="143" spans="2:30"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816"/>
      <c r="Z143" s="554"/>
      <c r="AA143" s="554"/>
      <c r="AB143" s="554"/>
      <c r="AC143" s="554"/>
      <c r="AD143" s="554"/>
    </row>
    <row r="144" spans="2:30" x14ac:dyDescent="0.2">
      <c r="C144" s="536" t="s">
        <v>556</v>
      </c>
      <c r="D144" s="711">
        <f>D116*Assumptions!$C$51</f>
        <v>0</v>
      </c>
      <c r="E144" s="711">
        <f>E116*Assumptions!$C$51</f>
        <v>0</v>
      </c>
      <c r="F144" s="711">
        <f>F116*Assumptions!$C$51</f>
        <v>0</v>
      </c>
      <c r="G144" s="711">
        <f>G116*Assumptions!$C$51</f>
        <v>0</v>
      </c>
      <c r="H144" s="711">
        <f>H116*Assumptions!$C$51</f>
        <v>0</v>
      </c>
      <c r="I144" s="711">
        <f>I116*Assumptions!$C$51</f>
        <v>1.1086217999999983E-3</v>
      </c>
      <c r="J144" s="711">
        <f>J116*Assumptions!$C$51</f>
        <v>2.2283298179999996E-3</v>
      </c>
      <c r="K144" s="711">
        <f>K116*Assumptions!$C$51</f>
        <v>3.3592349161799956E-3</v>
      </c>
      <c r="L144" s="711">
        <f>L116*Assumptions!$C$51</f>
        <v>4.5014490653417973E-3</v>
      </c>
      <c r="M144" s="711">
        <f>M116*Assumptions!$C$51</f>
        <v>5.6550853559952149E-3</v>
      </c>
      <c r="N144" s="711">
        <f>N116*Assumptions!$C$51</f>
        <v>6.8202580095551692E-3</v>
      </c>
      <c r="O144" s="711">
        <f>O116*Assumptions!$C$51</f>
        <v>7.997082389650717E-3</v>
      </c>
      <c r="P144" s="711">
        <f>P116*Assumptions!$C$51</f>
        <v>9.1856750135472318E-3</v>
      </c>
      <c r="Q144" s="711">
        <f>Q116*Assumptions!$C$51</f>
        <v>1.0386153563682712E-2</v>
      </c>
      <c r="R144" s="711">
        <f>R116*Assumptions!$C$51</f>
        <v>1.1598636899319536E-2</v>
      </c>
      <c r="S144" s="711">
        <f>S116*Assumptions!$C$51</f>
        <v>1.2823245068312721E-2</v>
      </c>
      <c r="T144" s="711">
        <f>T116*Assumptions!$C$51</f>
        <v>1.406009931899584E-2</v>
      </c>
      <c r="U144" s="711">
        <f>U116*Assumptions!$C$51</f>
        <v>1.5309322112185808E-2</v>
      </c>
      <c r="V144" s="711">
        <f>V116*Assumptions!$C$51</f>
        <v>1.6571037133307671E-2</v>
      </c>
      <c r="W144" s="711">
        <f>W116*Assumptions!$C$51</f>
        <v>1.7845369304640757E-2</v>
      </c>
      <c r="X144" s="711">
        <f>X116*Assumptions!$C$51</f>
        <v>1.9132444797687172E-2</v>
      </c>
      <c r="Y144" s="816"/>
      <c r="Z144" s="554"/>
      <c r="AA144" s="554"/>
      <c r="AB144" s="554"/>
      <c r="AC144" s="554"/>
      <c r="AD144" s="554"/>
    </row>
    <row r="145" spans="2:30" x14ac:dyDescent="0.2">
      <c r="C145" s="536"/>
      <c r="D145" s="811"/>
      <c r="Y145" s="549"/>
    </row>
    <row r="146" spans="2:30" x14ac:dyDescent="0.2">
      <c r="C146" s="536" t="s">
        <v>89</v>
      </c>
      <c r="D146" s="554">
        <f>D141*'ERR &amp; Sensitivity Analysis'!$G$10</f>
        <v>0</v>
      </c>
      <c r="E146" s="554">
        <f>E141*'ERR &amp; Sensitivity Analysis'!$G$10</f>
        <v>0</v>
      </c>
      <c r="F146" s="554">
        <f>F141*'ERR &amp; Sensitivity Analysis'!$G$10</f>
        <v>0</v>
      </c>
      <c r="G146" s="554">
        <f>G141*'ERR &amp; Sensitivity Analysis'!$G$10</f>
        <v>0</v>
      </c>
      <c r="H146" s="554">
        <f>H141*'ERR &amp; Sensitivity Analysis'!$G$10</f>
        <v>0</v>
      </c>
      <c r="I146" s="554">
        <f>I141*'ERR &amp; Sensitivity Analysis'!$G$10</f>
        <v>0.84522937195152636</v>
      </c>
      <c r="J146" s="554">
        <f>J141*'ERR &amp; Sensitivity Analysis'!$G$10</f>
        <v>1.7767739512779051</v>
      </c>
      <c r="K146" s="554">
        <f>K141*'ERR &amp; Sensitivity Analysis'!$G$10</f>
        <v>2.1065488891533599</v>
      </c>
      <c r="L146" s="554">
        <f>L141*'ERR &amp; Sensitivity Analysis'!$G$10</f>
        <v>2.2624317398146876</v>
      </c>
      <c r="M146" s="554">
        <f>M141*'ERR &amp; Sensitivity Analysis'!$G$10</f>
        <v>2.4212834413797388</v>
      </c>
      <c r="N146" s="554">
        <f>N141*'ERR &amp; Sensitivity Analysis'!$G$10</f>
        <v>2.5831805374018066</v>
      </c>
      <c r="O146" s="554">
        <f>O141*'ERR &amp; Sensitivity Analysis'!$G$10</f>
        <v>2.7482018938628374</v>
      </c>
      <c r="P146" s="554">
        <f>P141*'ERR &amp; Sensitivity Analysis'!$G$10</f>
        <v>2.9164287741366013</v>
      </c>
      <c r="Q146" s="554">
        <f>Q141*'ERR &amp; Sensitivity Analysis'!$G$10</f>
        <v>3.0879449164207693</v>
      </c>
      <c r="R146" s="554">
        <f>R141*'ERR &amp; Sensitivity Analysis'!$G$10</f>
        <v>3.2628366137197355</v>
      </c>
      <c r="S146" s="554">
        <f>S141*'ERR &amp; Sensitivity Analysis'!$G$10</f>
        <v>3.4411927964627083</v>
      </c>
      <c r="T146" s="554">
        <f>T141*'ERR &amp; Sensitivity Analysis'!$G$10</f>
        <v>3.6231051178444216</v>
      </c>
      <c r="U146" s="554">
        <f>U141*'ERR &amp; Sensitivity Analysis'!$G$10</f>
        <v>3.8086680419787022</v>
      </c>
      <c r="V146" s="554">
        <f>V141*'ERR &amp; Sensitivity Analysis'!$G$10</f>
        <v>3.9979789349581489</v>
      </c>
      <c r="W146" s="554">
        <f>W141*'ERR &amp; Sensitivity Analysis'!$G$10</f>
        <v>4.191138158916246</v>
      </c>
      <c r="X146" s="554">
        <f>X141*'ERR &amp; Sensitivity Analysis'!$G$10</f>
        <v>4.3882491691914671</v>
      </c>
      <c r="Y146" s="816"/>
      <c r="Z146" s="554"/>
      <c r="AA146" s="554"/>
      <c r="AB146" s="554"/>
      <c r="AC146" s="554"/>
      <c r="AD146" s="554"/>
    </row>
    <row r="147" spans="2:30" x14ac:dyDescent="0.2">
      <c r="C147" s="536" t="s">
        <v>99</v>
      </c>
      <c r="D147" s="554">
        <f t="shared" ref="D147:X147" si="62">D146-D62</f>
        <v>0</v>
      </c>
      <c r="E147" s="554">
        <f t="shared" si="62"/>
        <v>-0.2364124730320141</v>
      </c>
      <c r="F147" s="554">
        <f t="shared" si="62"/>
        <v>-0.54678309258231506</v>
      </c>
      <c r="G147" s="554">
        <f t="shared" si="62"/>
        <v>-5.3748803683012136</v>
      </c>
      <c r="H147" s="554">
        <f t="shared" si="62"/>
        <v>-5.181141315862221</v>
      </c>
      <c r="I147" s="554">
        <f t="shared" si="62"/>
        <v>-6.7592687713437538</v>
      </c>
      <c r="J147" s="554">
        <f t="shared" si="62"/>
        <v>0.53707283100138037</v>
      </c>
      <c r="K147" s="554">
        <f t="shared" si="62"/>
        <v>1.3688672368002539</v>
      </c>
      <c r="L147" s="554">
        <f t="shared" si="62"/>
        <v>1.544091735779803</v>
      </c>
      <c r="M147" s="554">
        <f t="shared" si="62"/>
        <v>1.6792719452797573</v>
      </c>
      <c r="N147" s="554">
        <f t="shared" si="62"/>
        <v>1.8167155213195945</v>
      </c>
      <c r="O147" s="554">
        <f t="shared" si="62"/>
        <v>1.9564754483361462</v>
      </c>
      <c r="P147" s="554">
        <f t="shared" si="62"/>
        <v>2.0986062505349095</v>
      </c>
      <c r="Q147" s="554">
        <f t="shared" si="62"/>
        <v>2.2431640408789728</v>
      </c>
      <c r="R147" s="554">
        <f t="shared" si="62"/>
        <v>2.3902065716848018</v>
      </c>
      <c r="S147" s="554">
        <f t="shared" si="62"/>
        <v>2.5397932868780999</v>
      </c>
      <c r="T147" s="554">
        <f t="shared" si="62"/>
        <v>2.6919853759646477</v>
      </c>
      <c r="U147" s="554">
        <f t="shared" si="62"/>
        <v>2.8468458297729802</v>
      </c>
      <c r="V147" s="554">
        <f t="shared" si="62"/>
        <v>3.004439498027581</v>
      </c>
      <c r="W147" s="554">
        <f t="shared" si="62"/>
        <v>3.1648331488131136</v>
      </c>
      <c r="X147" s="554">
        <f t="shared" si="62"/>
        <v>3.328095529992531</v>
      </c>
      <c r="Y147" s="816"/>
      <c r="Z147" s="554"/>
      <c r="AA147" s="554"/>
      <c r="AB147" s="554"/>
      <c r="AC147" s="554"/>
      <c r="AD147" s="554"/>
    </row>
    <row r="148" spans="2:30" ht="13.5" thickBot="1" x14ac:dyDescent="0.25">
      <c r="C148" s="81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828"/>
      <c r="Z148" s="553"/>
      <c r="AA148" s="553"/>
      <c r="AB148" s="553"/>
      <c r="AC148" s="553"/>
      <c r="AD148" s="553"/>
    </row>
    <row r="149" spans="2:30" x14ac:dyDescent="0.2">
      <c r="C149" s="747"/>
      <c r="D149" s="553"/>
      <c r="E149" s="553"/>
      <c r="F149" s="553"/>
      <c r="G149" s="553"/>
      <c r="H149" s="553"/>
      <c r="I149" s="553"/>
      <c r="J149" s="553"/>
      <c r="K149" s="553"/>
      <c r="L149" s="553"/>
      <c r="M149" s="553"/>
      <c r="N149" s="553"/>
      <c r="O149" s="553"/>
      <c r="P149" s="553"/>
      <c r="Q149" s="553"/>
      <c r="R149" s="553"/>
      <c r="S149" s="553"/>
      <c r="T149" s="553"/>
      <c r="U149" s="553"/>
      <c r="V149" s="553"/>
      <c r="W149" s="553"/>
      <c r="X149" s="553"/>
      <c r="Y149" s="553"/>
      <c r="Z149" s="553"/>
      <c r="AA149" s="553"/>
      <c r="AB149" s="553"/>
      <c r="AC149" s="553"/>
      <c r="AD149" s="553"/>
    </row>
    <row r="150" spans="2:30" x14ac:dyDescent="0.2">
      <c r="M150" s="740"/>
      <c r="AA150" s="553"/>
      <c r="AB150" s="553"/>
      <c r="AC150" s="553"/>
      <c r="AD150" s="553"/>
    </row>
    <row r="151" spans="2:30" x14ac:dyDescent="0.2">
      <c r="C151" s="618" t="s">
        <v>585</v>
      </c>
      <c r="M151" s="740"/>
      <c r="AA151" s="553"/>
      <c r="AB151" s="553"/>
      <c r="AC151" s="553"/>
      <c r="AD151" s="553"/>
    </row>
    <row r="152" spans="2:30" x14ac:dyDescent="0.2">
      <c r="B152" s="543">
        <v>1</v>
      </c>
      <c r="C152" s="543" t="s">
        <v>607</v>
      </c>
    </row>
    <row r="153" spans="2:30" x14ac:dyDescent="0.2">
      <c r="B153" s="543">
        <v>2</v>
      </c>
      <c r="C153" s="543" t="s">
        <v>608</v>
      </c>
    </row>
    <row r="154" spans="2:30" x14ac:dyDescent="0.2">
      <c r="B154" s="543">
        <v>3</v>
      </c>
      <c r="C154" s="543" t="s">
        <v>609</v>
      </c>
    </row>
    <row r="155" spans="2:30" x14ac:dyDescent="0.2">
      <c r="B155" s="543">
        <v>4</v>
      </c>
      <c r="C155" s="543" t="s">
        <v>610</v>
      </c>
    </row>
    <row r="156" spans="2:30" x14ac:dyDescent="0.2">
      <c r="B156" s="543">
        <v>5</v>
      </c>
      <c r="C156" s="543" t="s">
        <v>606</v>
      </c>
    </row>
  </sheetData>
  <mergeCells count="8">
    <mergeCell ref="P67:R67"/>
    <mergeCell ref="AB67:AC67"/>
    <mergeCell ref="C4:D4"/>
    <mergeCell ref="C7:D7"/>
    <mergeCell ref="D67:F67"/>
    <mergeCell ref="G67:I67"/>
    <mergeCell ref="J67:L67"/>
    <mergeCell ref="M67:O67"/>
  </mergeCells>
  <phoneticPr fontId="2"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156"/>
  <sheetViews>
    <sheetView showGridLines="0" zoomScale="70" zoomScaleNormal="70" workbookViewId="0"/>
  </sheetViews>
  <sheetFormatPr defaultColWidth="9.140625" defaultRowHeight="12.75" x14ac:dyDescent="0.2"/>
  <cols>
    <col min="1" max="1" width="4.140625" style="542" customWidth="1"/>
    <col min="2" max="2" width="3.5703125" style="542" customWidth="1"/>
    <col min="3" max="3" width="49.5703125" style="542" customWidth="1"/>
    <col min="4" max="4" width="12.7109375" style="542" customWidth="1"/>
    <col min="5" max="5" width="13.7109375" style="542" customWidth="1"/>
    <col min="6" max="7" width="13.28515625" style="542" customWidth="1"/>
    <col min="8" max="9" width="12.85546875" style="542" customWidth="1"/>
    <col min="10" max="10" width="12.28515625" style="542" customWidth="1"/>
    <col min="11" max="12" width="12.28515625" style="542" bestFit="1" customWidth="1"/>
    <col min="13" max="13" width="12.85546875" style="542" customWidth="1"/>
    <col min="14" max="15" width="12.28515625" style="542" bestFit="1" customWidth="1"/>
    <col min="16" max="16" width="13" style="542" customWidth="1"/>
    <col min="17" max="17" width="13.42578125" style="542" bestFit="1" customWidth="1"/>
    <col min="18" max="18" width="12.28515625" style="542" bestFit="1" customWidth="1"/>
    <col min="19" max="19" width="15" style="542" customWidth="1"/>
    <col min="20" max="20" width="12.28515625" style="542" customWidth="1"/>
    <col min="21" max="21" width="12.28515625" style="542" bestFit="1" customWidth="1"/>
    <col min="22" max="22" width="13.28515625" style="542" customWidth="1"/>
    <col min="23" max="24" width="12.28515625" style="542" bestFit="1" customWidth="1"/>
    <col min="25" max="25" width="11.5703125" style="542" customWidth="1"/>
    <col min="26" max="27" width="12.28515625" style="542" bestFit="1" customWidth="1"/>
    <col min="28" max="28" width="11.7109375" style="542" customWidth="1"/>
    <col min="29" max="30" width="12.28515625" style="542" bestFit="1" customWidth="1"/>
    <col min="31" max="16384" width="9.140625" style="542"/>
  </cols>
  <sheetData>
    <row r="1" spans="1:10" s="831" customFormat="1" ht="20.25" x14ac:dyDescent="0.3">
      <c r="B1" s="567" t="s">
        <v>370</v>
      </c>
      <c r="C1" s="832"/>
      <c r="I1" s="833" t="s">
        <v>668</v>
      </c>
    </row>
    <row r="2" spans="1:10" s="835" customFormat="1" ht="18" x14ac:dyDescent="0.25">
      <c r="A2" s="832"/>
      <c r="B2" s="834" t="s">
        <v>377</v>
      </c>
      <c r="D2" s="832"/>
      <c r="E2" s="832"/>
      <c r="F2" s="832"/>
      <c r="G2" s="836"/>
    </row>
    <row r="3" spans="1:10" ht="13.5" thickBot="1" x14ac:dyDescent="0.25"/>
    <row r="4" spans="1:10" x14ac:dyDescent="0.2">
      <c r="C4" s="941" t="s">
        <v>137</v>
      </c>
      <c r="D4" s="942"/>
      <c r="E4" s="519"/>
      <c r="F4" s="520"/>
    </row>
    <row r="5" spans="1:10" x14ac:dyDescent="0.2">
      <c r="C5" s="561"/>
      <c r="D5" s="562"/>
      <c r="E5" s="563"/>
      <c r="F5" s="564"/>
      <c r="G5" s="691"/>
      <c r="H5" s="690"/>
      <c r="I5" s="690"/>
      <c r="J5" s="690"/>
    </row>
    <row r="6" spans="1:10" x14ac:dyDescent="0.2">
      <c r="C6" s="688" t="s">
        <v>138</v>
      </c>
      <c r="D6" s="689"/>
      <c r="F6" s="549"/>
    </row>
    <row r="7" spans="1:10" x14ac:dyDescent="0.2">
      <c r="C7" s="943" t="s">
        <v>336</v>
      </c>
      <c r="D7" s="944"/>
      <c r="E7" s="761">
        <f>IRR(E147:X147,-0.9)</f>
        <v>0.13599680299285488</v>
      </c>
      <c r="F7" s="549"/>
    </row>
    <row r="8" spans="1:10" x14ac:dyDescent="0.2">
      <c r="C8" s="688" t="s">
        <v>373</v>
      </c>
      <c r="D8" s="236"/>
      <c r="E8" s="692"/>
      <c r="F8" s="549"/>
    </row>
    <row r="9" spans="1:10" x14ac:dyDescent="0.2">
      <c r="C9" s="693" t="s">
        <v>128</v>
      </c>
      <c r="D9" s="236"/>
      <c r="E9" s="694">
        <f>NPV(0.1,E147:X147)</f>
        <v>6.5520066524181608</v>
      </c>
      <c r="F9" s="549"/>
    </row>
    <row r="10" spans="1:10" x14ac:dyDescent="0.2">
      <c r="C10" s="693" t="s">
        <v>367</v>
      </c>
      <c r="D10" s="236"/>
      <c r="E10" s="695">
        <f>NPV(0.1,E63:I63)</f>
        <v>20.08172293167339</v>
      </c>
      <c r="F10" s="549"/>
    </row>
    <row r="11" spans="1:10" x14ac:dyDescent="0.2">
      <c r="C11" s="693" t="s">
        <v>384</v>
      </c>
      <c r="D11" s="236"/>
      <c r="E11" s="694">
        <f>E9+E10</f>
        <v>26.633729584091551</v>
      </c>
      <c r="F11" s="696"/>
    </row>
    <row r="12" spans="1:10" x14ac:dyDescent="0.2">
      <c r="C12" s="693" t="s">
        <v>368</v>
      </c>
      <c r="D12" s="236"/>
      <c r="E12" s="694">
        <f>NPV(0.1,E62:X62)</f>
        <v>28.987869517041627</v>
      </c>
      <c r="F12" s="549"/>
    </row>
    <row r="13" spans="1:10" x14ac:dyDescent="0.2">
      <c r="C13" s="693" t="s">
        <v>369</v>
      </c>
      <c r="D13" s="236"/>
      <c r="E13" s="694">
        <f>NPV(0.1,E146:X146)</f>
        <v>35.539876169459788</v>
      </c>
      <c r="F13" s="549"/>
    </row>
    <row r="14" spans="1:10" ht="13.5" thickBot="1" x14ac:dyDescent="0.25">
      <c r="C14" s="697" t="s">
        <v>136</v>
      </c>
      <c r="D14" s="698"/>
      <c r="E14" s="699">
        <f>E13/E12</f>
        <v>1.2260258087806803</v>
      </c>
      <c r="F14" s="700"/>
    </row>
    <row r="16" spans="1:10" ht="13.5" thickBot="1" x14ac:dyDescent="0.25"/>
    <row r="17" spans="3:30" s="543" customFormat="1"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30" s="543" customFormat="1" x14ac:dyDescent="0.2">
      <c r="C18" s="565" t="s">
        <v>616</v>
      </c>
      <c r="D18" s="524" t="s">
        <v>130</v>
      </c>
      <c r="E18" s="525"/>
      <c r="F18" s="526"/>
      <c r="G18" s="526"/>
      <c r="H18" s="526"/>
      <c r="I18" s="527"/>
      <c r="J18" s="526"/>
      <c r="K18" s="526"/>
      <c r="L18" s="526"/>
      <c r="M18" s="526"/>
      <c r="N18" s="526"/>
      <c r="O18" s="526"/>
      <c r="P18" s="526"/>
      <c r="Q18" s="526"/>
      <c r="R18" s="526"/>
      <c r="S18" s="526"/>
      <c r="T18" s="526"/>
      <c r="U18" s="526"/>
      <c r="V18" s="526"/>
      <c r="W18" s="526"/>
      <c r="X18" s="526"/>
      <c r="Y18" s="528"/>
    </row>
    <row r="19" spans="3:30" x14ac:dyDescent="0.2">
      <c r="C19" s="703"/>
      <c r="D19" s="704"/>
      <c r="Y19" s="549"/>
    </row>
    <row r="20" spans="3:30" s="111"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30" x14ac:dyDescent="0.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30" x14ac:dyDescent="0.2">
      <c r="C22" s="548"/>
      <c r="D22" s="704">
        <v>2008</v>
      </c>
      <c r="E22" s="704">
        <f t="shared" ref="E22:X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si="1"/>
        <v>2026</v>
      </c>
      <c r="W22" s="704">
        <f t="shared" si="1"/>
        <v>2027</v>
      </c>
      <c r="X22" s="704">
        <f t="shared" si="1"/>
        <v>2028</v>
      </c>
      <c r="Y22" s="813"/>
      <c r="Z22" s="704"/>
      <c r="AA22" s="704"/>
      <c r="AB22" s="704"/>
      <c r="AC22" s="704"/>
      <c r="AD22" s="704"/>
    </row>
    <row r="23" spans="3:30"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row>
    <row r="24" spans="3:30"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P24" s="557"/>
      <c r="Y24" s="549"/>
    </row>
    <row r="25" spans="3:30" x14ac:dyDescent="0.2">
      <c r="C25" s="703"/>
      <c r="Y25" s="549"/>
    </row>
    <row r="26" spans="3:30" x14ac:dyDescent="0.2">
      <c r="C26" s="708" t="s">
        <v>55</v>
      </c>
      <c r="Y26" s="549"/>
    </row>
    <row r="27" spans="3:30"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Y27" s="549"/>
    </row>
    <row r="28" spans="3:30" x14ac:dyDescent="0.2">
      <c r="C28" s="709" t="s">
        <v>57</v>
      </c>
      <c r="D28" s="542">
        <v>0</v>
      </c>
      <c r="E28" s="710">
        <f>E27*$AA$69/E24</f>
        <v>0.12167936050738851</v>
      </c>
      <c r="F28" s="710">
        <f t="shared" ref="F28:J28" si="2">F27*$AA$69/F24</f>
        <v>0.6859673948604027</v>
      </c>
      <c r="G28" s="710">
        <f t="shared" si="2"/>
        <v>6.5834211593458454</v>
      </c>
      <c r="H28" s="710">
        <f t="shared" si="2"/>
        <v>6.183812444914274</v>
      </c>
      <c r="I28" s="710">
        <f t="shared" si="2"/>
        <v>7.8330821048614823</v>
      </c>
      <c r="J28" s="710">
        <f t="shared" si="2"/>
        <v>0.71522937729641134</v>
      </c>
      <c r="Y28" s="549"/>
    </row>
    <row r="29" spans="3:30"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815"/>
      <c r="Z29" s="711"/>
      <c r="AA29" s="711"/>
      <c r="AB29" s="711"/>
      <c r="AC29" s="711"/>
      <c r="AD29" s="711"/>
    </row>
    <row r="30" spans="3:30" x14ac:dyDescent="0.2">
      <c r="C30" s="806"/>
      <c r="Y30" s="549"/>
    </row>
    <row r="31" spans="3:30" x14ac:dyDescent="0.2">
      <c r="C31" s="708" t="s">
        <v>360</v>
      </c>
      <c r="D31" s="711">
        <v>0</v>
      </c>
      <c r="E31" s="711">
        <f>E$27*Assumptions!$F$23/10^6</f>
        <v>9.7740155341949492E-3</v>
      </c>
      <c r="F31" s="711">
        <f>F$27*Assumptions!$F$23/10^6</f>
        <v>6.1087597088718429E-2</v>
      </c>
      <c r="G31" s="711">
        <f>G$27*Assumptions!$F$23/10^6</f>
        <v>0.649972033023964</v>
      </c>
      <c r="H31" s="711">
        <f>H$27*Assumptions!$F$23/10^6</f>
        <v>0.67685057574300023</v>
      </c>
      <c r="I31" s="711">
        <f>I$27*Assumptions!$F$23/10^6</f>
        <v>0.95052301070045875</v>
      </c>
      <c r="J31" s="711"/>
      <c r="K31" s="711"/>
      <c r="L31" s="711"/>
      <c r="M31" s="711"/>
      <c r="N31" s="711"/>
      <c r="O31" s="711"/>
      <c r="P31" s="711"/>
      <c r="Q31" s="711"/>
      <c r="R31" s="711"/>
      <c r="S31" s="711"/>
      <c r="T31" s="711"/>
      <c r="U31" s="711"/>
      <c r="V31" s="711"/>
      <c r="W31" s="711"/>
      <c r="X31" s="711"/>
      <c r="Y31" s="815"/>
      <c r="Z31" s="711"/>
      <c r="AA31" s="711"/>
      <c r="AB31" s="711"/>
      <c r="AC31" s="711"/>
      <c r="AD31" s="711"/>
    </row>
    <row r="32" spans="3:30" x14ac:dyDescent="0.2">
      <c r="C32" s="708" t="s">
        <v>361</v>
      </c>
      <c r="D32" s="711">
        <v>0</v>
      </c>
      <c r="E32" s="711">
        <f>E$27*Assumptions!$G$23/10^6</f>
        <v>7.9545800046299363E-3</v>
      </c>
      <c r="F32" s="711">
        <f>F$27*Assumptions!$G$23/10^6</f>
        <v>4.9716125028937096E-2</v>
      </c>
      <c r="G32" s="711">
        <f>G$27*Assumptions!$G$23/10^6</f>
        <v>0.52897957030789078</v>
      </c>
      <c r="H32" s="711">
        <f>H$27*Assumptions!$G$23/10^6</f>
        <v>0.5508546653206231</v>
      </c>
      <c r="I32" s="711">
        <f>I$27*Assumptions!$G$23/10^6</f>
        <v>0.7735829054502612</v>
      </c>
      <c r="J32" s="711"/>
      <c r="K32" s="711"/>
      <c r="L32" s="711"/>
      <c r="M32" s="711"/>
      <c r="N32" s="711"/>
      <c r="O32" s="711"/>
      <c r="P32" s="711"/>
      <c r="Q32" s="711"/>
      <c r="R32" s="711"/>
      <c r="S32" s="711"/>
      <c r="T32" s="711"/>
      <c r="U32" s="711"/>
      <c r="V32" s="711"/>
      <c r="W32" s="711"/>
      <c r="X32" s="711"/>
      <c r="Y32" s="815"/>
      <c r="Z32" s="711"/>
      <c r="AA32" s="711"/>
      <c r="AB32" s="711"/>
      <c r="AC32" s="711"/>
      <c r="AD32" s="711"/>
    </row>
    <row r="33" spans="3:30" x14ac:dyDescent="0.2">
      <c r="C33" s="708" t="s">
        <v>362</v>
      </c>
      <c r="D33" s="711">
        <v>0</v>
      </c>
      <c r="E33" s="711">
        <f>Assumptions!$H$23/10^6</f>
        <v>0.18803275572078684</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row>
    <row r="34" spans="3:30"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815"/>
      <c r="Z34" s="711"/>
      <c r="AA34" s="711"/>
      <c r="AB34" s="711"/>
      <c r="AC34" s="711"/>
      <c r="AD34" s="711"/>
    </row>
    <row r="35" spans="3:30" x14ac:dyDescent="0.2">
      <c r="C35" s="708" t="s">
        <v>31</v>
      </c>
      <c r="D35" s="553"/>
      <c r="E35" s="553"/>
      <c r="Y35" s="549"/>
    </row>
    <row r="36" spans="3:30" x14ac:dyDescent="0.2">
      <c r="C36" s="709" t="s">
        <v>10</v>
      </c>
      <c r="D36" s="553">
        <f>Assumptions!F48</f>
        <v>655.42500000000007</v>
      </c>
      <c r="E36" s="553">
        <f>D36</f>
        <v>655.42500000000007</v>
      </c>
      <c r="F36" s="553">
        <f t="shared" ref="F36:X39" si="3">E36</f>
        <v>655.42500000000007</v>
      </c>
      <c r="G36" s="553">
        <f t="shared" si="3"/>
        <v>655.42500000000007</v>
      </c>
      <c r="H36" s="553">
        <f t="shared" si="3"/>
        <v>655.42500000000007</v>
      </c>
      <c r="I36" s="553">
        <f t="shared" si="3"/>
        <v>655.42500000000007</v>
      </c>
      <c r="J36" s="553">
        <f t="shared" si="3"/>
        <v>655.42500000000007</v>
      </c>
      <c r="K36" s="553">
        <f t="shared" si="3"/>
        <v>655.42500000000007</v>
      </c>
      <c r="L36" s="553">
        <f t="shared" si="3"/>
        <v>655.42500000000007</v>
      </c>
      <c r="M36" s="553">
        <f t="shared" si="3"/>
        <v>655.42500000000007</v>
      </c>
      <c r="N36" s="553">
        <f t="shared" si="3"/>
        <v>655.42500000000007</v>
      </c>
      <c r="O36" s="553">
        <f t="shared" si="3"/>
        <v>655.42500000000007</v>
      </c>
      <c r="P36" s="553">
        <f t="shared" si="3"/>
        <v>655.42500000000007</v>
      </c>
      <c r="Q36" s="553">
        <f t="shared" si="3"/>
        <v>655.42500000000007</v>
      </c>
      <c r="R36" s="553">
        <f t="shared" si="3"/>
        <v>655.42500000000007</v>
      </c>
      <c r="S36" s="553">
        <f t="shared" si="3"/>
        <v>655.42500000000007</v>
      </c>
      <c r="T36" s="553">
        <f t="shared" si="3"/>
        <v>655.42500000000007</v>
      </c>
      <c r="U36" s="553">
        <f t="shared" si="3"/>
        <v>655.42500000000007</v>
      </c>
      <c r="V36" s="553">
        <f t="shared" si="3"/>
        <v>655.42500000000007</v>
      </c>
      <c r="W36" s="553">
        <f t="shared" si="3"/>
        <v>655.42500000000007</v>
      </c>
      <c r="X36" s="553">
        <f t="shared" si="3"/>
        <v>655.42500000000007</v>
      </c>
      <c r="Y36" s="814"/>
      <c r="Z36" s="553"/>
      <c r="AA36" s="553"/>
      <c r="AB36" s="553"/>
      <c r="AC36" s="553"/>
      <c r="AD36" s="553"/>
    </row>
    <row r="37" spans="3:30" x14ac:dyDescent="0.2">
      <c r="C37" s="709" t="s">
        <v>44</v>
      </c>
      <c r="D37" s="553">
        <f>Assumptions!F49</f>
        <v>296.7</v>
      </c>
      <c r="E37" s="553">
        <f>D37</f>
        <v>296.7</v>
      </c>
      <c r="F37" s="553">
        <f t="shared" si="3"/>
        <v>296.7</v>
      </c>
      <c r="G37" s="553">
        <f t="shared" si="3"/>
        <v>296.7</v>
      </c>
      <c r="H37" s="553">
        <f t="shared" si="3"/>
        <v>296.7</v>
      </c>
      <c r="I37" s="553">
        <f t="shared" si="3"/>
        <v>296.7</v>
      </c>
      <c r="J37" s="553">
        <f t="shared" si="3"/>
        <v>296.7</v>
      </c>
      <c r="K37" s="553">
        <f t="shared" si="3"/>
        <v>296.7</v>
      </c>
      <c r="L37" s="553">
        <f t="shared" si="3"/>
        <v>296.7</v>
      </c>
      <c r="M37" s="553">
        <f t="shared" si="3"/>
        <v>296.7</v>
      </c>
      <c r="N37" s="553">
        <f t="shared" si="3"/>
        <v>296.7</v>
      </c>
      <c r="O37" s="553">
        <f t="shared" si="3"/>
        <v>296.7</v>
      </c>
      <c r="P37" s="553">
        <f t="shared" si="3"/>
        <v>296.7</v>
      </c>
      <c r="Q37" s="553">
        <f t="shared" si="3"/>
        <v>296.7</v>
      </c>
      <c r="R37" s="553">
        <f t="shared" si="3"/>
        <v>296.7</v>
      </c>
      <c r="S37" s="553">
        <f t="shared" si="3"/>
        <v>296.7</v>
      </c>
      <c r="T37" s="553">
        <f t="shared" si="3"/>
        <v>296.7</v>
      </c>
      <c r="U37" s="553">
        <f t="shared" si="3"/>
        <v>296.7</v>
      </c>
      <c r="V37" s="553">
        <f t="shared" si="3"/>
        <v>296.7</v>
      </c>
      <c r="W37" s="553">
        <f t="shared" si="3"/>
        <v>296.7</v>
      </c>
      <c r="X37" s="553">
        <f t="shared" si="3"/>
        <v>296.7</v>
      </c>
      <c r="Y37" s="814"/>
      <c r="Z37" s="553"/>
      <c r="AA37" s="553"/>
      <c r="AB37" s="553"/>
      <c r="AC37" s="553"/>
      <c r="AD37" s="553"/>
    </row>
    <row r="38" spans="3:30" x14ac:dyDescent="0.2">
      <c r="C38" s="709" t="s">
        <v>45</v>
      </c>
      <c r="D38" s="553">
        <f>Assumptions!F50</f>
        <v>407.25</v>
      </c>
      <c r="E38" s="553">
        <f>D38</f>
        <v>407.25</v>
      </c>
      <c r="F38" s="553">
        <f t="shared" si="3"/>
        <v>407.25</v>
      </c>
      <c r="G38" s="553">
        <f t="shared" si="3"/>
        <v>407.25</v>
      </c>
      <c r="H38" s="553">
        <f t="shared" si="3"/>
        <v>407.25</v>
      </c>
      <c r="I38" s="553">
        <f t="shared" si="3"/>
        <v>407.25</v>
      </c>
      <c r="J38" s="553">
        <f t="shared" si="3"/>
        <v>407.25</v>
      </c>
      <c r="K38" s="553">
        <f t="shared" si="3"/>
        <v>407.25</v>
      </c>
      <c r="L38" s="553">
        <f t="shared" si="3"/>
        <v>407.25</v>
      </c>
      <c r="M38" s="553">
        <f t="shared" si="3"/>
        <v>407.25</v>
      </c>
      <c r="N38" s="553">
        <f t="shared" si="3"/>
        <v>407.25</v>
      </c>
      <c r="O38" s="553">
        <f t="shared" si="3"/>
        <v>407.25</v>
      </c>
      <c r="P38" s="553">
        <f t="shared" si="3"/>
        <v>407.25</v>
      </c>
      <c r="Q38" s="553">
        <f t="shared" si="3"/>
        <v>407.25</v>
      </c>
      <c r="R38" s="553">
        <f t="shared" si="3"/>
        <v>407.25</v>
      </c>
      <c r="S38" s="553">
        <f t="shared" si="3"/>
        <v>407.25</v>
      </c>
      <c r="T38" s="553">
        <f t="shared" si="3"/>
        <v>407.25</v>
      </c>
      <c r="U38" s="553">
        <f t="shared" si="3"/>
        <v>407.25</v>
      </c>
      <c r="V38" s="553">
        <f t="shared" si="3"/>
        <v>407.25</v>
      </c>
      <c r="W38" s="553">
        <f t="shared" si="3"/>
        <v>407.25</v>
      </c>
      <c r="X38" s="553">
        <f t="shared" si="3"/>
        <v>407.25</v>
      </c>
      <c r="Y38" s="814"/>
      <c r="Z38" s="553"/>
      <c r="AA38" s="553"/>
      <c r="AB38" s="553"/>
      <c r="AC38" s="553"/>
      <c r="AD38" s="553"/>
    </row>
    <row r="39" spans="3:30" x14ac:dyDescent="0.2">
      <c r="C39" s="712" t="s">
        <v>162</v>
      </c>
      <c r="D39" s="553">
        <f>Assumptions!F51</f>
        <v>400</v>
      </c>
      <c r="E39" s="553">
        <f>D39</f>
        <v>400</v>
      </c>
      <c r="F39" s="553">
        <f t="shared" si="3"/>
        <v>400</v>
      </c>
      <c r="G39" s="553">
        <f t="shared" si="3"/>
        <v>400</v>
      </c>
      <c r="H39" s="553">
        <f t="shared" si="3"/>
        <v>400</v>
      </c>
      <c r="I39" s="553">
        <f t="shared" si="3"/>
        <v>400</v>
      </c>
      <c r="J39" s="553">
        <f t="shared" si="3"/>
        <v>400</v>
      </c>
      <c r="K39" s="553">
        <f t="shared" si="3"/>
        <v>400</v>
      </c>
      <c r="L39" s="553">
        <f t="shared" si="3"/>
        <v>400</v>
      </c>
      <c r="M39" s="553">
        <f t="shared" si="3"/>
        <v>400</v>
      </c>
      <c r="N39" s="553">
        <f t="shared" si="3"/>
        <v>400</v>
      </c>
      <c r="O39" s="553">
        <f t="shared" si="3"/>
        <v>400</v>
      </c>
      <c r="P39" s="553">
        <f t="shared" si="3"/>
        <v>400</v>
      </c>
      <c r="Q39" s="553">
        <f t="shared" si="3"/>
        <v>400</v>
      </c>
      <c r="R39" s="553">
        <f t="shared" si="3"/>
        <v>400</v>
      </c>
      <c r="S39" s="553">
        <f t="shared" si="3"/>
        <v>400</v>
      </c>
      <c r="T39" s="553">
        <f t="shared" si="3"/>
        <v>400</v>
      </c>
      <c r="U39" s="553">
        <f t="shared" si="3"/>
        <v>400</v>
      </c>
      <c r="V39" s="553">
        <f t="shared" si="3"/>
        <v>400</v>
      </c>
      <c r="W39" s="553">
        <f t="shared" si="3"/>
        <v>400</v>
      </c>
      <c r="X39" s="553">
        <f t="shared" si="3"/>
        <v>400</v>
      </c>
      <c r="Y39" s="814"/>
      <c r="Z39" s="553"/>
      <c r="AA39" s="553"/>
      <c r="AB39" s="553"/>
      <c r="AC39" s="553"/>
      <c r="AD39" s="553"/>
    </row>
    <row r="40" spans="3:30"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row>
    <row r="41" spans="3:30" x14ac:dyDescent="0.2">
      <c r="C41" s="708" t="s">
        <v>28</v>
      </c>
      <c r="D41" s="553"/>
      <c r="E41" s="553"/>
      <c r="F41" s="553"/>
      <c r="G41" s="553"/>
      <c r="H41" s="553"/>
      <c r="I41" s="553"/>
      <c r="Y41" s="549"/>
    </row>
    <row r="42" spans="3:30" x14ac:dyDescent="0.2">
      <c r="C42" s="709" t="s">
        <v>10</v>
      </c>
      <c r="D42" s="553">
        <f>D77*D36*0.001</f>
        <v>0</v>
      </c>
      <c r="E42" s="553">
        <f t="shared" ref="E42:E44" si="4">(E77-D77)*E36*0.001</f>
        <v>0</v>
      </c>
      <c r="F42" s="553">
        <f t="shared" ref="F42:F44" si="5">(F77-E77)*F36*0.001</f>
        <v>0</v>
      </c>
      <c r="G42" s="553">
        <f t="shared" ref="G42:G44" si="6">(G77-F77)*G36*0.001</f>
        <v>0</v>
      </c>
      <c r="H42" s="553">
        <f t="shared" ref="H42:H44" si="7">(H77-G77)*H36*0.001</f>
        <v>0</v>
      </c>
      <c r="I42" s="553">
        <f t="shared" ref="I42:X42" si="8">(I77-H77)*I36*0.001</f>
        <v>62.839238913000003</v>
      </c>
      <c r="J42" s="553">
        <f t="shared" si="8"/>
        <v>68.651868512452495</v>
      </c>
      <c r="K42" s="553">
        <f t="shared" si="8"/>
        <v>17.970451348145144</v>
      </c>
      <c r="L42" s="553">
        <f t="shared" si="8"/>
        <v>3.4376158517927458</v>
      </c>
      <c r="M42" s="553">
        <f t="shared" si="8"/>
        <v>3.5166810163839366</v>
      </c>
      <c r="N42" s="553">
        <f t="shared" si="8"/>
        <v>3.5975646797608283</v>
      </c>
      <c r="O42" s="553">
        <f t="shared" si="8"/>
        <v>3.6803086673952623</v>
      </c>
      <c r="P42" s="553">
        <f t="shared" si="8"/>
        <v>3.7649557667453908</v>
      </c>
      <c r="Q42" s="553">
        <f t="shared" si="8"/>
        <v>3.8515497493805277</v>
      </c>
      <c r="R42" s="553">
        <f t="shared" si="8"/>
        <v>3.9401353936162651</v>
      </c>
      <c r="S42" s="553">
        <f t="shared" si="8"/>
        <v>4.0307585076694643</v>
      </c>
      <c r="T42" s="553">
        <f t="shared" si="8"/>
        <v>4.1234659533458746</v>
      </c>
      <c r="U42" s="553">
        <f t="shared" si="8"/>
        <v>4.2183056702727697</v>
      </c>
      <c r="V42" s="553">
        <f t="shared" si="8"/>
        <v>4.3153267006891207</v>
      </c>
      <c r="W42" s="553">
        <f t="shared" si="8"/>
        <v>4.414579214804891</v>
      </c>
      <c r="X42" s="553">
        <f t="shared" si="8"/>
        <v>4.5161145367454516</v>
      </c>
      <c r="Y42" s="814"/>
      <c r="Z42" s="553"/>
      <c r="AA42" s="553"/>
      <c r="AB42" s="553"/>
      <c r="AC42" s="553"/>
      <c r="AD42" s="553"/>
    </row>
    <row r="43" spans="3:30" x14ac:dyDescent="0.2">
      <c r="C43" s="709" t="s">
        <v>44</v>
      </c>
      <c r="D43" s="553">
        <v>0</v>
      </c>
      <c r="E43" s="553">
        <f t="shared" si="4"/>
        <v>0</v>
      </c>
      <c r="F43" s="553">
        <f t="shared" si="5"/>
        <v>0</v>
      </c>
      <c r="G43" s="553">
        <f t="shared" si="6"/>
        <v>0</v>
      </c>
      <c r="H43" s="553">
        <f t="shared" si="7"/>
        <v>0</v>
      </c>
      <c r="I43" s="553">
        <f t="shared" ref="I43:X43" si="9">(I78-H78)*I37*0.001</f>
        <v>100.162953</v>
      </c>
      <c r="J43" s="553">
        <f t="shared" si="9"/>
        <v>109.4280261525</v>
      </c>
      <c r="K43" s="553">
        <f t="shared" si="9"/>
        <v>28.644100484174942</v>
      </c>
      <c r="L43" s="553">
        <f t="shared" si="9"/>
        <v>5.4794068316435132</v>
      </c>
      <c r="M43" s="553">
        <f t="shared" si="9"/>
        <v>5.6054331887712712</v>
      </c>
      <c r="N43" s="553">
        <f t="shared" si="9"/>
        <v>5.7343581521130655</v>
      </c>
      <c r="O43" s="553">
        <f t="shared" si="9"/>
        <v>5.8662483896116093</v>
      </c>
      <c r="P43" s="553">
        <f t="shared" si="9"/>
        <v>6.0011721025727303</v>
      </c>
      <c r="Q43" s="553">
        <f t="shared" si="9"/>
        <v>6.1391990609318565</v>
      </c>
      <c r="R43" s="553">
        <f t="shared" si="9"/>
        <v>6.2804006393333083</v>
      </c>
      <c r="S43" s="553">
        <f t="shared" si="9"/>
        <v>6.4248498540379959</v>
      </c>
      <c r="T43" s="553">
        <f t="shared" si="9"/>
        <v>6.5726214006808599</v>
      </c>
      <c r="U43" s="553">
        <f t="shared" si="9"/>
        <v>6.7237916928964765</v>
      </c>
      <c r="V43" s="553">
        <f t="shared" si="9"/>
        <v>6.8784389018331353</v>
      </c>
      <c r="W43" s="553">
        <f t="shared" si="9"/>
        <v>7.0366429965752637</v>
      </c>
      <c r="X43" s="553">
        <f t="shared" si="9"/>
        <v>7.1984857854965396</v>
      </c>
      <c r="Y43" s="814"/>
      <c r="Z43" s="553"/>
      <c r="AA43" s="553"/>
      <c r="AB43" s="553"/>
      <c r="AC43" s="553"/>
      <c r="AD43" s="553"/>
    </row>
    <row r="44" spans="3:30" x14ac:dyDescent="0.2">
      <c r="C44" s="709" t="s">
        <v>45</v>
      </c>
      <c r="D44" s="553">
        <v>0</v>
      </c>
      <c r="E44" s="553">
        <f t="shared" si="4"/>
        <v>0</v>
      </c>
      <c r="F44" s="553">
        <f t="shared" si="5"/>
        <v>0</v>
      </c>
      <c r="G44" s="553">
        <f t="shared" si="6"/>
        <v>0</v>
      </c>
      <c r="H44" s="553">
        <f t="shared" si="7"/>
        <v>0</v>
      </c>
      <c r="I44" s="553">
        <f t="shared" ref="I44:X44" si="10">(I79-H79)*I38*0.001</f>
        <v>217.22072883875097</v>
      </c>
      <c r="J44" s="553">
        <f t="shared" si="10"/>
        <v>237.31364625633543</v>
      </c>
      <c r="K44" s="553">
        <f t="shared" si="10"/>
        <v>62.119697929661804</v>
      </c>
      <c r="L44" s="553">
        <f t="shared" si="10"/>
        <v>11.883043679569143</v>
      </c>
      <c r="M44" s="553">
        <f t="shared" si="10"/>
        <v>12.156353684199193</v>
      </c>
      <c r="N44" s="553">
        <f t="shared" si="10"/>
        <v>12.435949818935908</v>
      </c>
      <c r="O44" s="553">
        <f t="shared" si="10"/>
        <v>12.721976664771333</v>
      </c>
      <c r="P44" s="553">
        <f t="shared" si="10"/>
        <v>13.014582128061109</v>
      </c>
      <c r="Q44" s="553">
        <f t="shared" si="10"/>
        <v>13.313917517006471</v>
      </c>
      <c r="R44" s="553">
        <f t="shared" si="10"/>
        <v>13.620137619897651</v>
      </c>
      <c r="S44" s="553">
        <f t="shared" si="10"/>
        <v>13.933400785155341</v>
      </c>
      <c r="T44" s="553">
        <f t="shared" si="10"/>
        <v>14.253869003213834</v>
      </c>
      <c r="U44" s="553">
        <f t="shared" si="10"/>
        <v>14.58170799028772</v>
      </c>
      <c r="V44" s="553">
        <f t="shared" si="10"/>
        <v>14.917087274064484</v>
      </c>
      <c r="W44" s="553">
        <f t="shared" si="10"/>
        <v>15.260180281367724</v>
      </c>
      <c r="X44" s="553">
        <f t="shared" si="10"/>
        <v>15.611164427839359</v>
      </c>
      <c r="Y44" s="814"/>
      <c r="Z44" s="553"/>
      <c r="AA44" s="553"/>
      <c r="AB44" s="553"/>
      <c r="AC44" s="553"/>
      <c r="AD44" s="553"/>
    </row>
    <row r="45" spans="3:30" x14ac:dyDescent="0.2">
      <c r="C45" s="712" t="s">
        <v>162</v>
      </c>
      <c r="D45" s="553">
        <v>0</v>
      </c>
      <c r="E45" s="553">
        <f t="shared" ref="E45" si="11">(E81-D81)*E39*0.001</f>
        <v>0</v>
      </c>
      <c r="F45" s="553">
        <f t="shared" ref="F45" si="12">(F81-E81)*F39*0.001</f>
        <v>0</v>
      </c>
      <c r="G45" s="553">
        <f t="shared" ref="G45" si="13">(G81-F81)*G39*0.001</f>
        <v>0</v>
      </c>
      <c r="H45" s="553">
        <f t="shared" ref="H45" si="14">(H81-G81)*H39*0.001</f>
        <v>0</v>
      </c>
      <c r="I45" s="553">
        <f t="shared" ref="I45:X45" si="15">(I81-H81)*I39*0.001</f>
        <v>461.83999999999941</v>
      </c>
      <c r="J45" s="553">
        <f t="shared" si="15"/>
        <v>10.622319999997854</v>
      </c>
      <c r="K45" s="553">
        <f t="shared" si="15"/>
        <v>10.866633360000561</v>
      </c>
      <c r="L45" s="553">
        <f t="shared" si="15"/>
        <v>11.116565927281044</v>
      </c>
      <c r="M45" s="553">
        <f t="shared" si="15"/>
        <v>11.372246943606298</v>
      </c>
      <c r="N45" s="553">
        <f t="shared" si="15"/>
        <v>11.633808623309596</v>
      </c>
      <c r="O45" s="553">
        <f t="shared" si="15"/>
        <v>11.90138622164668</v>
      </c>
      <c r="P45" s="553">
        <f t="shared" si="15"/>
        <v>12.175118104743888</v>
      </c>
      <c r="Q45" s="553">
        <f t="shared" si="15"/>
        <v>12.455145821155748</v>
      </c>
      <c r="R45" s="553">
        <f t="shared" si="15"/>
        <v>12.74161417503783</v>
      </c>
      <c r="S45" s="553">
        <f t="shared" si="15"/>
        <v>13.034671301065828</v>
      </c>
      <c r="T45" s="553">
        <f t="shared" si="15"/>
        <v>13.334468740993179</v>
      </c>
      <c r="U45" s="553">
        <f t="shared" si="15"/>
        <v>13.641161522033508</v>
      </c>
      <c r="V45" s="553">
        <f t="shared" si="15"/>
        <v>13.954908237035852</v>
      </c>
      <c r="W45" s="553">
        <f t="shared" si="15"/>
        <v>14.27587112649344</v>
      </c>
      <c r="X45" s="553">
        <f t="shared" si="15"/>
        <v>14.604216162400553</v>
      </c>
      <c r="Y45" s="814"/>
      <c r="Z45" s="553"/>
      <c r="AA45" s="553"/>
      <c r="AB45" s="553"/>
      <c r="AC45" s="553"/>
      <c r="AD45" s="553"/>
    </row>
    <row r="46" spans="3:30" x14ac:dyDescent="0.2">
      <c r="C46" s="713" t="s">
        <v>32</v>
      </c>
      <c r="D46" s="554">
        <f>SUM(D42:D44)*0.001</f>
        <v>0</v>
      </c>
      <c r="E46" s="554">
        <f>SUM(E42:E44)*0.001</f>
        <v>0</v>
      </c>
      <c r="F46" s="554">
        <f>SUM(F42:F44)*0.001</f>
        <v>0</v>
      </c>
      <c r="G46" s="554">
        <f>SUM(G42:G44)*0.001</f>
        <v>0</v>
      </c>
      <c r="H46" s="554">
        <f>SUM(H42:H44)*0.001</f>
        <v>0</v>
      </c>
      <c r="I46" s="554">
        <f>SUM(I42:I45)*0.001</f>
        <v>0.84206292075175049</v>
      </c>
      <c r="J46" s="554">
        <f t="shared" ref="J46:X46" si="16">SUM(J42:J45)*0.001</f>
        <v>0.42601586092128579</v>
      </c>
      <c r="K46" s="554">
        <f t="shared" si="16"/>
        <v>0.11960088312198246</v>
      </c>
      <c r="L46" s="554">
        <f t="shared" si="16"/>
        <v>3.1916632290286441E-2</v>
      </c>
      <c r="M46" s="554">
        <f t="shared" si="16"/>
        <v>3.2650714832960705E-2</v>
      </c>
      <c r="N46" s="554">
        <f t="shared" si="16"/>
        <v>3.3401681274119396E-2</v>
      </c>
      <c r="O46" s="554">
        <f t="shared" si="16"/>
        <v>3.4169919943424887E-2</v>
      </c>
      <c r="P46" s="554">
        <f t="shared" si="16"/>
        <v>3.4955828102123124E-2</v>
      </c>
      <c r="Q46" s="554">
        <f t="shared" si="16"/>
        <v>3.5759812148474603E-2</v>
      </c>
      <c r="R46" s="554">
        <f t="shared" si="16"/>
        <v>3.6582287827885057E-2</v>
      </c>
      <c r="S46" s="554">
        <f t="shared" si="16"/>
        <v>3.7423680447928633E-2</v>
      </c>
      <c r="T46" s="554">
        <f t="shared" si="16"/>
        <v>3.8284425098233744E-2</v>
      </c>
      <c r="U46" s="554">
        <f t="shared" si="16"/>
        <v>3.9164966875490474E-2</v>
      </c>
      <c r="V46" s="554">
        <f t="shared" si="16"/>
        <v>4.0065761113622596E-2</v>
      </c>
      <c r="W46" s="554">
        <f t="shared" si="16"/>
        <v>4.0987273619241323E-2</v>
      </c>
      <c r="X46" s="554">
        <f t="shared" si="16"/>
        <v>4.1929980912481901E-2</v>
      </c>
      <c r="Y46" s="816"/>
      <c r="Z46" s="554"/>
      <c r="AA46" s="554"/>
      <c r="AB46" s="554"/>
      <c r="AC46" s="554"/>
      <c r="AD46" s="554"/>
    </row>
    <row r="47" spans="3:30" x14ac:dyDescent="0.2">
      <c r="C47" s="807"/>
      <c r="Y47" s="549"/>
    </row>
    <row r="48" spans="3:30" x14ac:dyDescent="0.2">
      <c r="C48" s="708" t="s">
        <v>58</v>
      </c>
      <c r="Y48" s="549"/>
    </row>
    <row r="49" spans="3:31" x14ac:dyDescent="0.2">
      <c r="C49" s="709" t="s">
        <v>59</v>
      </c>
      <c r="D49" s="707">
        <f>LRMC_energy</f>
        <v>0.21552001999999995</v>
      </c>
      <c r="E49" s="707">
        <f>D49</f>
        <v>0.21552001999999995</v>
      </c>
      <c r="F49" s="707">
        <f t="shared" ref="F49:U49" si="17">E49</f>
        <v>0.21552001999999995</v>
      </c>
      <c r="G49" s="707">
        <f t="shared" si="17"/>
        <v>0.21552001999999995</v>
      </c>
      <c r="H49" s="707">
        <f t="shared" si="17"/>
        <v>0.21552001999999995</v>
      </c>
      <c r="I49" s="707">
        <f t="shared" si="17"/>
        <v>0.21552001999999995</v>
      </c>
      <c r="J49" s="707">
        <f t="shared" si="17"/>
        <v>0.21552001999999995</v>
      </c>
      <c r="K49" s="707">
        <f t="shared" si="17"/>
        <v>0.21552001999999995</v>
      </c>
      <c r="L49" s="707">
        <f t="shared" si="17"/>
        <v>0.21552001999999995</v>
      </c>
      <c r="M49" s="707">
        <f t="shared" si="17"/>
        <v>0.21552001999999995</v>
      </c>
      <c r="N49" s="707">
        <f t="shared" si="17"/>
        <v>0.21552001999999995</v>
      </c>
      <c r="O49" s="707">
        <f t="shared" si="17"/>
        <v>0.21552001999999995</v>
      </c>
      <c r="P49" s="707">
        <f t="shared" si="17"/>
        <v>0.21552001999999995</v>
      </c>
      <c r="Q49" s="707">
        <f t="shared" si="17"/>
        <v>0.21552001999999995</v>
      </c>
      <c r="R49" s="707">
        <f t="shared" si="17"/>
        <v>0.21552001999999995</v>
      </c>
      <c r="S49" s="707">
        <f t="shared" si="17"/>
        <v>0.21552001999999995</v>
      </c>
      <c r="T49" s="707">
        <f t="shared" si="17"/>
        <v>0.21552001999999995</v>
      </c>
      <c r="U49" s="707">
        <f t="shared" si="17"/>
        <v>0.21552001999999995</v>
      </c>
      <c r="V49" s="707">
        <f t="shared" ref="V49:X49" si="18">U49</f>
        <v>0.21552001999999995</v>
      </c>
      <c r="W49" s="707">
        <f t="shared" si="18"/>
        <v>0.21552001999999995</v>
      </c>
      <c r="X49" s="707">
        <f t="shared" si="18"/>
        <v>0.21552001999999995</v>
      </c>
      <c r="Y49" s="817"/>
      <c r="Z49" s="707"/>
      <c r="AA49" s="707"/>
      <c r="AB49" s="707"/>
      <c r="AC49" s="707"/>
      <c r="AD49" s="707"/>
    </row>
    <row r="50" spans="3:31" x14ac:dyDescent="0.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row>
    <row r="51" spans="3:31" x14ac:dyDescent="0.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row>
    <row r="52" spans="3:31" x14ac:dyDescent="0.2">
      <c r="C52" s="713" t="s">
        <v>60</v>
      </c>
      <c r="D52" s="558">
        <f t="shared" ref="D52:H52" si="19">IF(D23=1,(D49*D117*(1+D50)*(1+D51)),0)</f>
        <v>0</v>
      </c>
      <c r="E52" s="558">
        <f t="shared" si="19"/>
        <v>0</v>
      </c>
      <c r="F52" s="558">
        <f t="shared" si="19"/>
        <v>0</v>
      </c>
      <c r="G52" s="558">
        <f t="shared" si="19"/>
        <v>0</v>
      </c>
      <c r="H52" s="558">
        <f t="shared" si="19"/>
        <v>0</v>
      </c>
      <c r="I52" s="558">
        <f>IF(I23=1,(I49*I117*(1+I50)*(1+I51)),0)</f>
        <v>0.54735943531584919</v>
      </c>
      <c r="J52" s="558">
        <f t="shared" ref="J52:X52" si="20">IF(J23=1,(J49*J117*(1+J50)*(1+J51)),0)</f>
        <v>1.1568031145823987</v>
      </c>
      <c r="K52" s="558">
        <f t="shared" si="20"/>
        <v>1.3280485356444127</v>
      </c>
      <c r="L52" s="558">
        <f t="shared" si="20"/>
        <v>1.3721795884838766</v>
      </c>
      <c r="M52" s="558">
        <f t="shared" si="20"/>
        <v>1.4177771162091952</v>
      </c>
      <c r="N52" s="558">
        <f t="shared" si="20"/>
        <v>1.4648898497808269</v>
      </c>
      <c r="O52" s="558">
        <f t="shared" si="20"/>
        <v>1.5135681394890432</v>
      </c>
      <c r="P52" s="558">
        <f t="shared" si="20"/>
        <v>1.5638640087642646</v>
      </c>
      <c r="Q52" s="558">
        <f t="shared" si="20"/>
        <v>1.615831209775501</v>
      </c>
      <c r="R52" s="558">
        <f t="shared" si="20"/>
        <v>1.6695252808763408</v>
      </c>
      <c r="S52" s="558">
        <f t="shared" si="20"/>
        <v>1.7250036059598608</v>
      </c>
      <c r="T52" s="558">
        <f t="shared" si="20"/>
        <v>1.7823254757859073</v>
      </c>
      <c r="U52" s="558">
        <f t="shared" si="20"/>
        <v>1.8415521513462725</v>
      </c>
      <c r="V52" s="558">
        <f t="shared" si="20"/>
        <v>1.9027469293355095</v>
      </c>
      <c r="W52" s="558">
        <f t="shared" si="20"/>
        <v>1.9659752097973278</v>
      </c>
      <c r="X52" s="558">
        <f t="shared" si="20"/>
        <v>2.0313045660188935</v>
      </c>
      <c r="Y52" s="808"/>
      <c r="Z52" s="558"/>
      <c r="AA52" s="558"/>
      <c r="AB52" s="558"/>
      <c r="AC52" s="558"/>
      <c r="AD52" s="558"/>
      <c r="AE52" s="558"/>
    </row>
    <row r="53" spans="3:31" x14ac:dyDescent="0.2">
      <c r="C53" s="703"/>
      <c r="H53" s="714"/>
      <c r="Y53" s="549"/>
    </row>
    <row r="54" spans="3:31" x14ac:dyDescent="0.2">
      <c r="C54" s="708" t="s">
        <v>77</v>
      </c>
      <c r="D54" s="553"/>
      <c r="E54" s="553"/>
      <c r="Y54" s="549"/>
    </row>
    <row r="55" spans="3:31" x14ac:dyDescent="0.2">
      <c r="C55" s="713" t="s">
        <v>352</v>
      </c>
      <c r="D55" s="711">
        <v>0</v>
      </c>
      <c r="E55" s="711">
        <f>Assumptions!I23/10^6</f>
        <v>4.0560653972120143E-2</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row>
    <row r="56" spans="3:31" x14ac:dyDescent="0.2">
      <c r="C56" s="713" t="s">
        <v>29</v>
      </c>
      <c r="D56" s="711">
        <v>0</v>
      </c>
      <c r="E56" s="711">
        <f>E27*Assumptions!$J$23/10^6</f>
        <v>8.1239164378711422E-3</v>
      </c>
      <c r="F56" s="711">
        <f>F27*Assumptions!$J$23/10^6</f>
        <v>5.0774477736694648E-2</v>
      </c>
      <c r="G56" s="711">
        <f>G27*Assumptions!$J$23/10^6</f>
        <v>0.540240443118431</v>
      </c>
      <c r="H56" s="711">
        <f>H27*Assumptions!$J$23/10^6</f>
        <v>0.56258121332257671</v>
      </c>
      <c r="I56" s="711">
        <f>I27*Assumptions!$J$23/10^6</f>
        <v>0.79005087358296877</v>
      </c>
      <c r="J56" s="711"/>
      <c r="K56" s="711"/>
      <c r="L56" s="711"/>
      <c r="M56" s="711"/>
      <c r="N56" s="711"/>
      <c r="O56" s="711"/>
      <c r="P56" s="711"/>
      <c r="Q56" s="711"/>
      <c r="R56" s="711"/>
      <c r="S56" s="711"/>
      <c r="T56" s="711"/>
      <c r="U56" s="711"/>
      <c r="V56" s="711"/>
      <c r="W56" s="711"/>
      <c r="X56" s="711"/>
      <c r="Y56" s="815"/>
      <c r="Z56" s="711"/>
      <c r="AA56" s="711"/>
      <c r="AB56" s="711"/>
      <c r="AC56" s="711"/>
      <c r="AD56" s="711"/>
    </row>
    <row r="57" spans="3:31" x14ac:dyDescent="0.2">
      <c r="C57" s="709" t="s">
        <v>79</v>
      </c>
      <c r="D57" s="711">
        <f>SUM(D55:D56)</f>
        <v>0</v>
      </c>
      <c r="E57" s="711">
        <f>SUM(E55:E56)</f>
        <v>4.8684570409991287E-2</v>
      </c>
      <c r="F57" s="711">
        <f t="shared" ref="F57:I57" si="21">SUM(F55:F56)</f>
        <v>5.0774477736694648E-2</v>
      </c>
      <c r="G57" s="711">
        <f t="shared" si="21"/>
        <v>0.540240443118431</v>
      </c>
      <c r="H57" s="711">
        <f t="shared" si="21"/>
        <v>0.56258121332257671</v>
      </c>
      <c r="I57" s="711">
        <f t="shared" si="21"/>
        <v>0.79005087358296877</v>
      </c>
      <c r="J57" s="711"/>
      <c r="K57" s="711"/>
      <c r="L57" s="711"/>
      <c r="M57" s="711"/>
      <c r="N57" s="711"/>
      <c r="O57" s="711"/>
      <c r="P57" s="711"/>
      <c r="Q57" s="711"/>
      <c r="R57" s="711"/>
      <c r="S57" s="711"/>
      <c r="T57" s="711"/>
      <c r="U57" s="711"/>
      <c r="V57" s="711"/>
      <c r="W57" s="711"/>
      <c r="X57" s="711"/>
      <c r="Y57" s="815"/>
      <c r="Z57" s="711"/>
      <c r="AA57" s="711"/>
      <c r="AB57" s="711"/>
      <c r="AC57" s="711"/>
      <c r="AD57" s="711"/>
    </row>
    <row r="58" spans="3:31"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row>
    <row r="59" spans="3:31" x14ac:dyDescent="0.2">
      <c r="C59" s="708" t="s">
        <v>363</v>
      </c>
      <c r="D59" s="711">
        <v>0</v>
      </c>
      <c r="E59" s="711">
        <f>E$27*Assumptions!$K$23/10^6</f>
        <v>3.9099394055718229E-3</v>
      </c>
      <c r="F59" s="711">
        <f>F$27*Assumptions!$K$23/10^6</f>
        <v>2.4437121284823893E-2</v>
      </c>
      <c r="G59" s="711">
        <f>G$27*Assumptions!$K$23/10^6</f>
        <v>0.26001097047052624</v>
      </c>
      <c r="H59" s="711">
        <f>H$27*Assumptions!$K$23/10^6</f>
        <v>0.27076330383584873</v>
      </c>
      <c r="I59" s="711">
        <f>I$27*Assumptions!$K$23/10^6</f>
        <v>0.38024160719185979</v>
      </c>
      <c r="J59" s="711"/>
      <c r="K59" s="711"/>
      <c r="L59" s="711"/>
      <c r="M59" s="711"/>
      <c r="N59" s="711"/>
      <c r="O59" s="711"/>
      <c r="P59" s="711"/>
      <c r="Q59" s="711"/>
      <c r="R59" s="711"/>
      <c r="S59" s="711"/>
      <c r="T59" s="711"/>
      <c r="U59" s="711"/>
      <c r="V59" s="711"/>
      <c r="W59" s="711"/>
      <c r="X59" s="711"/>
      <c r="Y59" s="815"/>
      <c r="Z59" s="711"/>
      <c r="AA59" s="711"/>
      <c r="AB59" s="711"/>
      <c r="AC59" s="711"/>
      <c r="AD59" s="711"/>
    </row>
    <row r="60" spans="3:31" x14ac:dyDescent="0.2">
      <c r="C60" s="708" t="s">
        <v>364</v>
      </c>
      <c r="D60" s="711">
        <v>0</v>
      </c>
      <c r="E60" s="711">
        <f>E$27*Assumptions!$L$23/10^6</f>
        <v>1.7718656177729785E-3</v>
      </c>
      <c r="F60" s="711">
        <f>F$27*Assumptions!$L$23/10^6</f>
        <v>1.1074160111081118E-2</v>
      </c>
      <c r="G60" s="711">
        <f>G$27*Assumptions!$L$23/10^6</f>
        <v>0.11782906358190308</v>
      </c>
      <c r="H60" s="711">
        <f>H$27*Assumptions!$L$23/10^6</f>
        <v>0.12270169403077877</v>
      </c>
      <c r="I60" s="711">
        <f>I$27*Assumptions!$L$23/10^6</f>
        <v>0.17231393132842215</v>
      </c>
      <c r="J60" s="711"/>
      <c r="K60" s="711"/>
      <c r="L60" s="711"/>
      <c r="M60" s="711"/>
      <c r="N60" s="711"/>
      <c r="O60" s="711"/>
      <c r="P60" s="711"/>
      <c r="Q60" s="711"/>
      <c r="R60" s="711"/>
      <c r="S60" s="711"/>
      <c r="T60" s="711"/>
      <c r="U60" s="711"/>
      <c r="V60" s="711"/>
      <c r="W60" s="711"/>
      <c r="X60" s="711"/>
      <c r="Y60" s="815"/>
      <c r="Z60" s="711"/>
      <c r="AA60" s="711"/>
      <c r="AB60" s="711"/>
      <c r="AC60" s="711"/>
      <c r="AD60" s="711"/>
    </row>
    <row r="61" spans="3:31"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row>
    <row r="62" spans="3:31" x14ac:dyDescent="0.2">
      <c r="C62" s="716" t="s">
        <v>100</v>
      </c>
      <c r="D62" s="711">
        <f>SUM(D28:D29,D31:D33,D46,D52,D57,D59:D60)*'ERR &amp; Sensitivity Analysis'!$G$9</f>
        <v>0</v>
      </c>
      <c r="E62" s="711">
        <f>SUM(E28:E29,E31:E33,E46,E52,E57,E59:E60)*'ERR &amp; Sensitivity Analysis'!$G$9</f>
        <v>0.38180708720033635</v>
      </c>
      <c r="F62" s="711">
        <f>SUM(F28:F29,F31:F33,F46,F52,F57,F59:F60)*'ERR &amp; Sensitivity Analysis'!$G$9</f>
        <v>0.88305687611065786</v>
      </c>
      <c r="G62" s="711">
        <f>SUM(G28:G29,G31:G33,G46,G52,G57,G59:G60)*'ERR &amp; Sensitivity Analysis'!$G$9</f>
        <v>8.6804532398485605</v>
      </c>
      <c r="H62" s="711">
        <f>SUM(H28:H29,H31:H33,H46,H52,H57,H59:H60)*'ERR &amp; Sensitivity Analysis'!$G$9</f>
        <v>8.367563897167102</v>
      </c>
      <c r="I62" s="711">
        <f>SUM(I28:I29,I31:I33,I46,I52,I57,I59:I60)*'ERR &amp; Sensitivity Analysis'!$G$9</f>
        <v>12.289216789183051</v>
      </c>
      <c r="J62" s="711">
        <f>SUM(J28:J29,J31:J33,J46,J52,J57,J59:J60)*'ERR &amp; Sensitivity Analysis'!$G$9</f>
        <v>2.2980483528000959</v>
      </c>
      <c r="K62" s="711">
        <f>SUM(K28:K29,K31:K33,K46,K52,K57,K59:K60)*'ERR &amp; Sensitivity Analysis'!$G$9</f>
        <v>1.4476494187663951</v>
      </c>
      <c r="L62" s="711">
        <f>SUM(L28:L29,L31:L33,L46,L52,L57,L59:L60)*'ERR &amp; Sensitivity Analysis'!$G$9</f>
        <v>1.404096220774163</v>
      </c>
      <c r="M62" s="711">
        <f>SUM(M28:M29,M31:M33,M46,M52,M57,M59:M60)*'ERR &amp; Sensitivity Analysis'!$G$9</f>
        <v>1.4504278310421559</v>
      </c>
      <c r="N62" s="711">
        <f>SUM(N28:N29,N31:N33,N46,N52,N57,N59:N60)*'ERR &amp; Sensitivity Analysis'!$G$9</f>
        <v>1.4982915310549463</v>
      </c>
      <c r="O62" s="711">
        <f>SUM(O28:O29,O31:O33,O46,O52,O57,O59:O60)*'ERR &amp; Sensitivity Analysis'!$G$9</f>
        <v>1.5477380594324681</v>
      </c>
      <c r="P62" s="711">
        <f>SUM(P28:P29,P31:P33,P46,P52,P57,P59:P60)*'ERR &amp; Sensitivity Analysis'!$G$9</f>
        <v>1.5988198368663877</v>
      </c>
      <c r="Q62" s="711">
        <f>SUM(Q28:Q29,Q31:Q33,Q46,Q52,Q57,Q59:Q60)*'ERR &amp; Sensitivity Analysis'!$G$9</f>
        <v>1.6515910219239756</v>
      </c>
      <c r="R62" s="711">
        <f>SUM(R28:R29,R31:R33,R46,R52,R57,R59:R60)*'ERR &amp; Sensitivity Analysis'!$G$9</f>
        <v>1.7061075687042258</v>
      </c>
      <c r="S62" s="711">
        <f>SUM(S28:S29,S31:S33,S46,S52,S57,S59:S60)*'ERR &amp; Sensitivity Analysis'!$G$9</f>
        <v>1.7624272864077895</v>
      </c>
      <c r="T62" s="711">
        <f>SUM(T28:T29,T31:T33,T46,T52,T57,T59:T60)*'ERR &amp; Sensitivity Analysis'!$G$9</f>
        <v>1.820609900884141</v>
      </c>
      <c r="U62" s="711">
        <f>SUM(U28:U29,U31:U33,U46,U52,U57,U59:U60)*'ERR &amp; Sensitivity Analysis'!$G$9</f>
        <v>1.880717118221763</v>
      </c>
      <c r="V62" s="711">
        <f>SUM(V28:V29,V31:V33,V46,V52,V57,V59:V60)*'ERR &amp; Sensitivity Analysis'!$G$9</f>
        <v>1.9428126904491321</v>
      </c>
      <c r="W62" s="711">
        <f>SUM(W28:W29,W31:W33,W46,W52,W57,W59:W60)*'ERR &amp; Sensitivity Analysis'!$G$9</f>
        <v>2.0069624834165691</v>
      </c>
      <c r="X62" s="711">
        <f>SUM(X28:X29,X31:X33,X46,X52,X57,X59:X60)*'ERR &amp; Sensitivity Analysis'!$G$9</f>
        <v>2.0732345469313755</v>
      </c>
      <c r="Y62" s="815"/>
      <c r="Z62" s="711"/>
      <c r="AA62" s="711"/>
      <c r="AB62" s="711"/>
      <c r="AC62" s="711"/>
      <c r="AD62" s="711"/>
    </row>
    <row r="63" spans="3:31" x14ac:dyDescent="0.2">
      <c r="C63" s="708" t="s">
        <v>367</v>
      </c>
      <c r="D63" s="711">
        <f>SUM(D28,D31:D33,D57,D59:D60)</f>
        <v>0</v>
      </c>
      <c r="E63" s="711">
        <f t="shared" ref="E63:I63" si="22">SUM(E28,E31:E33,E57,E59:E60)</f>
        <v>0.38180708720033635</v>
      </c>
      <c r="F63" s="711">
        <f t="shared" si="22"/>
        <v>0.88305687611065786</v>
      </c>
      <c r="G63" s="711">
        <f t="shared" si="22"/>
        <v>8.6804532398485605</v>
      </c>
      <c r="H63" s="711">
        <f t="shared" si="22"/>
        <v>8.367563897167102</v>
      </c>
      <c r="I63" s="711">
        <f t="shared" si="22"/>
        <v>10.899794433115451</v>
      </c>
      <c r="J63" s="711"/>
      <c r="K63" s="711"/>
      <c r="L63" s="711"/>
      <c r="M63" s="711"/>
      <c r="N63" s="711"/>
      <c r="O63" s="711"/>
      <c r="P63" s="711"/>
      <c r="Q63" s="711"/>
      <c r="R63" s="711"/>
      <c r="S63" s="711"/>
      <c r="T63" s="711"/>
      <c r="U63" s="711"/>
      <c r="V63" s="711"/>
      <c r="W63" s="711"/>
      <c r="X63" s="711"/>
      <c r="Y63" s="815"/>
      <c r="Z63" s="711"/>
      <c r="AA63" s="711"/>
      <c r="AB63" s="711"/>
      <c r="AC63" s="711"/>
      <c r="AD63" s="711"/>
    </row>
    <row r="64" spans="3:31" ht="13.5" thickBot="1" x14ac:dyDescent="0.25">
      <c r="C64" s="540"/>
      <c r="D64" s="724"/>
      <c r="E64" s="724"/>
      <c r="F64" s="724"/>
      <c r="G64" s="724"/>
      <c r="H64" s="724"/>
      <c r="I64" s="724"/>
      <c r="J64" s="724"/>
      <c r="K64" s="724"/>
      <c r="L64" s="724"/>
      <c r="M64" s="724"/>
      <c r="N64" s="724"/>
      <c r="O64" s="724"/>
      <c r="P64" s="724"/>
      <c r="Q64" s="733"/>
      <c r="R64" s="724"/>
      <c r="S64" s="724"/>
      <c r="T64" s="724"/>
      <c r="U64" s="724"/>
      <c r="V64" s="724"/>
      <c r="W64" s="724"/>
      <c r="X64" s="724"/>
      <c r="Y64" s="700"/>
    </row>
    <row r="65" spans="3:31" x14ac:dyDescent="0.2">
      <c r="Q65" s="553"/>
    </row>
    <row r="66" spans="3:31" ht="13.5" thickBot="1" x14ac:dyDescent="0.25"/>
    <row r="67" spans="3:31" s="543" customFormat="1" ht="28.5" customHeight="1" x14ac:dyDescent="0.2">
      <c r="C67" s="530" t="s">
        <v>614</v>
      </c>
      <c r="D67" s="947" t="s">
        <v>173</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31" s="543" customFormat="1"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31" x14ac:dyDescent="0.2">
      <c r="C69" s="536"/>
      <c r="D69" s="537">
        <v>213</v>
      </c>
      <c r="E69" s="537">
        <v>750</v>
      </c>
      <c r="F69" s="537">
        <f>E70-D69-E69</f>
        <v>1184.9823000000001</v>
      </c>
      <c r="G69" s="542">
        <v>15000</v>
      </c>
      <c r="H69" s="542">
        <v>2425</v>
      </c>
      <c r="I69" s="542">
        <v>1734</v>
      </c>
      <c r="J69" s="539">
        <f>custnopa</f>
        <v>2.3E-2</v>
      </c>
      <c r="K69" s="539">
        <f>Assumptions!D62</f>
        <v>2.3E-2</v>
      </c>
      <c r="L69" s="539">
        <f>Assumptions!E62</f>
        <v>2.3E-2</v>
      </c>
      <c r="M69" s="539">
        <f>unitconspa</f>
        <v>0.01</v>
      </c>
      <c r="N69" s="539">
        <f>Assumptions!D61</f>
        <v>0.01</v>
      </c>
      <c r="O69" s="539">
        <f>Assumptions!E61</f>
        <v>0.01</v>
      </c>
      <c r="P69" s="743">
        <f>G69*D69*0.001</f>
        <v>3195</v>
      </c>
      <c r="Q69" s="743">
        <f>H69*E69*0.001*Assumptions!$C14</f>
        <v>1364.0625</v>
      </c>
      <c r="R69" s="743">
        <f>I69*F69*0.001*Assumptions!$C13</f>
        <v>1027.3796541000002</v>
      </c>
      <c r="S69" s="538">
        <f>(SUM(P69:R69)/8.76)/T69</f>
        <v>1161.5914786973276</v>
      </c>
      <c r="T69" s="684">
        <f>SUMPRODUCT(P69:R69,P70:R70)/SUM(P69:R69)</f>
        <v>0.54900687443421781</v>
      </c>
      <c r="U69" s="118" t="str">
        <f>IF(S69/X69&gt;1,"Constrained"," ")</f>
        <v xml:space="preserve"> </v>
      </c>
      <c r="V69" s="538">
        <v>13500</v>
      </c>
      <c r="W69" s="538">
        <v>1</v>
      </c>
      <c r="X69" s="538">
        <f>V69*W69</f>
        <v>13500</v>
      </c>
      <c r="Y69" s="710">
        <f>Assumptions!C23*10^-6</f>
        <v>16.598582122448899</v>
      </c>
      <c r="Z69" s="710">
        <f>Assumptions!D23*10^-6</f>
        <v>3.5378757306654514</v>
      </c>
      <c r="AA69" s="710">
        <f>SUMPRODUCT(Y69:Z69,AB69:AC69)</f>
        <v>20.136457853114351</v>
      </c>
      <c r="AB69" s="111">
        <f>Assumptions!F12</f>
        <v>1</v>
      </c>
      <c r="AC69" s="550">
        <f>Assumptions!G12</f>
        <v>1</v>
      </c>
    </row>
    <row r="70" spans="3:31" x14ac:dyDescent="0.2">
      <c r="C70" s="703"/>
      <c r="D70" s="748" t="s">
        <v>0</v>
      </c>
      <c r="E70" s="537">
        <f>Summary!D52</f>
        <v>2147.9823000000001</v>
      </c>
      <c r="F70" s="537">
        <f>SUM(D69:F69)</f>
        <v>2147.9823000000001</v>
      </c>
      <c r="G70" s="538"/>
      <c r="H70" s="538"/>
      <c r="I70" s="538"/>
      <c r="J70" s="539"/>
      <c r="K70" s="539"/>
      <c r="L70" s="539"/>
      <c r="M70" s="539"/>
      <c r="N70" s="539"/>
      <c r="O70" s="539"/>
      <c r="P70" s="684">
        <f>Assumptions!F55</f>
        <v>0.65</v>
      </c>
      <c r="Q70" s="684">
        <f>Assumptions!F56</f>
        <v>0.5</v>
      </c>
      <c r="R70" s="684">
        <f>Assumptions!F57</f>
        <v>0.3</v>
      </c>
      <c r="S70" s="744">
        <f>S69/E70</f>
        <v>0.54078261198769073</v>
      </c>
      <c r="T70" s="684"/>
      <c r="U70" s="111"/>
      <c r="X70" s="558">
        <f>X69/S69</f>
        <v>11.621986083385908</v>
      </c>
      <c r="Y70" s="710"/>
      <c r="Z70" s="710"/>
      <c r="AA70" s="710"/>
      <c r="AC70" s="549"/>
    </row>
    <row r="71" spans="3:31" x14ac:dyDescent="0.2">
      <c r="C71" s="703"/>
      <c r="Q71" s="542" t="s">
        <v>64</v>
      </c>
      <c r="R71" s="538">
        <f>IF(R69=0,0,(SUM(P69:R69)/SUM(D69:F69))*1000)</f>
        <v>2600.7859348282341</v>
      </c>
      <c r="AC71" s="549"/>
    </row>
    <row r="72" spans="3:31" x14ac:dyDescent="0.2">
      <c r="C72" s="703"/>
      <c r="H72" s="740" t="s">
        <v>175</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684"/>
      <c r="Z72" s="684"/>
      <c r="AA72" s="684"/>
      <c r="AB72" s="684"/>
      <c r="AC72" s="820"/>
      <c r="AD72" s="684"/>
    </row>
    <row r="73" spans="3:31" x14ac:dyDescent="0.2">
      <c r="C73" s="548"/>
      <c r="AC73" s="549"/>
    </row>
    <row r="74" spans="3:31" s="240" customFormat="1" x14ac:dyDescent="0.2">
      <c r="C74" s="548"/>
      <c r="D74" s="111">
        <f t="shared" ref="D74:X74" si="23">D22</f>
        <v>2008</v>
      </c>
      <c r="E74" s="111">
        <f t="shared" si="23"/>
        <v>2009</v>
      </c>
      <c r="F74" s="111">
        <f t="shared" si="23"/>
        <v>2010</v>
      </c>
      <c r="G74" s="111">
        <f t="shared" si="23"/>
        <v>2011</v>
      </c>
      <c r="H74" s="111">
        <f t="shared" si="23"/>
        <v>2012</v>
      </c>
      <c r="I74" s="111">
        <f t="shared" si="23"/>
        <v>2013</v>
      </c>
      <c r="J74" s="111">
        <f t="shared" si="23"/>
        <v>2014</v>
      </c>
      <c r="K74" s="111">
        <f t="shared" si="23"/>
        <v>2015</v>
      </c>
      <c r="L74" s="111">
        <f t="shared" si="23"/>
        <v>2016</v>
      </c>
      <c r="M74" s="111">
        <f t="shared" si="23"/>
        <v>2017</v>
      </c>
      <c r="N74" s="111">
        <f t="shared" si="23"/>
        <v>2018</v>
      </c>
      <c r="O74" s="111">
        <f t="shared" si="23"/>
        <v>2019</v>
      </c>
      <c r="P74" s="111">
        <f t="shared" si="23"/>
        <v>2020</v>
      </c>
      <c r="Q74" s="111">
        <f t="shared" si="23"/>
        <v>2021</v>
      </c>
      <c r="R74" s="111">
        <f t="shared" si="23"/>
        <v>2022</v>
      </c>
      <c r="S74" s="111">
        <f t="shared" si="23"/>
        <v>2023</v>
      </c>
      <c r="T74" s="111">
        <f t="shared" si="23"/>
        <v>2024</v>
      </c>
      <c r="U74" s="111">
        <f t="shared" si="23"/>
        <v>2025</v>
      </c>
      <c r="V74" s="111">
        <f t="shared" si="23"/>
        <v>2026</v>
      </c>
      <c r="W74" s="111">
        <f t="shared" si="23"/>
        <v>2027</v>
      </c>
      <c r="X74" s="111">
        <f t="shared" si="23"/>
        <v>2028</v>
      </c>
      <c r="Y74" s="111"/>
      <c r="Z74" s="111"/>
      <c r="AA74" s="111"/>
      <c r="AB74" s="111"/>
      <c r="AC74" s="550"/>
    </row>
    <row r="75" spans="3:31" x14ac:dyDescent="0.2">
      <c r="C75" s="551" t="s">
        <v>33</v>
      </c>
      <c r="AC75" s="549"/>
    </row>
    <row r="76" spans="3:31" x14ac:dyDescent="0.2">
      <c r="C76" s="551"/>
      <c r="AC76" s="549"/>
    </row>
    <row r="77" spans="3:31" x14ac:dyDescent="0.2">
      <c r="C77" s="552" t="s">
        <v>10</v>
      </c>
      <c r="D77" s="553">
        <f>$D$69*(1+$J$69)^D$21*(D$23=1)</f>
        <v>0</v>
      </c>
      <c r="E77" s="553">
        <f>$D$69*(1+$J$69)^E$21*(E$23=1)</f>
        <v>0</v>
      </c>
      <c r="F77" s="553">
        <f>$D$69*(1+$J$69)^F$21*(F$23=1)</f>
        <v>0</v>
      </c>
      <c r="G77" s="553">
        <f>$D$69*(1+$J$69)^G$21*(G$23=1)</f>
        <v>0</v>
      </c>
      <c r="H77" s="553">
        <f>$D$69*(1+$J$69)^H$21*(H$23=1)</f>
        <v>0</v>
      </c>
      <c r="I77" s="553">
        <f>IF(H96=0,$D$69*(1+$J$69)^I$21*(I$23)*I72,H77)*$AB$69</f>
        <v>95.875559999999993</v>
      </c>
      <c r="J77" s="553">
        <f t="shared" ref="J77:X77" si="24">IF(I96=0,$D$69*(1+$J$69)^J$21*(J$23)*J72,I77)*$AB$69</f>
        <v>200.61960929999998</v>
      </c>
      <c r="K77" s="553">
        <f t="shared" si="24"/>
        <v>228.03762257099993</v>
      </c>
      <c r="L77" s="553">
        <f t="shared" si="24"/>
        <v>233.28248789013293</v>
      </c>
      <c r="M77" s="553">
        <f t="shared" si="24"/>
        <v>238.64798511160592</v>
      </c>
      <c r="N77" s="553">
        <f t="shared" si="24"/>
        <v>244.13688876917288</v>
      </c>
      <c r="O77" s="553">
        <f t="shared" si="24"/>
        <v>249.75203721086379</v>
      </c>
      <c r="P77" s="553">
        <f t="shared" si="24"/>
        <v>255.49633406671364</v>
      </c>
      <c r="Q77" s="553">
        <f t="shared" si="24"/>
        <v>261.37274975024803</v>
      </c>
      <c r="R77" s="553">
        <f t="shared" si="24"/>
        <v>267.38432299450369</v>
      </c>
      <c r="S77" s="553">
        <f t="shared" si="24"/>
        <v>273.53416242337727</v>
      </c>
      <c r="T77" s="553">
        <f t="shared" si="24"/>
        <v>279.82544815911496</v>
      </c>
      <c r="U77" s="553">
        <f t="shared" si="24"/>
        <v>286.26143346677452</v>
      </c>
      <c r="V77" s="553">
        <f t="shared" si="24"/>
        <v>292.84544643651037</v>
      </c>
      <c r="W77" s="553">
        <f t="shared" si="24"/>
        <v>299.58089170455003</v>
      </c>
      <c r="X77" s="553">
        <f t="shared" si="24"/>
        <v>306.47125221375467</v>
      </c>
      <c r="Y77" s="553"/>
      <c r="Z77" s="553"/>
      <c r="AA77" s="553"/>
      <c r="AB77" s="553"/>
      <c r="AC77" s="814"/>
      <c r="AD77" s="553"/>
    </row>
    <row r="78" spans="3:31" x14ac:dyDescent="0.2">
      <c r="C78" s="552" t="s">
        <v>44</v>
      </c>
      <c r="D78" s="553">
        <f>$E$69*(1+$K$69)^D$21*(D$23=1)</f>
        <v>0</v>
      </c>
      <c r="E78" s="553">
        <f>$E$69*(1+$K$69)^E$21*(E$23=1)</f>
        <v>0</v>
      </c>
      <c r="F78" s="553">
        <f>$E$69*(1+$K$69)^F$21*(F$23=1)</f>
        <v>0</v>
      </c>
      <c r="G78" s="553">
        <f>$E$69*(1+$K$69)^G$21*(G$23=1)</f>
        <v>0</v>
      </c>
      <c r="H78" s="553">
        <f>$E$69*(1+$K$69)^H$21*(H$23=1)</f>
        <v>0</v>
      </c>
      <c r="I78" s="553">
        <f t="shared" ref="I78:X78" si="25">IF(H96=0,$E$69*(1+$K$69)^I$21*(I$23)*I72,H78)*$AB$69</f>
        <v>337.59</v>
      </c>
      <c r="J78" s="553">
        <f t="shared" si="25"/>
        <v>706.40707499999996</v>
      </c>
      <c r="K78" s="553">
        <f t="shared" si="25"/>
        <v>802.94937524999978</v>
      </c>
      <c r="L78" s="553">
        <f t="shared" si="25"/>
        <v>821.41721088074974</v>
      </c>
      <c r="M78" s="553">
        <f t="shared" si="25"/>
        <v>840.3098067310068</v>
      </c>
      <c r="N78" s="553">
        <f t="shared" si="25"/>
        <v>859.63693228581997</v>
      </c>
      <c r="O78" s="553">
        <f t="shared" si="25"/>
        <v>879.40858172839364</v>
      </c>
      <c r="P78" s="553">
        <f t="shared" si="25"/>
        <v>899.63497910814669</v>
      </c>
      <c r="Q78" s="553">
        <f t="shared" si="25"/>
        <v>920.32658362763391</v>
      </c>
      <c r="R78" s="553">
        <f t="shared" si="25"/>
        <v>941.49409505106939</v>
      </c>
      <c r="S78" s="553">
        <f t="shared" si="25"/>
        <v>963.14845923724397</v>
      </c>
      <c r="T78" s="553">
        <f t="shared" si="25"/>
        <v>985.30087379970053</v>
      </c>
      <c r="U78" s="553">
        <f t="shared" si="25"/>
        <v>1007.9627938970934</v>
      </c>
      <c r="V78" s="553">
        <f t="shared" si="25"/>
        <v>1031.1459381567265</v>
      </c>
      <c r="W78" s="553">
        <f t="shared" si="25"/>
        <v>1054.862294734331</v>
      </c>
      <c r="X78" s="553">
        <f t="shared" si="25"/>
        <v>1079.1241275132206</v>
      </c>
      <c r="Y78" s="553"/>
      <c r="Z78" s="553"/>
      <c r="AA78" s="553"/>
      <c r="AB78" s="553"/>
      <c r="AC78" s="814"/>
      <c r="AD78" s="553"/>
    </row>
    <row r="79" spans="3:31" x14ac:dyDescent="0.2">
      <c r="C79" s="552" t="s">
        <v>45</v>
      </c>
      <c r="D79" s="553">
        <f>$F$69*(1+$L$69)^D$21*(D$23=1)</f>
        <v>0</v>
      </c>
      <c r="E79" s="553">
        <f>$F$69*(1+$L$69)^E$21*(E$23=1)</f>
        <v>0</v>
      </c>
      <c r="F79" s="553">
        <f>$F$69*(1+$L$69)^F$21*(F$23=1)</f>
        <v>0</v>
      </c>
      <c r="G79" s="553">
        <f>$F$69*(1+$L$69)^G$21*(G$23=1)</f>
        <v>0</v>
      </c>
      <c r="H79" s="553">
        <f>$F$69*(1+$L$69)^H$21*(H$23=1)</f>
        <v>0</v>
      </c>
      <c r="I79" s="553">
        <f t="shared" ref="I79:X79" si="26">IF(H96=0,$F$69*(1+$L$69)^I$21*(I$23)*I72,H79)*$AB$69</f>
        <v>533.38423287599994</v>
      </c>
      <c r="J79" s="553">
        <f t="shared" si="26"/>
        <v>1116.1065072930298</v>
      </c>
      <c r="K79" s="553">
        <f t="shared" si="26"/>
        <v>1268.6410632897439</v>
      </c>
      <c r="L79" s="553">
        <f t="shared" si="26"/>
        <v>1297.8198077454078</v>
      </c>
      <c r="M79" s="553">
        <f t="shared" si="26"/>
        <v>1327.669663323552</v>
      </c>
      <c r="N79" s="553">
        <f t="shared" si="26"/>
        <v>1358.2060655799937</v>
      </c>
      <c r="O79" s="553">
        <f t="shared" si="26"/>
        <v>1389.4448050883334</v>
      </c>
      <c r="P79" s="553">
        <f t="shared" si="26"/>
        <v>1421.402035605365</v>
      </c>
      <c r="Q79" s="553">
        <f t="shared" si="26"/>
        <v>1454.0942824242882</v>
      </c>
      <c r="R79" s="553">
        <f t="shared" si="26"/>
        <v>1487.5384509200467</v>
      </c>
      <c r="S79" s="553">
        <f t="shared" si="26"/>
        <v>1521.7518352912077</v>
      </c>
      <c r="T79" s="553">
        <f t="shared" si="26"/>
        <v>1556.7521275029053</v>
      </c>
      <c r="U79" s="553">
        <f t="shared" si="26"/>
        <v>1592.5574264354718</v>
      </c>
      <c r="V79" s="553">
        <f t="shared" si="26"/>
        <v>1629.1862472434877</v>
      </c>
      <c r="W79" s="553">
        <f t="shared" si="26"/>
        <v>1666.6575309300874</v>
      </c>
      <c r="X79" s="553">
        <f t="shared" si="26"/>
        <v>1704.9906541414794</v>
      </c>
      <c r="Y79" s="553"/>
      <c r="Z79" s="553"/>
      <c r="AA79" s="553"/>
      <c r="AB79" s="553"/>
      <c r="AC79" s="814"/>
      <c r="AD79" s="553"/>
    </row>
    <row r="80" spans="3:31" x14ac:dyDescent="0.2">
      <c r="C80" s="552" t="s">
        <v>163</v>
      </c>
      <c r="D80" s="554"/>
      <c r="E80" s="554"/>
      <c r="F80" s="554"/>
      <c r="G80" s="554"/>
      <c r="H80" s="554"/>
      <c r="I80" s="553">
        <f>SUM(I77:I79)</f>
        <v>966.84979287599992</v>
      </c>
      <c r="J80" s="553">
        <f t="shared" ref="J80:X80" si="27">SUM(J77:J79)</f>
        <v>2023.1331915930298</v>
      </c>
      <c r="K80" s="553">
        <f t="shared" si="27"/>
        <v>2299.6280611107436</v>
      </c>
      <c r="L80" s="553">
        <f t="shared" si="27"/>
        <v>2352.5195065162907</v>
      </c>
      <c r="M80" s="553">
        <f t="shared" si="27"/>
        <v>2406.6274551661645</v>
      </c>
      <c r="N80" s="553">
        <f t="shared" si="27"/>
        <v>2461.9798866349865</v>
      </c>
      <c r="O80" s="553">
        <f t="shared" si="27"/>
        <v>2518.6054240275907</v>
      </c>
      <c r="P80" s="553">
        <f t="shared" si="27"/>
        <v>2576.5333487802254</v>
      </c>
      <c r="Q80" s="553">
        <f t="shared" si="27"/>
        <v>2635.7936158021703</v>
      </c>
      <c r="R80" s="553">
        <f t="shared" si="27"/>
        <v>2696.4168689656199</v>
      </c>
      <c r="S80" s="553">
        <f t="shared" si="27"/>
        <v>2758.4344569518289</v>
      </c>
      <c r="T80" s="553">
        <f t="shared" si="27"/>
        <v>2821.8784494617207</v>
      </c>
      <c r="U80" s="553">
        <f t="shared" si="27"/>
        <v>2886.7816537993399</v>
      </c>
      <c r="V80" s="553">
        <f t="shared" si="27"/>
        <v>2953.1776318367247</v>
      </c>
      <c r="W80" s="553">
        <f t="shared" si="27"/>
        <v>3021.1007173689686</v>
      </c>
      <c r="X80" s="553">
        <f t="shared" si="27"/>
        <v>3090.5860338684547</v>
      </c>
      <c r="Y80" s="553"/>
      <c r="Z80" s="553"/>
      <c r="AA80" s="553"/>
      <c r="AB80" s="553"/>
      <c r="AC80" s="814"/>
      <c r="AD80" s="553"/>
      <c r="AE80" s="557"/>
    </row>
    <row r="81" spans="2:31" x14ac:dyDescent="0.2">
      <c r="C81" s="552" t="s">
        <v>168</v>
      </c>
      <c r="I81" s="553">
        <f>IF(I104=" ",I112-H112,H81)</f>
        <v>1154.5999999999985</v>
      </c>
      <c r="J81" s="553">
        <f t="shared" ref="J81:X81" si="28">IF(J104=" ",J112-I112,I81)</f>
        <v>1181.1557999999932</v>
      </c>
      <c r="K81" s="553">
        <f t="shared" si="28"/>
        <v>1208.3223833999946</v>
      </c>
      <c r="L81" s="553">
        <f t="shared" si="28"/>
        <v>1236.1137982181972</v>
      </c>
      <c r="M81" s="553">
        <f t="shared" si="28"/>
        <v>1264.5444155772129</v>
      </c>
      <c r="N81" s="553">
        <f t="shared" si="28"/>
        <v>1293.6289371354869</v>
      </c>
      <c r="O81" s="553">
        <f t="shared" si="28"/>
        <v>1323.3824026896036</v>
      </c>
      <c r="P81" s="553">
        <f t="shared" si="28"/>
        <v>1353.8201979514633</v>
      </c>
      <c r="Q81" s="553">
        <f t="shared" si="28"/>
        <v>1384.9580625043527</v>
      </c>
      <c r="R81" s="553">
        <f t="shared" si="28"/>
        <v>1416.8120979419473</v>
      </c>
      <c r="S81" s="553">
        <f t="shared" si="28"/>
        <v>1449.3987761946119</v>
      </c>
      <c r="T81" s="553">
        <f t="shared" si="28"/>
        <v>1482.7349480470948</v>
      </c>
      <c r="U81" s="553">
        <f t="shared" si="28"/>
        <v>1516.8378518521786</v>
      </c>
      <c r="V81" s="553">
        <f t="shared" si="28"/>
        <v>1551.7251224447682</v>
      </c>
      <c r="W81" s="553">
        <f t="shared" si="28"/>
        <v>1587.4148002610018</v>
      </c>
      <c r="X81" s="553">
        <f t="shared" si="28"/>
        <v>1623.9253406670032</v>
      </c>
      <c r="Y81" s="553"/>
      <c r="Z81" s="553"/>
      <c r="AA81" s="553"/>
      <c r="AB81" s="553"/>
      <c r="AC81" s="814"/>
      <c r="AD81" s="553"/>
      <c r="AE81" s="557"/>
    </row>
    <row r="82" spans="2:31" x14ac:dyDescent="0.2">
      <c r="C82" s="551"/>
      <c r="AC82" s="549"/>
    </row>
    <row r="83" spans="2:31" x14ac:dyDescent="0.2">
      <c r="B83" s="702"/>
      <c r="C83" s="551" t="s">
        <v>46</v>
      </c>
      <c r="J83" s="553"/>
      <c r="K83" s="553"/>
      <c r="L83" s="553"/>
      <c r="M83" s="553"/>
      <c r="N83" s="553"/>
      <c r="O83" s="553"/>
      <c r="P83" s="553"/>
      <c r="Q83" s="553"/>
      <c r="R83" s="553"/>
      <c r="S83" s="553"/>
      <c r="T83" s="553"/>
      <c r="U83" s="553"/>
      <c r="V83" s="553"/>
      <c r="W83" s="553"/>
      <c r="X83" s="553"/>
      <c r="Y83" s="553"/>
      <c r="Z83" s="553"/>
      <c r="AA83" s="553"/>
      <c r="AB83" s="553"/>
      <c r="AC83" s="814"/>
      <c r="AD83" s="553"/>
    </row>
    <row r="84" spans="2:31" x14ac:dyDescent="0.2">
      <c r="B84" s="702"/>
      <c r="C84" s="552" t="s">
        <v>10</v>
      </c>
      <c r="D84" s="553">
        <f t="shared" ref="D84:X84" si="29">$G$69*(1+$M$69)^D$21*(D$23=1)</f>
        <v>0</v>
      </c>
      <c r="E84" s="553">
        <f t="shared" si="29"/>
        <v>0</v>
      </c>
      <c r="F84" s="553">
        <f t="shared" si="29"/>
        <v>0</v>
      </c>
      <c r="G84" s="553">
        <f t="shared" si="29"/>
        <v>0</v>
      </c>
      <c r="H84" s="553">
        <f t="shared" si="29"/>
        <v>0</v>
      </c>
      <c r="I84" s="553">
        <f t="shared" si="29"/>
        <v>15150</v>
      </c>
      <c r="J84" s="553">
        <f t="shared" si="29"/>
        <v>15301.5</v>
      </c>
      <c r="K84" s="553">
        <f t="shared" si="29"/>
        <v>15454.514999999999</v>
      </c>
      <c r="L84" s="553">
        <f t="shared" si="29"/>
        <v>15609.060150000001</v>
      </c>
      <c r="M84" s="553">
        <f t="shared" si="29"/>
        <v>15765.150751499999</v>
      </c>
      <c r="N84" s="553">
        <f t="shared" si="29"/>
        <v>15922.802259015001</v>
      </c>
      <c r="O84" s="553">
        <f t="shared" si="29"/>
        <v>16082.030281605148</v>
      </c>
      <c r="P84" s="553">
        <f t="shared" si="29"/>
        <v>16242.850584421203</v>
      </c>
      <c r="Q84" s="553">
        <f t="shared" si="29"/>
        <v>16405.279090265416</v>
      </c>
      <c r="R84" s="553">
        <f t="shared" si="29"/>
        <v>16569.331881168073</v>
      </c>
      <c r="S84" s="553">
        <f t="shared" si="29"/>
        <v>16735.025199979747</v>
      </c>
      <c r="T84" s="553">
        <f t="shared" si="29"/>
        <v>16902.375451979548</v>
      </c>
      <c r="U84" s="553">
        <f t="shared" si="29"/>
        <v>17071.399206499344</v>
      </c>
      <c r="V84" s="553">
        <f t="shared" si="29"/>
        <v>17242.113198564337</v>
      </c>
      <c r="W84" s="553">
        <f t="shared" si="29"/>
        <v>17414.534330549977</v>
      </c>
      <c r="X84" s="553">
        <f t="shared" si="29"/>
        <v>17588.67967385548</v>
      </c>
      <c r="Y84" s="553"/>
      <c r="Z84" s="553"/>
      <c r="AA84" s="553"/>
      <c r="AB84" s="553"/>
      <c r="AC84" s="814"/>
      <c r="AD84" s="553"/>
    </row>
    <row r="85" spans="2:31" x14ac:dyDescent="0.2">
      <c r="C85" s="552" t="s">
        <v>44</v>
      </c>
      <c r="D85" s="553">
        <f>$H$69*(1+$N$69)^D$21*(D$23=1)</f>
        <v>0</v>
      </c>
      <c r="E85" s="553">
        <f>$H$69*(1+$N$69)^E$21*(E$23=1)</f>
        <v>0</v>
      </c>
      <c r="F85" s="553">
        <f>$H$69*(1+$N$69)^F$21*(F$23=1)</f>
        <v>0</v>
      </c>
      <c r="G85" s="553">
        <f>$H$69*(1+$N$69)^G$21*(G$23=1)</f>
        <v>0</v>
      </c>
      <c r="H85" s="553">
        <f>$H$69*(1+$N$69)^H$21*(H$23=1)</f>
        <v>0</v>
      </c>
      <c r="I85" s="553">
        <f>$H$69*(1+$N$69)^I$21*(I$23=1)*Assumptions!$C$14</f>
        <v>1836.9375</v>
      </c>
      <c r="J85" s="553">
        <f>$H$69*(1+$N$69)^J$21*(J$23=1)*Assumptions!$C$14</f>
        <v>1855.3068749999998</v>
      </c>
      <c r="K85" s="553">
        <f>$H$69*(1+$N$69)^K$21*(K$23=1)*Assumptions!$C$14</f>
        <v>1873.8599437499997</v>
      </c>
      <c r="L85" s="553">
        <f>$H$69*(1+$N$69)^L$21*(L$23=1)*Assumptions!$C$14</f>
        <v>1892.5985431875001</v>
      </c>
      <c r="M85" s="553">
        <f>$H$69*(1+$N$69)^M$21*(M$23=1)*Assumptions!$C$14</f>
        <v>1911.5245286193749</v>
      </c>
      <c r="N85" s="553">
        <f>$H$69*(1+$N$69)^N$21*(N$23=1)*Assumptions!$C$14</f>
        <v>1930.639773905569</v>
      </c>
      <c r="O85" s="553">
        <f>$H$69*(1+$N$69)^O$21*(O$23=1)*Assumptions!$C$14</f>
        <v>1949.946171644624</v>
      </c>
      <c r="P85" s="553">
        <f>$H$69*(1+$N$69)^P$21*(P$23=1)*Assumptions!$C$14</f>
        <v>1969.445633361071</v>
      </c>
      <c r="Q85" s="553">
        <f>$H$69*(1+$N$69)^Q$21*(Q$23=1)*Assumptions!$C$14</f>
        <v>1989.140089694682</v>
      </c>
      <c r="R85" s="553">
        <f>$H$69*(1+$N$69)^R$21*(R$23=1)*Assumptions!$C$14</f>
        <v>2009.0314905916287</v>
      </c>
      <c r="S85" s="553">
        <f>$H$69*(1+$N$69)^S$21*(S$23=1)*Assumptions!$C$14</f>
        <v>2029.1218054975443</v>
      </c>
      <c r="T85" s="553">
        <f>$H$69*(1+$N$69)^T$21*(T$23=1)*Assumptions!$C$14</f>
        <v>2049.4130235525199</v>
      </c>
      <c r="U85" s="553">
        <f>$H$69*(1+$N$69)^U$21*(U$23=1)*Assumptions!$C$14</f>
        <v>2069.9071537880454</v>
      </c>
      <c r="V85" s="553">
        <f>$H$69*(1+$N$69)^V$21*(V$23=1)*Assumptions!$C$14</f>
        <v>2090.6062253259261</v>
      </c>
      <c r="W85" s="553">
        <f>$H$69*(1+$N$69)^W$21*(W$23=1)*Assumptions!$C$14</f>
        <v>2111.5122875791849</v>
      </c>
      <c r="X85" s="553">
        <f>$H$69*(1+$N$69)^X$21*(X$23=1)*Assumptions!$C$14</f>
        <v>2132.6274104549771</v>
      </c>
      <c r="Y85" s="553"/>
      <c r="Z85" s="553"/>
      <c r="AA85" s="553"/>
      <c r="AB85" s="553"/>
      <c r="AC85" s="814"/>
      <c r="AD85" s="553"/>
    </row>
    <row r="86" spans="2:31" x14ac:dyDescent="0.2">
      <c r="C86" s="552" t="s">
        <v>45</v>
      </c>
      <c r="D86" s="553">
        <f>$I$69*(1+$O$69)^D$21*(D$23=1)</f>
        <v>0</v>
      </c>
      <c r="E86" s="553">
        <f>$I$69*(1+$O$69)^E$21*(E$23=1)</f>
        <v>0</v>
      </c>
      <c r="F86" s="553">
        <f>$I$69*(1+$O$69)^F$21*(F$23=1)</f>
        <v>0</v>
      </c>
      <c r="G86" s="553">
        <f>$I$69*(1+$O$69)^G$21*(G$23=1)</f>
        <v>0</v>
      </c>
      <c r="H86" s="553">
        <f>$I$69*(1+$O$69)^H$21*(H$23=1)</f>
        <v>0</v>
      </c>
      <c r="I86" s="553">
        <f t="shared" ref="I86:X86" si="30">$I$69*(1+$O$69)^I$21*(I$23=1)*Demand_scalar</f>
        <v>875.67</v>
      </c>
      <c r="J86" s="553">
        <f t="shared" si="30"/>
        <v>884.42669999999998</v>
      </c>
      <c r="K86" s="553">
        <f t="shared" si="30"/>
        <v>893.27096699999993</v>
      </c>
      <c r="L86" s="553">
        <f t="shared" si="30"/>
        <v>902.20367667000005</v>
      </c>
      <c r="M86" s="553">
        <f t="shared" si="30"/>
        <v>911.22571343669995</v>
      </c>
      <c r="N86" s="553">
        <f t="shared" si="30"/>
        <v>920.3379705710671</v>
      </c>
      <c r="O86" s="553">
        <f t="shared" si="30"/>
        <v>929.54135027677751</v>
      </c>
      <c r="P86" s="553">
        <f t="shared" si="30"/>
        <v>938.83676377954555</v>
      </c>
      <c r="Q86" s="553">
        <f t="shared" si="30"/>
        <v>948.22513141734112</v>
      </c>
      <c r="R86" s="553">
        <f t="shared" si="30"/>
        <v>957.70738273151449</v>
      </c>
      <c r="S86" s="553">
        <f t="shared" si="30"/>
        <v>967.28445655882945</v>
      </c>
      <c r="T86" s="553">
        <f t="shared" si="30"/>
        <v>976.95730112441777</v>
      </c>
      <c r="U86" s="553">
        <f t="shared" si="30"/>
        <v>986.726874135662</v>
      </c>
      <c r="V86" s="553">
        <f t="shared" si="30"/>
        <v>996.59414287701873</v>
      </c>
      <c r="W86" s="553">
        <f t="shared" si="30"/>
        <v>1006.5600843057887</v>
      </c>
      <c r="X86" s="553">
        <f t="shared" si="30"/>
        <v>1016.6256851488469</v>
      </c>
      <c r="Y86" s="553"/>
      <c r="Z86" s="553"/>
      <c r="AA86" s="553"/>
      <c r="AB86" s="553"/>
      <c r="AC86" s="814"/>
      <c r="AD86" s="553"/>
    </row>
    <row r="87" spans="2:31" x14ac:dyDescent="0.2">
      <c r="C87" s="551"/>
      <c r="AC87" s="549"/>
    </row>
    <row r="88" spans="2:31" x14ac:dyDescent="0.2">
      <c r="C88" s="551" t="s">
        <v>50</v>
      </c>
      <c r="AC88" s="549"/>
    </row>
    <row r="89" spans="2:31" x14ac:dyDescent="0.2">
      <c r="C89" s="552" t="s">
        <v>10</v>
      </c>
      <c r="D89" s="555">
        <f t="shared" ref="D89:X89" si="31">D77*D84*0.001</f>
        <v>0</v>
      </c>
      <c r="E89" s="555">
        <f t="shared" si="31"/>
        <v>0</v>
      </c>
      <c r="F89" s="555">
        <f t="shared" si="31"/>
        <v>0</v>
      </c>
      <c r="G89" s="555">
        <f t="shared" si="31"/>
        <v>0</v>
      </c>
      <c r="H89" s="555">
        <f t="shared" si="31"/>
        <v>0</v>
      </c>
      <c r="I89" s="555">
        <f t="shared" si="31"/>
        <v>1452.5147339999999</v>
      </c>
      <c r="J89" s="555">
        <f t="shared" si="31"/>
        <v>3069.78095170395</v>
      </c>
      <c r="K89" s="555">
        <f t="shared" si="31"/>
        <v>3524.2108585878568</v>
      </c>
      <c r="L89" s="555">
        <f t="shared" si="31"/>
        <v>3641.3203854187318</v>
      </c>
      <c r="M89" s="555">
        <f t="shared" si="31"/>
        <v>3762.3214618261945</v>
      </c>
      <c r="N89" s="555">
        <f t="shared" si="31"/>
        <v>3887.34340400268</v>
      </c>
      <c r="O89" s="555">
        <f t="shared" si="31"/>
        <v>4016.5198253176873</v>
      </c>
      <c r="P89" s="555">
        <f t="shared" si="31"/>
        <v>4149.988779112995</v>
      </c>
      <c r="Q89" s="555">
        <f t="shared" si="31"/>
        <v>4287.8929062429188</v>
      </c>
      <c r="R89" s="555">
        <f t="shared" si="31"/>
        <v>4430.3795875173719</v>
      </c>
      <c r="S89" s="555">
        <f t="shared" si="31"/>
        <v>4577.6011012105719</v>
      </c>
      <c r="T89" s="555">
        <f t="shared" si="31"/>
        <v>4729.7147858038006</v>
      </c>
      <c r="U89" s="555">
        <f t="shared" si="31"/>
        <v>4886.8832081360597</v>
      </c>
      <c r="V89" s="555">
        <f t="shared" si="31"/>
        <v>5049.2743371424212</v>
      </c>
      <c r="W89" s="555">
        <f t="shared" si="31"/>
        <v>5217.0617233656621</v>
      </c>
      <c r="X89" s="555">
        <f t="shared" si="31"/>
        <v>5390.4246844331037</v>
      </c>
      <c r="Y89" s="555"/>
      <c r="Z89" s="555"/>
      <c r="AA89" s="555"/>
      <c r="AB89" s="555"/>
      <c r="AC89" s="821"/>
      <c r="AD89" s="555"/>
    </row>
    <row r="90" spans="2:31" x14ac:dyDescent="0.2">
      <c r="C90" s="552" t="s">
        <v>44</v>
      </c>
      <c r="D90" s="555">
        <f t="shared" ref="D90:X90" si="32">D78*D85*0.001</f>
        <v>0</v>
      </c>
      <c r="E90" s="555">
        <f t="shared" si="32"/>
        <v>0</v>
      </c>
      <c r="F90" s="555">
        <f t="shared" si="32"/>
        <v>0</v>
      </c>
      <c r="G90" s="555">
        <f t="shared" si="32"/>
        <v>0</v>
      </c>
      <c r="H90" s="555">
        <f t="shared" si="32"/>
        <v>0</v>
      </c>
      <c r="I90" s="555">
        <f t="shared" si="32"/>
        <v>620.13173062499993</v>
      </c>
      <c r="J90" s="555">
        <f t="shared" si="32"/>
        <v>1310.6019027961404</v>
      </c>
      <c r="K90" s="555">
        <f t="shared" si="32"/>
        <v>1504.614671140062</v>
      </c>
      <c r="L90" s="555">
        <f t="shared" si="32"/>
        <v>1554.6130166620467</v>
      </c>
      <c r="M90" s="555">
        <f t="shared" si="32"/>
        <v>1606.2728072057257</v>
      </c>
      <c r="N90" s="555">
        <f t="shared" si="32"/>
        <v>1659.6492525891724</v>
      </c>
      <c r="O90" s="555">
        <f t="shared" si="32"/>
        <v>1714.7993972527097</v>
      </c>
      <c r="P90" s="555">
        <f t="shared" si="32"/>
        <v>1771.7821812234179</v>
      </c>
      <c r="Q90" s="555">
        <f t="shared" si="32"/>
        <v>1830.6585031054722</v>
      </c>
      <c r="R90" s="555">
        <f t="shared" si="32"/>
        <v>1891.4912851636664</v>
      </c>
      <c r="S90" s="555">
        <f t="shared" si="32"/>
        <v>1954.3455405696545</v>
      </c>
      <c r="T90" s="555">
        <f t="shared" si="32"/>
        <v>2019.2884428827842</v>
      </c>
      <c r="U90" s="555">
        <f t="shared" si="32"/>
        <v>2086.3893978397791</v>
      </c>
      <c r="V90" s="555">
        <f t="shared" si="32"/>
        <v>2155.7201175299947</v>
      </c>
      <c r="W90" s="555">
        <f t="shared" si="32"/>
        <v>2227.3546970355155</v>
      </c>
      <c r="X90" s="555">
        <f t="shared" si="32"/>
        <v>2301.3696936180063</v>
      </c>
      <c r="Y90" s="555"/>
      <c r="Z90" s="555"/>
      <c r="AA90" s="555"/>
      <c r="AB90" s="555"/>
      <c r="AC90" s="821"/>
      <c r="AD90" s="555"/>
    </row>
    <row r="91" spans="2:31" x14ac:dyDescent="0.2">
      <c r="C91" s="552" t="s">
        <v>45</v>
      </c>
      <c r="D91" s="555">
        <f t="shared" ref="D91:X91" si="33">D79*D86*0.001</f>
        <v>0</v>
      </c>
      <c r="E91" s="555">
        <f t="shared" si="33"/>
        <v>0</v>
      </c>
      <c r="F91" s="555">
        <f t="shared" si="33"/>
        <v>0</v>
      </c>
      <c r="G91" s="555">
        <f t="shared" si="33"/>
        <v>0</v>
      </c>
      <c r="H91" s="555">
        <f t="shared" si="33"/>
        <v>0</v>
      </c>
      <c r="I91" s="555">
        <f t="shared" si="33"/>
        <v>467.06857120252687</v>
      </c>
      <c r="J91" s="555">
        <f t="shared" si="33"/>
        <v>987.1143950937003</v>
      </c>
      <c r="K91" s="555">
        <f t="shared" si="33"/>
        <v>1133.2402293807374</v>
      </c>
      <c r="L91" s="555">
        <f t="shared" si="33"/>
        <v>1170.8978022030597</v>
      </c>
      <c r="M91" s="555">
        <f t="shared" si="33"/>
        <v>1209.8067361702667</v>
      </c>
      <c r="N91" s="555">
        <f t="shared" si="33"/>
        <v>1250.008614013205</v>
      </c>
      <c r="O91" s="555">
        <f t="shared" si="33"/>
        <v>1291.5464002568633</v>
      </c>
      <c r="P91" s="555">
        <f t="shared" si="33"/>
        <v>1334.4644871373991</v>
      </c>
      <c r="Q91" s="555">
        <f t="shared" si="33"/>
        <v>1378.8087420449751</v>
      </c>
      <c r="R91" s="555">
        <f t="shared" si="33"/>
        <v>1424.6265565431293</v>
      </c>
      <c r="S91" s="555">
        <f t="shared" si="33"/>
        <v>1471.9668970170574</v>
      </c>
      <c r="T91" s="555">
        <f t="shared" si="33"/>
        <v>1520.8803570049338</v>
      </c>
      <c r="U91" s="555">
        <f t="shared" si="33"/>
        <v>1571.4192112682076</v>
      </c>
      <c r="V91" s="555">
        <f t="shared" si="33"/>
        <v>1623.6374716586504</v>
      </c>
      <c r="W91" s="555">
        <f t="shared" si="33"/>
        <v>1677.5909448418663</v>
      </c>
      <c r="X91" s="555">
        <f t="shared" si="33"/>
        <v>1733.3372919389619</v>
      </c>
      <c r="Y91" s="555"/>
      <c r="Z91" s="555"/>
      <c r="AA91" s="555"/>
      <c r="AB91" s="555"/>
      <c r="AC91" s="821"/>
      <c r="AD91" s="555"/>
    </row>
    <row r="92" spans="2:31" x14ac:dyDescent="0.2">
      <c r="C92" s="551"/>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821"/>
      <c r="AD92" s="555"/>
    </row>
    <row r="93" spans="2:31" x14ac:dyDescent="0.2">
      <c r="C93" s="551" t="s">
        <v>47</v>
      </c>
      <c r="D93" s="553">
        <f t="shared" ref="D93:X93" si="34">SUM(D89:D91)</f>
        <v>0</v>
      </c>
      <c r="E93" s="553">
        <f t="shared" si="34"/>
        <v>0</v>
      </c>
      <c r="F93" s="553">
        <f t="shared" si="34"/>
        <v>0</v>
      </c>
      <c r="G93" s="553">
        <f t="shared" si="34"/>
        <v>0</v>
      </c>
      <c r="H93" s="553">
        <f t="shared" si="34"/>
        <v>0</v>
      </c>
      <c r="I93" s="553">
        <f t="shared" si="34"/>
        <v>2539.7150358275267</v>
      </c>
      <c r="J93" s="553">
        <f t="shared" si="34"/>
        <v>5367.4972495937909</v>
      </c>
      <c r="K93" s="553">
        <f t="shared" si="34"/>
        <v>6162.0657591086565</v>
      </c>
      <c r="L93" s="553">
        <f t="shared" si="34"/>
        <v>6366.8312042838379</v>
      </c>
      <c r="M93" s="553">
        <f t="shared" si="34"/>
        <v>6578.4010052021877</v>
      </c>
      <c r="N93" s="553">
        <f t="shared" si="34"/>
        <v>6797.0012706050575</v>
      </c>
      <c r="O93" s="553">
        <f t="shared" si="34"/>
        <v>7022.8656228272603</v>
      </c>
      <c r="P93" s="553">
        <f t="shared" si="34"/>
        <v>7256.2354474738122</v>
      </c>
      <c r="Q93" s="553">
        <f t="shared" si="34"/>
        <v>7497.3601513933663</v>
      </c>
      <c r="R93" s="553">
        <f t="shared" si="34"/>
        <v>7746.4974292241677</v>
      </c>
      <c r="S93" s="553">
        <f t="shared" si="34"/>
        <v>8003.9135387972838</v>
      </c>
      <c r="T93" s="553">
        <f t="shared" si="34"/>
        <v>8269.8835856915175</v>
      </c>
      <c r="U93" s="553">
        <f t="shared" si="34"/>
        <v>8544.6918172440455</v>
      </c>
      <c r="V93" s="553">
        <f t="shared" si="34"/>
        <v>8828.631926331067</v>
      </c>
      <c r="W93" s="553">
        <f t="shared" si="34"/>
        <v>9122.0073652430438</v>
      </c>
      <c r="X93" s="553">
        <f t="shared" si="34"/>
        <v>9425.1316699900726</v>
      </c>
      <c r="Y93" s="553"/>
      <c r="Z93" s="553"/>
      <c r="AA93" s="553"/>
      <c r="AB93" s="553"/>
      <c r="AC93" s="814"/>
      <c r="AD93" s="553"/>
    </row>
    <row r="94" spans="2:31" x14ac:dyDescent="0.2">
      <c r="C94" s="551" t="s">
        <v>52</v>
      </c>
      <c r="D94" s="553"/>
      <c r="E94" s="553"/>
      <c r="F94" s="553"/>
      <c r="G94" s="553">
        <f t="shared" ref="G94:X94" si="35">(G93/8.76)/$T69</f>
        <v>0</v>
      </c>
      <c r="H94" s="553">
        <f t="shared" si="35"/>
        <v>0</v>
      </c>
      <c r="I94" s="553">
        <f t="shared" si="35"/>
        <v>528.08411195515339</v>
      </c>
      <c r="J94" s="553">
        <f t="shared" si="35"/>
        <v>1116.0661643088204</v>
      </c>
      <c r="K94" s="553">
        <f t="shared" si="35"/>
        <v>1281.2811588320023</v>
      </c>
      <c r="L94" s="553">
        <f t="shared" si="35"/>
        <v>1323.8581317399896</v>
      </c>
      <c r="M94" s="553">
        <f t="shared" si="35"/>
        <v>1367.8499374577093</v>
      </c>
      <c r="N94" s="553">
        <f t="shared" si="35"/>
        <v>1413.3035908794293</v>
      </c>
      <c r="O94" s="553">
        <f t="shared" si="35"/>
        <v>1460.2676692043519</v>
      </c>
      <c r="P94" s="553">
        <f t="shared" si="35"/>
        <v>1508.7923638520131</v>
      </c>
      <c r="Q94" s="553">
        <f t="shared" si="35"/>
        <v>1558.9295341028151</v>
      </c>
      <c r="R94" s="553">
        <f t="shared" si="35"/>
        <v>1610.7327625210517</v>
      </c>
      <c r="S94" s="553">
        <f t="shared" si="35"/>
        <v>1664.2574122196256</v>
      </c>
      <c r="T94" s="553">
        <f t="shared" si="35"/>
        <v>1719.5606860276837</v>
      </c>
      <c r="U94" s="553">
        <f t="shared" si="35"/>
        <v>1776.7016876243833</v>
      </c>
      <c r="V94" s="553">
        <f t="shared" si="35"/>
        <v>1835.7414847041421</v>
      </c>
      <c r="W94" s="553">
        <f t="shared" si="35"/>
        <v>1896.7431742408596</v>
      </c>
      <c r="X94" s="553">
        <f t="shared" si="35"/>
        <v>1959.771949920884</v>
      </c>
      <c r="Y94" s="553"/>
      <c r="Z94" s="553"/>
      <c r="AA94" s="553"/>
      <c r="AB94" s="553"/>
      <c r="AC94" s="814"/>
      <c r="AD94" s="553"/>
    </row>
    <row r="95" spans="2:31" x14ac:dyDescent="0.2">
      <c r="C95" s="551" t="s">
        <v>48</v>
      </c>
      <c r="D95" s="553"/>
      <c r="E95" s="553"/>
      <c r="F95" s="553"/>
      <c r="G95" s="555">
        <f t="shared" ref="G95:X95" si="36">IF(G94&lt;$X$69,G93,($X$69/G94)*G93)</f>
        <v>0</v>
      </c>
      <c r="H95" s="555">
        <f t="shared" si="36"/>
        <v>0</v>
      </c>
      <c r="I95" s="555">
        <f t="shared" si="36"/>
        <v>2539.7150358275267</v>
      </c>
      <c r="J95" s="555">
        <f t="shared" si="36"/>
        <v>5367.4972495937909</v>
      </c>
      <c r="K95" s="555">
        <f t="shared" si="36"/>
        <v>6162.0657591086565</v>
      </c>
      <c r="L95" s="555">
        <f t="shared" si="36"/>
        <v>6366.8312042838379</v>
      </c>
      <c r="M95" s="555">
        <f t="shared" si="36"/>
        <v>6578.4010052021877</v>
      </c>
      <c r="N95" s="555">
        <f t="shared" si="36"/>
        <v>6797.0012706050575</v>
      </c>
      <c r="O95" s="555">
        <f t="shared" si="36"/>
        <v>7022.8656228272603</v>
      </c>
      <c r="P95" s="555">
        <f t="shared" si="36"/>
        <v>7256.2354474738122</v>
      </c>
      <c r="Q95" s="555">
        <f t="shared" si="36"/>
        <v>7497.3601513933663</v>
      </c>
      <c r="R95" s="555">
        <f t="shared" si="36"/>
        <v>7746.4974292241677</v>
      </c>
      <c r="S95" s="555">
        <f t="shared" si="36"/>
        <v>8003.9135387972838</v>
      </c>
      <c r="T95" s="555">
        <f t="shared" si="36"/>
        <v>8269.8835856915175</v>
      </c>
      <c r="U95" s="555">
        <f t="shared" si="36"/>
        <v>8544.6918172440455</v>
      </c>
      <c r="V95" s="555">
        <f t="shared" si="36"/>
        <v>8828.631926331067</v>
      </c>
      <c r="W95" s="555">
        <f t="shared" si="36"/>
        <v>9122.0073652430438</v>
      </c>
      <c r="X95" s="555">
        <f t="shared" si="36"/>
        <v>9425.1316699900726</v>
      </c>
      <c r="Y95" s="555"/>
      <c r="Z95" s="555"/>
      <c r="AA95" s="555"/>
      <c r="AB95" s="555"/>
      <c r="AC95" s="821"/>
      <c r="AD95" s="555"/>
    </row>
    <row r="96" spans="2:31" x14ac:dyDescent="0.2">
      <c r="C96" s="551" t="s">
        <v>95</v>
      </c>
      <c r="D96" s="553"/>
      <c r="E96" s="553"/>
      <c r="F96" s="553"/>
      <c r="G96" s="555"/>
      <c r="H96" s="555">
        <v>0</v>
      </c>
      <c r="I96" s="556">
        <f t="shared" ref="I96:X96" si="37">IF(I94&gt;$X$69,I22,0)</f>
        <v>0</v>
      </c>
      <c r="J96" s="556">
        <f t="shared" si="37"/>
        <v>0</v>
      </c>
      <c r="K96" s="556">
        <f t="shared" si="37"/>
        <v>0</v>
      </c>
      <c r="L96" s="556">
        <f t="shared" si="37"/>
        <v>0</v>
      </c>
      <c r="M96" s="556">
        <f t="shared" si="37"/>
        <v>0</v>
      </c>
      <c r="N96" s="556">
        <f t="shared" si="37"/>
        <v>0</v>
      </c>
      <c r="O96" s="556">
        <f t="shared" si="37"/>
        <v>0</v>
      </c>
      <c r="P96" s="556">
        <f t="shared" si="37"/>
        <v>0</v>
      </c>
      <c r="Q96" s="556">
        <f t="shared" si="37"/>
        <v>0</v>
      </c>
      <c r="R96" s="556">
        <f t="shared" si="37"/>
        <v>0</v>
      </c>
      <c r="S96" s="556">
        <f t="shared" si="37"/>
        <v>0</v>
      </c>
      <c r="T96" s="556">
        <f t="shared" si="37"/>
        <v>0</v>
      </c>
      <c r="U96" s="556">
        <f t="shared" si="37"/>
        <v>0</v>
      </c>
      <c r="V96" s="556">
        <f t="shared" si="37"/>
        <v>0</v>
      </c>
      <c r="W96" s="556">
        <f t="shared" si="37"/>
        <v>0</v>
      </c>
      <c r="X96" s="556">
        <f t="shared" si="37"/>
        <v>0</v>
      </c>
      <c r="Y96" s="556"/>
      <c r="Z96" s="556"/>
      <c r="AA96" s="556"/>
      <c r="AB96" s="556"/>
      <c r="AC96" s="822"/>
      <c r="AD96" s="556"/>
      <c r="AE96" s="819"/>
    </row>
    <row r="97" spans="2:31" x14ac:dyDescent="0.2">
      <c r="B97" s="702"/>
      <c r="C97" s="552" t="s">
        <v>10</v>
      </c>
      <c r="D97" s="553"/>
      <c r="E97" s="553"/>
      <c r="F97" s="553"/>
      <c r="G97" s="553">
        <f>IF(G23=1,(G95/G93)*G89,0)</f>
        <v>0</v>
      </c>
      <c r="H97" s="553">
        <f>IF(H23=1,(H95/H93)*H89,0)</f>
        <v>0</v>
      </c>
      <c r="I97" s="553">
        <f>IF($AB$69=1,(I$95/I$93)*I89,0)</f>
        <v>1452.5147339999999</v>
      </c>
      <c r="J97" s="553">
        <f t="shared" ref="J97:X99" si="38">IF($AB$69=1,(J$95/J$93)*J89,0)</f>
        <v>3069.78095170395</v>
      </c>
      <c r="K97" s="553">
        <f t="shared" si="38"/>
        <v>3524.2108585878568</v>
      </c>
      <c r="L97" s="553">
        <f t="shared" si="38"/>
        <v>3641.3203854187318</v>
      </c>
      <c r="M97" s="553">
        <f t="shared" si="38"/>
        <v>3762.3214618261945</v>
      </c>
      <c r="N97" s="553">
        <f t="shared" si="38"/>
        <v>3887.34340400268</v>
      </c>
      <c r="O97" s="553">
        <f t="shared" si="38"/>
        <v>4016.5198253176873</v>
      </c>
      <c r="P97" s="553">
        <f t="shared" si="38"/>
        <v>4149.988779112995</v>
      </c>
      <c r="Q97" s="553">
        <f t="shared" si="38"/>
        <v>4287.8929062429188</v>
      </c>
      <c r="R97" s="553">
        <f t="shared" si="38"/>
        <v>4430.3795875173719</v>
      </c>
      <c r="S97" s="553">
        <f t="shared" si="38"/>
        <v>4577.6011012105719</v>
      </c>
      <c r="T97" s="553">
        <f t="shared" si="38"/>
        <v>4729.7147858038006</v>
      </c>
      <c r="U97" s="553">
        <f t="shared" si="38"/>
        <v>4886.8832081360597</v>
      </c>
      <c r="V97" s="553">
        <f t="shared" si="38"/>
        <v>5049.2743371424212</v>
      </c>
      <c r="W97" s="553">
        <f t="shared" si="38"/>
        <v>5217.0617233656621</v>
      </c>
      <c r="X97" s="553">
        <f t="shared" si="38"/>
        <v>5390.4246844331037</v>
      </c>
      <c r="Y97" s="553"/>
      <c r="Z97" s="553"/>
      <c r="AA97" s="553"/>
      <c r="AB97" s="553"/>
      <c r="AC97" s="814"/>
      <c r="AD97" s="553"/>
    </row>
    <row r="98" spans="2:31" x14ac:dyDescent="0.2">
      <c r="B98" s="702"/>
      <c r="C98" s="552" t="s">
        <v>44</v>
      </c>
      <c r="D98" s="553"/>
      <c r="E98" s="553"/>
      <c r="F98" s="553"/>
      <c r="G98" s="553">
        <f>IF(G23=1,(G95/G93)*G90,0)</f>
        <v>0</v>
      </c>
      <c r="H98" s="553">
        <f>IF(H23=1,(H95/H93)*H90,0)</f>
        <v>0</v>
      </c>
      <c r="I98" s="553">
        <f t="shared" ref="I98:X99" si="39">IF($AB$69=1,(I$95/I$93)*I90,0)</f>
        <v>620.13173062499993</v>
      </c>
      <c r="J98" s="553">
        <f t="shared" si="39"/>
        <v>1310.6019027961404</v>
      </c>
      <c r="K98" s="553">
        <f t="shared" si="39"/>
        <v>1504.614671140062</v>
      </c>
      <c r="L98" s="553">
        <f t="shared" si="39"/>
        <v>1554.6130166620467</v>
      </c>
      <c r="M98" s="553">
        <f t="shared" si="39"/>
        <v>1606.2728072057257</v>
      </c>
      <c r="N98" s="553">
        <f t="shared" si="39"/>
        <v>1659.6492525891724</v>
      </c>
      <c r="O98" s="553">
        <f t="shared" si="39"/>
        <v>1714.7993972527097</v>
      </c>
      <c r="P98" s="553">
        <f t="shared" si="39"/>
        <v>1771.7821812234179</v>
      </c>
      <c r="Q98" s="553">
        <f t="shared" si="39"/>
        <v>1830.6585031054722</v>
      </c>
      <c r="R98" s="553">
        <f t="shared" si="39"/>
        <v>1891.4912851636664</v>
      </c>
      <c r="S98" s="553">
        <f t="shared" si="39"/>
        <v>1954.3455405696545</v>
      </c>
      <c r="T98" s="553">
        <f t="shared" si="39"/>
        <v>2019.2884428827842</v>
      </c>
      <c r="U98" s="553">
        <f t="shared" si="39"/>
        <v>2086.3893978397791</v>
      </c>
      <c r="V98" s="553">
        <f t="shared" si="39"/>
        <v>2155.7201175299947</v>
      </c>
      <c r="W98" s="553">
        <f t="shared" si="39"/>
        <v>2227.3546970355155</v>
      </c>
      <c r="X98" s="553">
        <f t="shared" si="39"/>
        <v>2301.3696936180063</v>
      </c>
      <c r="Y98" s="553"/>
      <c r="Z98" s="553"/>
      <c r="AA98" s="553"/>
      <c r="AB98" s="553"/>
      <c r="AC98" s="814"/>
      <c r="AD98" s="553"/>
    </row>
    <row r="99" spans="2:31" x14ac:dyDescent="0.2">
      <c r="B99" s="702"/>
      <c r="C99" s="552" t="s">
        <v>45</v>
      </c>
      <c r="D99" s="553"/>
      <c r="E99" s="553"/>
      <c r="F99" s="553"/>
      <c r="G99" s="553">
        <f>IF(G23=1,(G95/G93)*G91,0)</f>
        <v>0</v>
      </c>
      <c r="H99" s="553">
        <f>IF(H23=1,(H95/H93)*H91,0)</f>
        <v>0</v>
      </c>
      <c r="I99" s="553">
        <f t="shared" si="39"/>
        <v>467.06857120252687</v>
      </c>
      <c r="J99" s="553">
        <f t="shared" si="38"/>
        <v>987.1143950937003</v>
      </c>
      <c r="K99" s="553">
        <f t="shared" si="38"/>
        <v>1133.2402293807374</v>
      </c>
      <c r="L99" s="553">
        <f t="shared" si="38"/>
        <v>1170.8978022030597</v>
      </c>
      <c r="M99" s="553">
        <f t="shared" si="38"/>
        <v>1209.8067361702667</v>
      </c>
      <c r="N99" s="553">
        <f t="shared" si="38"/>
        <v>1250.008614013205</v>
      </c>
      <c r="O99" s="553">
        <f t="shared" si="38"/>
        <v>1291.5464002568633</v>
      </c>
      <c r="P99" s="553">
        <f t="shared" si="38"/>
        <v>1334.4644871373991</v>
      </c>
      <c r="Q99" s="553">
        <f t="shared" si="38"/>
        <v>1378.8087420449751</v>
      </c>
      <c r="R99" s="553">
        <f t="shared" si="38"/>
        <v>1424.6265565431293</v>
      </c>
      <c r="S99" s="553">
        <f t="shared" si="38"/>
        <v>1471.9668970170574</v>
      </c>
      <c r="T99" s="553">
        <f t="shared" si="38"/>
        <v>1520.8803570049338</v>
      </c>
      <c r="U99" s="553">
        <f t="shared" si="38"/>
        <v>1571.4192112682076</v>
      </c>
      <c r="V99" s="553">
        <f t="shared" si="38"/>
        <v>1623.6374716586504</v>
      </c>
      <c r="W99" s="553">
        <f t="shared" si="38"/>
        <v>1677.5909448418663</v>
      </c>
      <c r="X99" s="553">
        <f t="shared" si="38"/>
        <v>1733.3372919389619</v>
      </c>
      <c r="Y99" s="553"/>
      <c r="Z99" s="553"/>
      <c r="AA99" s="553"/>
      <c r="AB99" s="553"/>
      <c r="AC99" s="814"/>
      <c r="AD99" s="553"/>
    </row>
    <row r="100" spans="2:31" x14ac:dyDescent="0.2">
      <c r="B100" s="702"/>
      <c r="C100" s="552"/>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823"/>
      <c r="AD100" s="557"/>
    </row>
    <row r="101" spans="2:31" x14ac:dyDescent="0.2">
      <c r="B101" s="702"/>
      <c r="C101" s="536" t="s">
        <v>65</v>
      </c>
      <c r="D101" s="558">
        <f t="shared" ref="D101:X101" si="40">$AB$69*D$95*0.001</f>
        <v>0</v>
      </c>
      <c r="E101" s="558">
        <f t="shared" si="40"/>
        <v>0</v>
      </c>
      <c r="F101" s="558">
        <f t="shared" si="40"/>
        <v>0</v>
      </c>
      <c r="G101" s="558">
        <f t="shared" si="40"/>
        <v>0</v>
      </c>
      <c r="H101" s="558">
        <f t="shared" si="40"/>
        <v>0</v>
      </c>
      <c r="I101" s="558">
        <f t="shared" si="40"/>
        <v>2.5397150358275269</v>
      </c>
      <c r="J101" s="558">
        <f t="shared" si="40"/>
        <v>5.3674972495937912</v>
      </c>
      <c r="K101" s="558">
        <f t="shared" si="40"/>
        <v>6.1620657591086569</v>
      </c>
      <c r="L101" s="558">
        <f t="shared" si="40"/>
        <v>6.3668312042838382</v>
      </c>
      <c r="M101" s="558">
        <f t="shared" si="40"/>
        <v>6.5784010052021875</v>
      </c>
      <c r="N101" s="558">
        <f t="shared" si="40"/>
        <v>6.7970012706050573</v>
      </c>
      <c r="O101" s="558">
        <f t="shared" si="40"/>
        <v>7.0228656228272603</v>
      </c>
      <c r="P101" s="558">
        <f t="shared" si="40"/>
        <v>7.256235447473812</v>
      </c>
      <c r="Q101" s="558">
        <f t="shared" si="40"/>
        <v>7.4973601513933668</v>
      </c>
      <c r="R101" s="558">
        <f t="shared" si="40"/>
        <v>7.746497429224168</v>
      </c>
      <c r="S101" s="558">
        <f t="shared" si="40"/>
        <v>8.0039135387972831</v>
      </c>
      <c r="T101" s="558">
        <f t="shared" si="40"/>
        <v>8.2698835856915185</v>
      </c>
      <c r="U101" s="558">
        <f t="shared" si="40"/>
        <v>8.5446918172440451</v>
      </c>
      <c r="V101" s="558">
        <f t="shared" si="40"/>
        <v>8.8286319263310666</v>
      </c>
      <c r="W101" s="558">
        <f t="shared" si="40"/>
        <v>9.1220073652430447</v>
      </c>
      <c r="X101" s="558">
        <f t="shared" si="40"/>
        <v>9.4251316699900727</v>
      </c>
      <c r="Y101" s="558"/>
      <c r="Z101" s="558"/>
      <c r="AA101" s="558"/>
      <c r="AB101" s="558"/>
      <c r="AC101" s="808"/>
      <c r="AD101" s="558"/>
    </row>
    <row r="102" spans="2:31" ht="13.5" thickBot="1" x14ac:dyDescent="0.25">
      <c r="C102" s="540"/>
      <c r="D102" s="724"/>
      <c r="E102" s="724"/>
      <c r="F102" s="724"/>
      <c r="G102" s="724"/>
      <c r="H102" s="749"/>
      <c r="I102" s="749" t="str">
        <f>IF(I96=0," ",I96)</f>
        <v xml:space="preserve"> </v>
      </c>
      <c r="J102" s="749" t="str">
        <f t="shared" ref="J102:X102" si="41">IF(J96=0," ",J96)</f>
        <v xml:space="preserve"> </v>
      </c>
      <c r="K102" s="749" t="str">
        <f t="shared" si="41"/>
        <v xml:space="preserve"> </v>
      </c>
      <c r="L102" s="749" t="str">
        <f t="shared" si="41"/>
        <v xml:space="preserve"> </v>
      </c>
      <c r="M102" s="749" t="str">
        <f t="shared" si="41"/>
        <v xml:space="preserve"> </v>
      </c>
      <c r="N102" s="749" t="str">
        <f t="shared" si="41"/>
        <v xml:space="preserve"> </v>
      </c>
      <c r="O102" s="749" t="str">
        <f t="shared" si="41"/>
        <v xml:space="preserve"> </v>
      </c>
      <c r="P102" s="749" t="str">
        <f t="shared" si="41"/>
        <v xml:space="preserve"> </v>
      </c>
      <c r="Q102" s="749" t="str">
        <f t="shared" si="41"/>
        <v xml:space="preserve"> </v>
      </c>
      <c r="R102" s="749" t="str">
        <f t="shared" si="41"/>
        <v xml:space="preserve"> </v>
      </c>
      <c r="S102" s="749" t="str">
        <f t="shared" si="41"/>
        <v xml:space="preserve"> </v>
      </c>
      <c r="T102" s="749" t="str">
        <f t="shared" si="41"/>
        <v xml:space="preserve"> </v>
      </c>
      <c r="U102" s="749" t="str">
        <f t="shared" si="41"/>
        <v xml:space="preserve"> </v>
      </c>
      <c r="V102" s="749" t="str">
        <f t="shared" si="41"/>
        <v xml:space="preserve"> </v>
      </c>
      <c r="W102" s="749" t="str">
        <f t="shared" si="41"/>
        <v xml:space="preserve"> </v>
      </c>
      <c r="X102" s="749" t="str">
        <f t="shared" si="41"/>
        <v xml:space="preserve"> </v>
      </c>
      <c r="Y102" s="749"/>
      <c r="Z102" s="749"/>
      <c r="AA102" s="749"/>
      <c r="AB102" s="749"/>
      <c r="AC102" s="824"/>
      <c r="AD102" s="246"/>
    </row>
    <row r="103" spans="2:31" ht="13.5" thickBot="1" x14ac:dyDescent="0.25">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row>
    <row r="104" spans="2:31" x14ac:dyDescent="0.2">
      <c r="C104" s="560"/>
      <c r="D104" s="752">
        <f>IF(D113=$D111,1,0)</f>
        <v>0</v>
      </c>
      <c r="E104" s="752">
        <f>IF(E113=$D111,1,0)</f>
        <v>0</v>
      </c>
      <c r="F104" s="752">
        <f>IF(F113=$D111,1,0)</f>
        <v>0</v>
      </c>
      <c r="G104" s="752" t="s">
        <v>140</v>
      </c>
      <c r="H104" s="754" t="str">
        <f t="shared" ref="H104:X104" si="42">IF(H113=$D111,H22," ")</f>
        <v xml:space="preserve"> </v>
      </c>
      <c r="I104" s="754" t="str">
        <f t="shared" si="42"/>
        <v xml:space="preserve"> </v>
      </c>
      <c r="J104" s="754" t="str">
        <f t="shared" si="42"/>
        <v xml:space="preserve"> </v>
      </c>
      <c r="K104" s="754" t="str">
        <f t="shared" si="42"/>
        <v xml:space="preserve"> </v>
      </c>
      <c r="L104" s="754" t="str">
        <f t="shared" si="42"/>
        <v xml:space="preserve"> </v>
      </c>
      <c r="M104" s="754" t="str">
        <f t="shared" si="42"/>
        <v xml:space="preserve"> </v>
      </c>
      <c r="N104" s="754" t="str">
        <f t="shared" si="42"/>
        <v xml:space="preserve"> </v>
      </c>
      <c r="O104" s="754" t="str">
        <f t="shared" si="42"/>
        <v xml:space="preserve"> </v>
      </c>
      <c r="P104" s="754" t="str">
        <f t="shared" si="42"/>
        <v xml:space="preserve"> </v>
      </c>
      <c r="Q104" s="755" t="str">
        <f t="shared" si="42"/>
        <v xml:space="preserve"> </v>
      </c>
      <c r="R104" s="755" t="str">
        <f t="shared" si="42"/>
        <v xml:space="preserve"> </v>
      </c>
      <c r="S104" s="755" t="str">
        <f t="shared" si="42"/>
        <v xml:space="preserve"> </v>
      </c>
      <c r="T104" s="755" t="str">
        <f t="shared" si="42"/>
        <v xml:space="preserve"> </v>
      </c>
      <c r="U104" s="755" t="str">
        <f t="shared" si="42"/>
        <v xml:space="preserve"> </v>
      </c>
      <c r="V104" s="755" t="str">
        <f t="shared" si="42"/>
        <v xml:space="preserve"> </v>
      </c>
      <c r="W104" s="755" t="str">
        <f t="shared" si="42"/>
        <v xml:space="preserve"> </v>
      </c>
      <c r="X104" s="755" t="str">
        <f t="shared" si="42"/>
        <v xml:space="preserve"> </v>
      </c>
      <c r="Y104" s="829"/>
      <c r="Z104" s="556"/>
      <c r="AA104" s="556"/>
      <c r="AB104" s="556"/>
      <c r="AC104" s="556"/>
      <c r="AD104" s="556"/>
      <c r="AE104" s="819"/>
    </row>
    <row r="105" spans="2:31" s="543" customFormat="1"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31" s="240" customFormat="1" x14ac:dyDescent="0.2">
      <c r="C106" s="548"/>
      <c r="D106" s="111">
        <f>D74</f>
        <v>2008</v>
      </c>
      <c r="E106" s="111">
        <f t="shared" ref="E106:X106" si="43">E74</f>
        <v>2009</v>
      </c>
      <c r="F106" s="111">
        <f t="shared" si="43"/>
        <v>2010</v>
      </c>
      <c r="G106" s="111">
        <f t="shared" si="43"/>
        <v>2011</v>
      </c>
      <c r="H106" s="111">
        <f t="shared" si="43"/>
        <v>2012</v>
      </c>
      <c r="I106" s="111">
        <f t="shared" si="43"/>
        <v>2013</v>
      </c>
      <c r="J106" s="111">
        <f t="shared" si="43"/>
        <v>2014</v>
      </c>
      <c r="K106" s="111">
        <f t="shared" si="43"/>
        <v>2015</v>
      </c>
      <c r="L106" s="111">
        <f t="shared" si="43"/>
        <v>2016</v>
      </c>
      <c r="M106" s="111">
        <f t="shared" si="43"/>
        <v>2017</v>
      </c>
      <c r="N106" s="111">
        <f t="shared" si="43"/>
        <v>2018</v>
      </c>
      <c r="O106" s="111">
        <f t="shared" si="43"/>
        <v>2019</v>
      </c>
      <c r="P106" s="111">
        <f t="shared" si="43"/>
        <v>2020</v>
      </c>
      <c r="Q106" s="111">
        <f t="shared" si="43"/>
        <v>2021</v>
      </c>
      <c r="R106" s="111">
        <f t="shared" si="43"/>
        <v>2022</v>
      </c>
      <c r="S106" s="111">
        <f t="shared" si="43"/>
        <v>2023</v>
      </c>
      <c r="T106" s="111">
        <f t="shared" si="43"/>
        <v>2024</v>
      </c>
      <c r="U106" s="111">
        <f t="shared" si="43"/>
        <v>2025</v>
      </c>
      <c r="V106" s="111">
        <f t="shared" si="43"/>
        <v>2026</v>
      </c>
      <c r="W106" s="111">
        <f t="shared" si="43"/>
        <v>2027</v>
      </c>
      <c r="X106" s="111">
        <f t="shared" si="43"/>
        <v>2028</v>
      </c>
      <c r="Y106" s="550"/>
      <c r="Z106" s="111"/>
      <c r="AA106" s="111"/>
      <c r="AB106" s="111"/>
      <c r="AC106" s="550"/>
    </row>
    <row r="107" spans="2:31" s="240" customFormat="1" x14ac:dyDescent="0.2">
      <c r="C107" s="548"/>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550"/>
      <c r="Z107" s="111"/>
      <c r="AA107" s="111"/>
      <c r="AB107" s="111"/>
      <c r="AC107" s="111"/>
    </row>
    <row r="108" spans="2:31" x14ac:dyDescent="0.2">
      <c r="C108" s="721" t="s">
        <v>67</v>
      </c>
      <c r="D108" s="810">
        <v>20</v>
      </c>
      <c r="E108" s="710">
        <f t="shared" ref="E108:X108" si="44">IF(E$23=1,$D108*$AC69,0)</f>
        <v>0</v>
      </c>
      <c r="F108" s="710">
        <f t="shared" si="44"/>
        <v>0</v>
      </c>
      <c r="G108" s="710">
        <f t="shared" si="44"/>
        <v>0</v>
      </c>
      <c r="H108" s="710">
        <f t="shared" si="44"/>
        <v>0</v>
      </c>
      <c r="I108" s="710">
        <f t="shared" si="44"/>
        <v>20</v>
      </c>
      <c r="J108" s="710">
        <f t="shared" si="44"/>
        <v>20</v>
      </c>
      <c r="K108" s="710">
        <f t="shared" si="44"/>
        <v>20</v>
      </c>
      <c r="L108" s="710">
        <f t="shared" si="44"/>
        <v>20</v>
      </c>
      <c r="M108" s="710">
        <f t="shared" si="44"/>
        <v>20</v>
      </c>
      <c r="N108" s="710">
        <f t="shared" si="44"/>
        <v>20</v>
      </c>
      <c r="O108" s="710">
        <f t="shared" si="44"/>
        <v>20</v>
      </c>
      <c r="P108" s="710">
        <f t="shared" si="44"/>
        <v>20</v>
      </c>
      <c r="Q108" s="710">
        <f t="shared" si="44"/>
        <v>20</v>
      </c>
      <c r="R108" s="710">
        <f t="shared" si="44"/>
        <v>20</v>
      </c>
      <c r="S108" s="710">
        <f t="shared" si="44"/>
        <v>20</v>
      </c>
      <c r="T108" s="710">
        <f t="shared" si="44"/>
        <v>20</v>
      </c>
      <c r="U108" s="710">
        <f t="shared" si="44"/>
        <v>20</v>
      </c>
      <c r="V108" s="710">
        <f t="shared" si="44"/>
        <v>20</v>
      </c>
      <c r="W108" s="710">
        <f t="shared" si="44"/>
        <v>20</v>
      </c>
      <c r="X108" s="710">
        <f t="shared" si="44"/>
        <v>20</v>
      </c>
      <c r="Y108" s="696"/>
      <c r="Z108" s="710"/>
      <c r="AA108" s="710"/>
      <c r="AB108" s="710"/>
      <c r="AC108" s="710"/>
      <c r="AD108" s="710"/>
    </row>
    <row r="109" spans="2:31" x14ac:dyDescent="0.2">
      <c r="B109" s="543">
        <f>B152</f>
        <v>1</v>
      </c>
      <c r="C109" s="721" t="s">
        <v>69</v>
      </c>
      <c r="D109" s="722">
        <f>D108*0.85*Assumptions!C57*8.76*$AC69</f>
        <v>81.906000000000006</v>
      </c>
      <c r="E109" s="722">
        <f>D109</f>
        <v>81.906000000000006</v>
      </c>
      <c r="F109" s="722">
        <f t="shared" ref="F109:X109" si="45">E109</f>
        <v>81.906000000000006</v>
      </c>
      <c r="G109" s="722">
        <f t="shared" si="45"/>
        <v>81.906000000000006</v>
      </c>
      <c r="H109" s="722">
        <f t="shared" si="45"/>
        <v>81.906000000000006</v>
      </c>
      <c r="I109" s="722">
        <f t="shared" si="45"/>
        <v>81.906000000000006</v>
      </c>
      <c r="J109" s="722">
        <f t="shared" si="45"/>
        <v>81.906000000000006</v>
      </c>
      <c r="K109" s="722">
        <f t="shared" si="45"/>
        <v>81.906000000000006</v>
      </c>
      <c r="L109" s="722">
        <f t="shared" si="45"/>
        <v>81.906000000000006</v>
      </c>
      <c r="M109" s="722">
        <f t="shared" si="45"/>
        <v>81.906000000000006</v>
      </c>
      <c r="N109" s="722">
        <f t="shared" si="45"/>
        <v>81.906000000000006</v>
      </c>
      <c r="O109" s="722">
        <f t="shared" si="45"/>
        <v>81.906000000000006</v>
      </c>
      <c r="P109" s="722">
        <f t="shared" si="45"/>
        <v>81.906000000000006</v>
      </c>
      <c r="Q109" s="722">
        <f t="shared" si="45"/>
        <v>81.906000000000006</v>
      </c>
      <c r="R109" s="722">
        <f t="shared" si="45"/>
        <v>81.906000000000006</v>
      </c>
      <c r="S109" s="722">
        <f t="shared" si="45"/>
        <v>81.906000000000006</v>
      </c>
      <c r="T109" s="722">
        <f t="shared" si="45"/>
        <v>81.906000000000006</v>
      </c>
      <c r="U109" s="722">
        <f t="shared" si="45"/>
        <v>81.906000000000006</v>
      </c>
      <c r="V109" s="722">
        <f t="shared" si="45"/>
        <v>81.906000000000006</v>
      </c>
      <c r="W109" s="722">
        <f t="shared" si="45"/>
        <v>81.906000000000006</v>
      </c>
      <c r="X109" s="722">
        <f t="shared" si="45"/>
        <v>81.906000000000006</v>
      </c>
      <c r="Y109" s="825"/>
      <c r="Z109" s="722"/>
      <c r="AA109" s="722"/>
      <c r="AB109" s="722"/>
      <c r="AC109" s="722"/>
      <c r="AD109" s="722"/>
    </row>
    <row r="110" spans="2:31" x14ac:dyDescent="0.2">
      <c r="B110" s="543">
        <f>B153</f>
        <v>2</v>
      </c>
      <c r="C110" s="721" t="s">
        <v>68</v>
      </c>
      <c r="D110" s="810">
        <v>28</v>
      </c>
      <c r="E110" s="710">
        <f t="shared" ref="E110:X110" si="46">IF(E$23=1,$D110,0)</f>
        <v>0</v>
      </c>
      <c r="F110" s="710">
        <f t="shared" si="46"/>
        <v>0</v>
      </c>
      <c r="G110" s="710">
        <f t="shared" si="46"/>
        <v>0</v>
      </c>
      <c r="H110" s="710">
        <f t="shared" si="46"/>
        <v>0</v>
      </c>
      <c r="I110" s="710">
        <f t="shared" si="46"/>
        <v>28</v>
      </c>
      <c r="J110" s="710">
        <f t="shared" si="46"/>
        <v>28</v>
      </c>
      <c r="K110" s="710">
        <f t="shared" si="46"/>
        <v>28</v>
      </c>
      <c r="L110" s="710">
        <f t="shared" si="46"/>
        <v>28</v>
      </c>
      <c r="M110" s="710">
        <f t="shared" si="46"/>
        <v>28</v>
      </c>
      <c r="N110" s="710">
        <f t="shared" si="46"/>
        <v>28</v>
      </c>
      <c r="O110" s="710">
        <f t="shared" si="46"/>
        <v>28</v>
      </c>
      <c r="P110" s="710">
        <f t="shared" si="46"/>
        <v>28</v>
      </c>
      <c r="Q110" s="710">
        <f t="shared" si="46"/>
        <v>28</v>
      </c>
      <c r="R110" s="710">
        <f t="shared" si="46"/>
        <v>28</v>
      </c>
      <c r="S110" s="710">
        <f t="shared" si="46"/>
        <v>28</v>
      </c>
      <c r="T110" s="710">
        <f t="shared" si="46"/>
        <v>28</v>
      </c>
      <c r="U110" s="710">
        <f t="shared" si="46"/>
        <v>28</v>
      </c>
      <c r="V110" s="710">
        <f t="shared" si="46"/>
        <v>28</v>
      </c>
      <c r="W110" s="710">
        <f t="shared" si="46"/>
        <v>28</v>
      </c>
      <c r="X110" s="710">
        <f t="shared" si="46"/>
        <v>28</v>
      </c>
      <c r="Y110" s="696"/>
      <c r="Z110" s="710"/>
      <c r="AA110" s="710"/>
      <c r="AB110" s="710"/>
      <c r="AC110" s="710"/>
      <c r="AD110" s="710"/>
    </row>
    <row r="111" spans="2:31" x14ac:dyDescent="0.2">
      <c r="B111" s="543">
        <f>B154</f>
        <v>3</v>
      </c>
      <c r="C111" s="721" t="s">
        <v>72</v>
      </c>
      <c r="D111" s="722">
        <f>(D110*0.58*8760*0.001)+D109</f>
        <v>224.16839999999999</v>
      </c>
      <c r="E111" s="710"/>
      <c r="F111" s="710"/>
      <c r="G111" s="710"/>
      <c r="H111" s="710"/>
      <c r="I111" s="710"/>
      <c r="J111" s="710"/>
      <c r="K111" s="710"/>
      <c r="L111" s="710"/>
      <c r="M111" s="710"/>
      <c r="N111" s="710"/>
      <c r="O111" s="710"/>
      <c r="P111" s="710"/>
      <c r="Q111" s="710"/>
      <c r="R111" s="710"/>
      <c r="S111" s="710"/>
      <c r="T111" s="710"/>
      <c r="U111" s="710"/>
      <c r="V111" s="710"/>
      <c r="W111" s="710"/>
      <c r="X111" s="710"/>
      <c r="Y111" s="696"/>
      <c r="Z111" s="710"/>
      <c r="AA111" s="710"/>
      <c r="AB111" s="710"/>
      <c r="AC111" s="710"/>
      <c r="AD111" s="710"/>
    </row>
    <row r="112" spans="2:31" x14ac:dyDescent="0.2">
      <c r="B112" s="543"/>
      <c r="C112" s="721" t="s">
        <v>33</v>
      </c>
      <c r="D112" s="710"/>
      <c r="E112" s="710"/>
      <c r="F112" s="710"/>
      <c r="G112" s="710"/>
      <c r="H112" s="538">
        <f>IF(AC69=1,Assumptions!F37,0)</f>
        <v>50200</v>
      </c>
      <c r="I112" s="538">
        <f>IF(I104=" ",H112*(1+Assumptions!$C$56),H112)</f>
        <v>51354.6</v>
      </c>
      <c r="J112" s="538">
        <f>IF(J104=" ",I112*(1+Assumptions!$C$56),I112)</f>
        <v>52535.755799999992</v>
      </c>
      <c r="K112" s="538">
        <f>IF(K104=" ",J112*(1+Assumptions!$C$56),J112)</f>
        <v>53744.078183399986</v>
      </c>
      <c r="L112" s="538">
        <f>IF(L104=" ",K112*(1+Assumptions!$C$56),K112)</f>
        <v>54980.191981618183</v>
      </c>
      <c r="M112" s="538">
        <f>IF(M104=" ",L112*(1+Assumptions!$C$56),L112)</f>
        <v>56244.736397195396</v>
      </c>
      <c r="N112" s="538">
        <f>IF(N104=" ",M112*(1+Assumptions!$C$56),M112)</f>
        <v>57538.365334330883</v>
      </c>
      <c r="O112" s="538">
        <f>IF(O104=" ",N112*(1+Assumptions!$C$56),N112)</f>
        <v>58861.747737020487</v>
      </c>
      <c r="P112" s="538">
        <f>IF(P104=" ",O112*(1+Assumptions!$C$56),O112)</f>
        <v>60215.56793497195</v>
      </c>
      <c r="Q112" s="538">
        <f>IF(Q104=" ",P112*(1+Assumptions!$C$56),P112)</f>
        <v>61600.525997476303</v>
      </c>
      <c r="R112" s="538">
        <f>IF(R104=" ",Q112*(1+Assumptions!$C$56),Q112)</f>
        <v>63017.33809541825</v>
      </c>
      <c r="S112" s="538">
        <f>IF(S104=" ",R112*(1+Assumptions!$C$56),R112)</f>
        <v>64466.736871612862</v>
      </c>
      <c r="T112" s="538">
        <f>IF(T104=" ",S112*(1+Assumptions!$C$56),S112)</f>
        <v>65949.471819659957</v>
      </c>
      <c r="U112" s="538">
        <f>IF(U104=" ",T112*(1+Assumptions!$C$56),T112)</f>
        <v>67466.309671512136</v>
      </c>
      <c r="V112" s="538">
        <f>IF(V104=" ",U112*(1+Assumptions!$C$56),U112)</f>
        <v>69018.034793956904</v>
      </c>
      <c r="W112" s="538">
        <f>IF(W104=" ",V112*(1+Assumptions!$C$56),V112)</f>
        <v>70605.449594217906</v>
      </c>
      <c r="X112" s="538">
        <f>IF(X104=" ",W112*(1+Assumptions!$C$56),W112)</f>
        <v>72229.374934884909</v>
      </c>
      <c r="Y112" s="826"/>
      <c r="Z112" s="538"/>
      <c r="AA112" s="538"/>
      <c r="AB112" s="538"/>
      <c r="AC112" s="538"/>
      <c r="AD112" s="538"/>
    </row>
    <row r="113" spans="2:31" x14ac:dyDescent="0.2">
      <c r="B113" s="543">
        <f>B155</f>
        <v>4</v>
      </c>
      <c r="C113" s="721" t="s">
        <v>96</v>
      </c>
      <c r="D113" s="722">
        <f>D110*Assumptions!C57*8760*0.001</f>
        <v>134.90400000000002</v>
      </c>
      <c r="E113" s="722">
        <f t="shared" ref="E113:X113" si="47">IF(E$23=0,D113,MIN((D113*(1+ss_growth)),$D111))</f>
        <v>134.90400000000002</v>
      </c>
      <c r="F113" s="722">
        <f t="shared" si="47"/>
        <v>134.90400000000002</v>
      </c>
      <c r="G113" s="722">
        <f t="shared" si="47"/>
        <v>134.90400000000002</v>
      </c>
      <c r="H113" s="722">
        <f t="shared" si="47"/>
        <v>134.90400000000002</v>
      </c>
      <c r="I113" s="722">
        <f t="shared" si="47"/>
        <v>136.25304000000003</v>
      </c>
      <c r="J113" s="722">
        <f t="shared" si="47"/>
        <v>137.61557040000002</v>
      </c>
      <c r="K113" s="722">
        <f t="shared" si="47"/>
        <v>138.99172610400004</v>
      </c>
      <c r="L113" s="722">
        <f t="shared" si="47"/>
        <v>140.38164336504005</v>
      </c>
      <c r="M113" s="722">
        <f t="shared" si="47"/>
        <v>141.78545979869045</v>
      </c>
      <c r="N113" s="722">
        <f t="shared" si="47"/>
        <v>143.20331439667737</v>
      </c>
      <c r="O113" s="722">
        <f t="shared" si="47"/>
        <v>144.63534754064415</v>
      </c>
      <c r="P113" s="722">
        <f t="shared" si="47"/>
        <v>146.0817010160506</v>
      </c>
      <c r="Q113" s="722">
        <f t="shared" si="47"/>
        <v>147.5425180262111</v>
      </c>
      <c r="R113" s="722">
        <f t="shared" si="47"/>
        <v>149.01794320647321</v>
      </c>
      <c r="S113" s="722">
        <f t="shared" si="47"/>
        <v>150.50812263853794</v>
      </c>
      <c r="T113" s="722">
        <f t="shared" si="47"/>
        <v>152.01320386492333</v>
      </c>
      <c r="U113" s="722">
        <f t="shared" si="47"/>
        <v>153.53333590357255</v>
      </c>
      <c r="V113" s="722">
        <f t="shared" si="47"/>
        <v>155.06866926260827</v>
      </c>
      <c r="W113" s="722">
        <f t="shared" si="47"/>
        <v>156.61935595523434</v>
      </c>
      <c r="X113" s="722">
        <f t="shared" si="47"/>
        <v>158.18554951478669</v>
      </c>
      <c r="Y113" s="825"/>
      <c r="Z113" s="722"/>
      <c r="AA113" s="722"/>
      <c r="AB113" s="722"/>
      <c r="AC113" s="722"/>
      <c r="AD113" s="722"/>
    </row>
    <row r="114" spans="2:31" x14ac:dyDescent="0.2">
      <c r="B114" s="543"/>
      <c r="C114" s="721" t="s">
        <v>66</v>
      </c>
      <c r="D114" s="710">
        <v>0</v>
      </c>
      <c r="E114" s="710">
        <f t="shared" ref="E114:X114" si="48">E113-$D113</f>
        <v>0</v>
      </c>
      <c r="F114" s="710">
        <f t="shared" si="48"/>
        <v>0</v>
      </c>
      <c r="G114" s="710">
        <f t="shared" si="48"/>
        <v>0</v>
      </c>
      <c r="H114" s="710">
        <f t="shared" si="48"/>
        <v>0</v>
      </c>
      <c r="I114" s="710">
        <f t="shared" si="48"/>
        <v>1.3490400000000022</v>
      </c>
      <c r="J114" s="710">
        <f t="shared" si="48"/>
        <v>2.7115703999999994</v>
      </c>
      <c r="K114" s="710">
        <f t="shared" si="48"/>
        <v>4.0877261040000121</v>
      </c>
      <c r="L114" s="710">
        <f t="shared" si="48"/>
        <v>5.4776433650400236</v>
      </c>
      <c r="M114" s="710">
        <f t="shared" si="48"/>
        <v>6.8814597986904289</v>
      </c>
      <c r="N114" s="710">
        <f t="shared" si="48"/>
        <v>8.2993143966773459</v>
      </c>
      <c r="O114" s="710">
        <f t="shared" si="48"/>
        <v>9.7313475406441228</v>
      </c>
      <c r="P114" s="710">
        <f t="shared" si="48"/>
        <v>11.177701016050577</v>
      </c>
      <c r="Q114" s="710">
        <f t="shared" si="48"/>
        <v>12.638518026211074</v>
      </c>
      <c r="R114" s="710">
        <f t="shared" si="48"/>
        <v>14.113943206473181</v>
      </c>
      <c r="S114" s="710">
        <f t="shared" si="48"/>
        <v>15.604122638537916</v>
      </c>
      <c r="T114" s="710">
        <f t="shared" si="48"/>
        <v>17.109203864923302</v>
      </c>
      <c r="U114" s="710">
        <f t="shared" si="48"/>
        <v>18.629335903572525</v>
      </c>
      <c r="V114" s="710">
        <f t="shared" si="48"/>
        <v>20.164669262608243</v>
      </c>
      <c r="W114" s="710">
        <f t="shared" si="48"/>
        <v>21.715355955234315</v>
      </c>
      <c r="X114" s="710">
        <f t="shared" si="48"/>
        <v>23.281549514786661</v>
      </c>
      <c r="Y114" s="696"/>
      <c r="Z114" s="710"/>
      <c r="AA114" s="710"/>
      <c r="AB114" s="710"/>
      <c r="AC114" s="710"/>
      <c r="AD114" s="710"/>
    </row>
    <row r="115" spans="2:31" x14ac:dyDescent="0.2">
      <c r="B115" s="543">
        <f>B156</f>
        <v>5</v>
      </c>
      <c r="C115" s="721" t="s">
        <v>80</v>
      </c>
      <c r="D115" s="710">
        <f>SUM(D114:D114)-(SUM(D114:D114)*(1-D51))</f>
        <v>0</v>
      </c>
      <c r="E115" s="710">
        <f>IF(E23=0,0,SUM(E114:E114))</f>
        <v>0</v>
      </c>
      <c r="F115" s="710">
        <f t="shared" ref="F115:X115" si="49">IF(F23=0,0,((SUM(F114:F114)*(1-F51))))</f>
        <v>0</v>
      </c>
      <c r="G115" s="710">
        <f t="shared" si="49"/>
        <v>0</v>
      </c>
      <c r="H115" s="710">
        <f t="shared" si="49"/>
        <v>0</v>
      </c>
      <c r="I115" s="710">
        <f t="shared" si="49"/>
        <v>1.3490400000000022</v>
      </c>
      <c r="J115" s="710">
        <f t="shared" si="49"/>
        <v>2.7115703999999994</v>
      </c>
      <c r="K115" s="710">
        <f t="shared" si="49"/>
        <v>4.0877261040000121</v>
      </c>
      <c r="L115" s="710">
        <f t="shared" si="49"/>
        <v>5.4776433650400236</v>
      </c>
      <c r="M115" s="710">
        <f t="shared" si="49"/>
        <v>6.8814597986904289</v>
      </c>
      <c r="N115" s="710">
        <f t="shared" si="49"/>
        <v>8.2993143966773459</v>
      </c>
      <c r="O115" s="710">
        <f t="shared" si="49"/>
        <v>9.7313475406441228</v>
      </c>
      <c r="P115" s="710">
        <f t="shared" si="49"/>
        <v>11.177701016050577</v>
      </c>
      <c r="Q115" s="710">
        <f t="shared" si="49"/>
        <v>12.638518026211074</v>
      </c>
      <c r="R115" s="710">
        <f t="shared" si="49"/>
        <v>14.113943206473181</v>
      </c>
      <c r="S115" s="710">
        <f t="shared" si="49"/>
        <v>15.604122638537916</v>
      </c>
      <c r="T115" s="710">
        <f t="shared" si="49"/>
        <v>17.109203864923302</v>
      </c>
      <c r="U115" s="710">
        <f t="shared" si="49"/>
        <v>18.629335903572525</v>
      </c>
      <c r="V115" s="710">
        <f t="shared" si="49"/>
        <v>20.164669262608243</v>
      </c>
      <c r="W115" s="710">
        <f t="shared" si="49"/>
        <v>21.715355955234315</v>
      </c>
      <c r="X115" s="710">
        <f t="shared" si="49"/>
        <v>23.281549514786661</v>
      </c>
      <c r="Y115" s="696"/>
      <c r="Z115" s="710"/>
      <c r="AA115" s="710"/>
      <c r="AB115" s="710"/>
      <c r="AC115" s="710"/>
      <c r="AD115" s="710"/>
    </row>
    <row r="116" spans="2:31" x14ac:dyDescent="0.2">
      <c r="C116" s="552" t="s">
        <v>558</v>
      </c>
      <c r="D116" s="710">
        <f>D115*Assumptions!$C$75</f>
        <v>0</v>
      </c>
      <c r="E116" s="710">
        <f>E115*Assumptions!$C$75</f>
        <v>0</v>
      </c>
      <c r="F116" s="710">
        <f>F115*Assumptions!$C$75</f>
        <v>0</v>
      </c>
      <c r="G116" s="710">
        <f>G115*Assumptions!$C$75</f>
        <v>0</v>
      </c>
      <c r="H116" s="710">
        <f>H115*Assumptions!$C$75</f>
        <v>0</v>
      </c>
      <c r="I116" s="710">
        <f>I115*Assumptions!$C$75</f>
        <v>1.6188480000000026E-2</v>
      </c>
      <c r="J116" s="710">
        <f>J115*Assumptions!$C$75</f>
        <v>3.2538844799999994E-2</v>
      </c>
      <c r="K116" s="710">
        <f>K115*Assumptions!$C$75</f>
        <v>4.9052713248000146E-2</v>
      </c>
      <c r="L116" s="710">
        <f>L115*Assumptions!$C$75</f>
        <v>6.573172038048028E-2</v>
      </c>
      <c r="M116" s="710">
        <f>M115*Assumptions!$C$75</f>
        <v>8.2577517584285151E-2</v>
      </c>
      <c r="N116" s="710">
        <f>N115*Assumptions!$C$75</f>
        <v>9.959177276012815E-2</v>
      </c>
      <c r="O116" s="710">
        <f>O115*Assumptions!$C$75</f>
        <v>0.11677617048772948</v>
      </c>
      <c r="P116" s="710">
        <f>P115*Assumptions!$C$75</f>
        <v>0.13413241219260694</v>
      </c>
      <c r="Q116" s="710">
        <f>Q115*Assumptions!$C$75</f>
        <v>0.15166221631453289</v>
      </c>
      <c r="R116" s="710">
        <f>R115*Assumptions!$C$75</f>
        <v>0.16936731847767816</v>
      </c>
      <c r="S116" s="710">
        <f>S115*Assumptions!$C$75</f>
        <v>0.18724947166245501</v>
      </c>
      <c r="T116" s="710">
        <f>T115*Assumptions!$C$75</f>
        <v>0.20531044637907964</v>
      </c>
      <c r="U116" s="710">
        <f>U115*Assumptions!$C$75</f>
        <v>0.22355203084287029</v>
      </c>
      <c r="V116" s="710">
        <f>V115*Assumptions!$C$75</f>
        <v>0.24197603115129893</v>
      </c>
      <c r="W116" s="710">
        <f>W115*Assumptions!$C$75</f>
        <v>0.26058427146281177</v>
      </c>
      <c r="X116" s="710">
        <f>X115*Assumptions!$C$75</f>
        <v>0.27937859417743993</v>
      </c>
      <c r="Y116" s="696"/>
      <c r="Z116" s="710"/>
      <c r="AA116" s="710"/>
      <c r="AB116" s="710"/>
      <c r="AC116" s="710"/>
      <c r="AD116" s="710"/>
    </row>
    <row r="117" spans="2:31" x14ac:dyDescent="0.2">
      <c r="C117" s="721" t="s">
        <v>81</v>
      </c>
      <c r="D117" s="710">
        <f>D101</f>
        <v>0</v>
      </c>
      <c r="E117" s="710">
        <f>E101</f>
        <v>0</v>
      </c>
      <c r="F117" s="710">
        <f>F101</f>
        <v>0</v>
      </c>
      <c r="G117" s="710">
        <f>G101</f>
        <v>0</v>
      </c>
      <c r="H117" s="710">
        <f>H101</f>
        <v>0</v>
      </c>
      <c r="I117" s="710">
        <f t="shared" ref="I117:X117" si="50">I101</f>
        <v>2.5397150358275269</v>
      </c>
      <c r="J117" s="710">
        <f t="shared" si="50"/>
        <v>5.3674972495937912</v>
      </c>
      <c r="K117" s="710">
        <f t="shared" si="50"/>
        <v>6.1620657591086569</v>
      </c>
      <c r="L117" s="710">
        <f t="shared" si="50"/>
        <v>6.3668312042838382</v>
      </c>
      <c r="M117" s="710">
        <f t="shared" si="50"/>
        <v>6.5784010052021875</v>
      </c>
      <c r="N117" s="710">
        <f t="shared" si="50"/>
        <v>6.7970012706050573</v>
      </c>
      <c r="O117" s="710">
        <f t="shared" si="50"/>
        <v>7.0228656228272603</v>
      </c>
      <c r="P117" s="710">
        <f t="shared" si="50"/>
        <v>7.256235447473812</v>
      </c>
      <c r="Q117" s="710">
        <f t="shared" si="50"/>
        <v>7.4973601513933668</v>
      </c>
      <c r="R117" s="710">
        <f t="shared" si="50"/>
        <v>7.746497429224168</v>
      </c>
      <c r="S117" s="710">
        <f t="shared" si="50"/>
        <v>8.0039135387972831</v>
      </c>
      <c r="T117" s="710">
        <f t="shared" si="50"/>
        <v>8.2698835856915185</v>
      </c>
      <c r="U117" s="710">
        <f t="shared" si="50"/>
        <v>8.5446918172440451</v>
      </c>
      <c r="V117" s="710">
        <f t="shared" si="50"/>
        <v>8.8286319263310666</v>
      </c>
      <c r="W117" s="710">
        <f t="shared" si="50"/>
        <v>9.1220073652430447</v>
      </c>
      <c r="X117" s="710">
        <f t="shared" si="50"/>
        <v>9.4251316699900727</v>
      </c>
      <c r="Y117" s="696"/>
      <c r="Z117" s="710"/>
      <c r="AA117" s="710"/>
      <c r="AB117" s="710"/>
      <c r="AC117" s="710"/>
      <c r="AD117" s="710"/>
    </row>
    <row r="118" spans="2:31" x14ac:dyDescent="0.2">
      <c r="C118" s="723" t="s">
        <v>82</v>
      </c>
      <c r="D118" s="710">
        <f>SUM(D117+D115)</f>
        <v>0</v>
      </c>
      <c r="E118" s="710">
        <f>SUM(E117+E115)</f>
        <v>0</v>
      </c>
      <c r="F118" s="710">
        <f>SUM(F117+F115)</f>
        <v>0</v>
      </c>
      <c r="G118" s="710">
        <f>SUM(G117+G115)</f>
        <v>0</v>
      </c>
      <c r="H118" s="710">
        <f>SUM(H117+H114)</f>
        <v>0</v>
      </c>
      <c r="I118" s="710">
        <f>SUM(I117+I114)</f>
        <v>3.8887550358275291</v>
      </c>
      <c r="J118" s="710">
        <f>SUM(J117+J114)</f>
        <v>8.0790676495937905</v>
      </c>
      <c r="K118" s="710">
        <f t="shared" ref="K118:X118" si="51">SUM(K117+K114)</f>
        <v>10.249791863108669</v>
      </c>
      <c r="L118" s="710">
        <f t="shared" si="51"/>
        <v>11.844474569323861</v>
      </c>
      <c r="M118" s="710">
        <f t="shared" si="51"/>
        <v>13.459860803892617</v>
      </c>
      <c r="N118" s="710">
        <f t="shared" si="51"/>
        <v>15.096315667282404</v>
      </c>
      <c r="O118" s="710">
        <f t="shared" si="51"/>
        <v>16.754213163471384</v>
      </c>
      <c r="P118" s="710">
        <f t="shared" si="51"/>
        <v>18.43393646352439</v>
      </c>
      <c r="Q118" s="710">
        <f t="shared" si="51"/>
        <v>20.13587817760444</v>
      </c>
      <c r="R118" s="710">
        <f t="shared" si="51"/>
        <v>21.860440635697348</v>
      </c>
      <c r="S118" s="710">
        <f t="shared" si="51"/>
        <v>23.608036177335201</v>
      </c>
      <c r="T118" s="710">
        <f t="shared" si="51"/>
        <v>25.379087450614819</v>
      </c>
      <c r="U118" s="710">
        <f t="shared" si="51"/>
        <v>27.174027720816568</v>
      </c>
      <c r="V118" s="710">
        <f t="shared" si="51"/>
        <v>28.993301188939309</v>
      </c>
      <c r="W118" s="710">
        <f t="shared" si="51"/>
        <v>30.837363320477358</v>
      </c>
      <c r="X118" s="710">
        <f t="shared" si="51"/>
        <v>32.706681184776734</v>
      </c>
      <c r="Y118" s="696"/>
      <c r="Z118" s="710"/>
      <c r="AA118" s="710"/>
      <c r="AB118" s="710"/>
      <c r="AC118" s="710"/>
      <c r="AD118" s="710"/>
    </row>
    <row r="119" spans="2:31" x14ac:dyDescent="0.2">
      <c r="C119" s="703"/>
      <c r="G119" s="538"/>
      <c r="P119" s="538"/>
      <c r="Y119" s="549"/>
    </row>
    <row r="120" spans="2:31" x14ac:dyDescent="0.2">
      <c r="C120" s="703"/>
      <c r="H120" s="740" t="s">
        <v>107</v>
      </c>
      <c r="I120" s="538">
        <f>(I115/I117)*I80</f>
        <v>513.56905250452587</v>
      </c>
      <c r="J120" s="538">
        <f t="shared" ref="J120:X120" si="52">(J115/J117)*J80</f>
        <v>1022.0532629050448</v>
      </c>
      <c r="K120" s="538">
        <f t="shared" si="52"/>
        <v>1525.5029761728913</v>
      </c>
      <c r="L120" s="538">
        <f t="shared" si="52"/>
        <v>2023.9680388143222</v>
      </c>
      <c r="M120" s="538">
        <f t="shared" si="52"/>
        <v>2517.4978038058366</v>
      </c>
      <c r="N120" s="538">
        <f t="shared" si="52"/>
        <v>3006.1411354806055</v>
      </c>
      <c r="O120" s="538">
        <f t="shared" si="52"/>
        <v>3489.9464143665127</v>
      </c>
      <c r="P120" s="538">
        <f t="shared" si="52"/>
        <v>3968.961541976324</v>
      </c>
      <c r="Q120" s="538">
        <f t="shared" si="52"/>
        <v>4443.233945550387</v>
      </c>
      <c r="R120" s="538">
        <f t="shared" si="52"/>
        <v>4912.8105827524314</v>
      </c>
      <c r="S120" s="538">
        <f t="shared" si="52"/>
        <v>5377.7379463188172</v>
      </c>
      <c r="T120" s="538">
        <f t="shared" si="52"/>
        <v>5838.0620686617704</v>
      </c>
      <c r="U120" s="538">
        <f t="shared" si="52"/>
        <v>6293.828526427068</v>
      </c>
      <c r="V120" s="538">
        <f t="shared" si="52"/>
        <v>6745.0824450065684</v>
      </c>
      <c r="W120" s="538">
        <f t="shared" si="52"/>
        <v>7191.868503006076</v>
      </c>
      <c r="X120" s="538">
        <f t="shared" si="52"/>
        <v>7634.230936668956</v>
      </c>
      <c r="Y120" s="826"/>
      <c r="Z120" s="538"/>
      <c r="AA120" s="538"/>
      <c r="AB120" s="538"/>
      <c r="AC120" s="538"/>
      <c r="AD120" s="538"/>
      <c r="AE120" s="557"/>
    </row>
    <row r="121" spans="2:31" ht="13.5" thickBot="1" x14ac:dyDescent="0.25">
      <c r="C121" s="540"/>
      <c r="D121" s="724"/>
      <c r="E121" s="724"/>
      <c r="F121" s="724"/>
      <c r="G121" s="724"/>
      <c r="H121" s="724"/>
      <c r="I121" s="724"/>
      <c r="J121" s="724"/>
      <c r="K121" s="724"/>
      <c r="L121" s="724"/>
      <c r="M121" s="724"/>
      <c r="N121" s="724"/>
      <c r="O121" s="724"/>
      <c r="P121" s="724"/>
      <c r="Q121" s="724"/>
      <c r="R121" s="724"/>
      <c r="S121" s="724"/>
      <c r="T121" s="724"/>
      <c r="U121" s="724"/>
      <c r="V121" s="724"/>
      <c r="W121" s="724"/>
      <c r="X121" s="724"/>
      <c r="Y121" s="700"/>
    </row>
    <row r="122" spans="2:31" ht="13.5" thickBot="1" x14ac:dyDescent="0.25"/>
    <row r="123" spans="2:31" s="543" customFormat="1" x14ac:dyDescent="0.2">
      <c r="C123" s="756"/>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6"/>
    </row>
    <row r="124" spans="2:31" s="543" customFormat="1" x14ac:dyDescent="0.2">
      <c r="C124" s="757" t="s">
        <v>83</v>
      </c>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7"/>
    </row>
    <row r="125" spans="2:31" s="240" customFormat="1" x14ac:dyDescent="0.2">
      <c r="C125" s="548"/>
      <c r="D125" s="111">
        <v>2008</v>
      </c>
      <c r="E125" s="111">
        <v>2009</v>
      </c>
      <c r="F125" s="111">
        <v>2010</v>
      </c>
      <c r="G125" s="111">
        <v>2011</v>
      </c>
      <c r="H125" s="111">
        <v>2012</v>
      </c>
      <c r="I125" s="111">
        <v>2013</v>
      </c>
      <c r="J125" s="111">
        <v>2014</v>
      </c>
      <c r="K125" s="111">
        <v>2015</v>
      </c>
      <c r="L125" s="111">
        <v>2016</v>
      </c>
      <c r="M125" s="111">
        <v>2017</v>
      </c>
      <c r="N125" s="111">
        <v>2018</v>
      </c>
      <c r="O125" s="111">
        <v>2019</v>
      </c>
      <c r="P125" s="111">
        <v>2020</v>
      </c>
      <c r="Q125" s="111">
        <v>2021</v>
      </c>
      <c r="R125" s="111">
        <v>2022</v>
      </c>
      <c r="S125" s="111">
        <v>2023</v>
      </c>
      <c r="T125" s="111">
        <v>2024</v>
      </c>
      <c r="U125" s="111">
        <v>2025</v>
      </c>
      <c r="V125" s="111">
        <v>2026</v>
      </c>
      <c r="W125" s="111">
        <v>2027</v>
      </c>
      <c r="X125" s="111">
        <v>2028</v>
      </c>
      <c r="Y125" s="550"/>
    </row>
    <row r="126" spans="2:31" s="543" customFormat="1" x14ac:dyDescent="0.2">
      <c r="C126" s="728" t="s">
        <v>93</v>
      </c>
      <c r="D126" s="553"/>
      <c r="E126" s="553"/>
      <c r="F126" s="553"/>
      <c r="G126" s="553"/>
      <c r="H126" s="553"/>
      <c r="I126" s="553"/>
      <c r="J126" s="542"/>
      <c r="K126" s="542"/>
      <c r="L126" s="542"/>
      <c r="M126" s="542"/>
      <c r="N126" s="542"/>
      <c r="O126" s="542"/>
      <c r="P126" s="542"/>
      <c r="Q126" s="542"/>
      <c r="R126" s="542"/>
      <c r="S126" s="542"/>
      <c r="T126" s="542"/>
      <c r="U126" s="542"/>
      <c r="V126" s="542"/>
      <c r="W126" s="542"/>
      <c r="X126" s="542"/>
      <c r="Y126" s="549"/>
    </row>
    <row r="127" spans="2:31" x14ac:dyDescent="0.2">
      <c r="C127" s="723" t="s">
        <v>84</v>
      </c>
      <c r="Y127" s="549"/>
    </row>
    <row r="128" spans="2:31" x14ac:dyDescent="0.2">
      <c r="C128" s="713" t="s">
        <v>10</v>
      </c>
      <c r="D128" s="730">
        <f>Assumptions!C48</f>
        <v>0.57000000000000006</v>
      </c>
      <c r="E128" s="730">
        <f>$D128</f>
        <v>0.57000000000000006</v>
      </c>
      <c r="F128" s="730">
        <f t="shared" ref="F128:X130" si="53">$D128</f>
        <v>0.57000000000000006</v>
      </c>
      <c r="G128" s="730">
        <f t="shared" si="53"/>
        <v>0.57000000000000006</v>
      </c>
      <c r="H128" s="730">
        <f t="shared" si="53"/>
        <v>0.57000000000000006</v>
      </c>
      <c r="I128" s="730">
        <f t="shared" si="53"/>
        <v>0.57000000000000006</v>
      </c>
      <c r="J128" s="730">
        <f t="shared" si="53"/>
        <v>0.57000000000000006</v>
      </c>
      <c r="K128" s="730">
        <f t="shared" si="53"/>
        <v>0.57000000000000006</v>
      </c>
      <c r="L128" s="730">
        <f t="shared" si="53"/>
        <v>0.57000000000000006</v>
      </c>
      <c r="M128" s="730">
        <f t="shared" si="53"/>
        <v>0.57000000000000006</v>
      </c>
      <c r="N128" s="730">
        <f t="shared" si="53"/>
        <v>0.57000000000000006</v>
      </c>
      <c r="O128" s="730">
        <f t="shared" si="53"/>
        <v>0.57000000000000006</v>
      </c>
      <c r="P128" s="730">
        <f t="shared" si="53"/>
        <v>0.57000000000000006</v>
      </c>
      <c r="Q128" s="730">
        <f t="shared" si="53"/>
        <v>0.57000000000000006</v>
      </c>
      <c r="R128" s="730">
        <f t="shared" si="53"/>
        <v>0.57000000000000006</v>
      </c>
      <c r="S128" s="730">
        <f t="shared" si="53"/>
        <v>0.57000000000000006</v>
      </c>
      <c r="T128" s="730">
        <f t="shared" si="53"/>
        <v>0.57000000000000006</v>
      </c>
      <c r="U128" s="730">
        <f t="shared" si="53"/>
        <v>0.57000000000000006</v>
      </c>
      <c r="V128" s="730">
        <f t="shared" si="53"/>
        <v>0.57000000000000006</v>
      </c>
      <c r="W128" s="730">
        <f t="shared" si="53"/>
        <v>0.57000000000000006</v>
      </c>
      <c r="X128" s="730">
        <f t="shared" si="53"/>
        <v>0.57000000000000006</v>
      </c>
      <c r="Y128" s="827"/>
      <c r="Z128" s="730"/>
      <c r="AA128" s="730"/>
      <c r="AB128" s="730"/>
      <c r="AC128" s="730"/>
      <c r="AD128" s="730"/>
    </row>
    <row r="129" spans="2:30" x14ac:dyDescent="0.2">
      <c r="C129" s="713" t="s">
        <v>44</v>
      </c>
      <c r="D129" s="730">
        <f>Assumptions!C49</f>
        <v>0.59699999999999998</v>
      </c>
      <c r="E129" s="730">
        <f t="shared" ref="E129:T130" si="54">$D129</f>
        <v>0.59699999999999998</v>
      </c>
      <c r="F129" s="730">
        <f t="shared" si="54"/>
        <v>0.59699999999999998</v>
      </c>
      <c r="G129" s="730">
        <f t="shared" si="54"/>
        <v>0.59699999999999998</v>
      </c>
      <c r="H129" s="730">
        <f t="shared" si="54"/>
        <v>0.59699999999999998</v>
      </c>
      <c r="I129" s="730">
        <f t="shared" si="54"/>
        <v>0.59699999999999998</v>
      </c>
      <c r="J129" s="730">
        <f t="shared" si="54"/>
        <v>0.59699999999999998</v>
      </c>
      <c r="K129" s="730">
        <f t="shared" si="54"/>
        <v>0.59699999999999998</v>
      </c>
      <c r="L129" s="730">
        <f t="shared" si="54"/>
        <v>0.59699999999999998</v>
      </c>
      <c r="M129" s="730">
        <f t="shared" si="54"/>
        <v>0.59699999999999998</v>
      </c>
      <c r="N129" s="730">
        <f t="shared" si="54"/>
        <v>0.59699999999999998</v>
      </c>
      <c r="O129" s="730">
        <f t="shared" si="54"/>
        <v>0.59699999999999998</v>
      </c>
      <c r="P129" s="730">
        <f t="shared" si="54"/>
        <v>0.59699999999999998</v>
      </c>
      <c r="Q129" s="730">
        <f t="shared" si="54"/>
        <v>0.59699999999999998</v>
      </c>
      <c r="R129" s="730">
        <f t="shared" si="54"/>
        <v>0.59699999999999998</v>
      </c>
      <c r="S129" s="730">
        <f t="shared" si="54"/>
        <v>0.59699999999999998</v>
      </c>
      <c r="T129" s="730">
        <f t="shared" si="54"/>
        <v>0.59699999999999998</v>
      </c>
      <c r="U129" s="730">
        <f t="shared" si="53"/>
        <v>0.59699999999999998</v>
      </c>
      <c r="V129" s="730">
        <f t="shared" si="53"/>
        <v>0.59699999999999998</v>
      </c>
      <c r="W129" s="730">
        <f t="shared" si="53"/>
        <v>0.59699999999999998</v>
      </c>
      <c r="X129" s="730">
        <f t="shared" si="53"/>
        <v>0.59699999999999998</v>
      </c>
      <c r="Y129" s="827"/>
      <c r="Z129" s="730"/>
      <c r="AA129" s="730"/>
      <c r="AB129" s="730"/>
      <c r="AC129" s="730"/>
      <c r="AD129" s="730"/>
    </row>
    <row r="130" spans="2:30" x14ac:dyDescent="0.2">
      <c r="C130" s="713" t="s">
        <v>45</v>
      </c>
      <c r="D130" s="730">
        <f>Assumptions!C50</f>
        <v>0.69599999999999995</v>
      </c>
      <c r="E130" s="730">
        <f t="shared" si="54"/>
        <v>0.69599999999999995</v>
      </c>
      <c r="F130" s="730">
        <f t="shared" si="53"/>
        <v>0.69599999999999995</v>
      </c>
      <c r="G130" s="730">
        <f t="shared" si="53"/>
        <v>0.69599999999999995</v>
      </c>
      <c r="H130" s="730">
        <f t="shared" si="53"/>
        <v>0.69599999999999995</v>
      </c>
      <c r="I130" s="730">
        <f t="shared" si="53"/>
        <v>0.69599999999999995</v>
      </c>
      <c r="J130" s="730">
        <f t="shared" si="53"/>
        <v>0.69599999999999995</v>
      </c>
      <c r="K130" s="730">
        <f t="shared" si="53"/>
        <v>0.69599999999999995</v>
      </c>
      <c r="L130" s="730">
        <f t="shared" si="53"/>
        <v>0.69599999999999995</v>
      </c>
      <c r="M130" s="730">
        <f t="shared" si="53"/>
        <v>0.69599999999999995</v>
      </c>
      <c r="N130" s="730">
        <f t="shared" si="53"/>
        <v>0.69599999999999995</v>
      </c>
      <c r="O130" s="730">
        <f t="shared" si="53"/>
        <v>0.69599999999999995</v>
      </c>
      <c r="P130" s="730">
        <f t="shared" si="53"/>
        <v>0.69599999999999995</v>
      </c>
      <c r="Q130" s="730">
        <f t="shared" si="53"/>
        <v>0.69599999999999995</v>
      </c>
      <c r="R130" s="730">
        <f t="shared" si="53"/>
        <v>0.69599999999999995</v>
      </c>
      <c r="S130" s="730">
        <f t="shared" si="53"/>
        <v>0.69599999999999995</v>
      </c>
      <c r="T130" s="730">
        <f t="shared" si="53"/>
        <v>0.69599999999999995</v>
      </c>
      <c r="U130" s="730">
        <f t="shared" si="53"/>
        <v>0.69599999999999995</v>
      </c>
      <c r="V130" s="730">
        <f t="shared" si="53"/>
        <v>0.69599999999999995</v>
      </c>
      <c r="W130" s="730">
        <f t="shared" si="53"/>
        <v>0.69599999999999995</v>
      </c>
      <c r="X130" s="730">
        <f t="shared" si="53"/>
        <v>0.69599999999999995</v>
      </c>
      <c r="Y130" s="827"/>
      <c r="Z130" s="730"/>
      <c r="AA130" s="730"/>
      <c r="AB130" s="730"/>
      <c r="AC130" s="730"/>
      <c r="AD130" s="730"/>
    </row>
    <row r="131" spans="2:30"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827"/>
      <c r="Z131" s="730"/>
      <c r="AA131" s="730"/>
      <c r="AB131" s="730"/>
      <c r="AC131" s="730"/>
      <c r="AD131" s="730"/>
    </row>
    <row r="132" spans="2:30"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814"/>
      <c r="Z132" s="553"/>
      <c r="AA132" s="553"/>
      <c r="AB132" s="553"/>
      <c r="AC132" s="553"/>
      <c r="AD132" s="553"/>
    </row>
    <row r="133" spans="2:30" x14ac:dyDescent="0.2">
      <c r="B133" s="702"/>
      <c r="C133" s="713" t="s">
        <v>10</v>
      </c>
      <c r="D133" s="553">
        <f t="shared" ref="D133:X133" si="55">D97*$AB$69*D128</f>
        <v>0</v>
      </c>
      <c r="E133" s="553">
        <f t="shared" si="55"/>
        <v>0</v>
      </c>
      <c r="F133" s="553">
        <f t="shared" si="55"/>
        <v>0</v>
      </c>
      <c r="G133" s="553">
        <f t="shared" si="55"/>
        <v>0</v>
      </c>
      <c r="H133" s="553">
        <f t="shared" si="55"/>
        <v>0</v>
      </c>
      <c r="I133" s="553">
        <f t="shared" si="55"/>
        <v>827.93339837999997</v>
      </c>
      <c r="J133" s="553">
        <f t="shared" si="55"/>
        <v>1749.7751424712517</v>
      </c>
      <c r="K133" s="553">
        <f t="shared" si="55"/>
        <v>2008.8001893950786</v>
      </c>
      <c r="L133" s="553">
        <f t="shared" si="55"/>
        <v>2075.5526196886772</v>
      </c>
      <c r="M133" s="553">
        <f t="shared" si="55"/>
        <v>2144.5232332409309</v>
      </c>
      <c r="N133" s="553">
        <f t="shared" si="55"/>
        <v>2215.785740281528</v>
      </c>
      <c r="O133" s="553">
        <f t="shared" si="55"/>
        <v>2289.4163004310822</v>
      </c>
      <c r="P133" s="553">
        <f t="shared" si="55"/>
        <v>2365.4936040944076</v>
      </c>
      <c r="Q133" s="553">
        <f t="shared" si="55"/>
        <v>2444.0989565584641</v>
      </c>
      <c r="R133" s="553">
        <f t="shared" si="55"/>
        <v>2525.3163648849022</v>
      </c>
      <c r="S133" s="553">
        <f t="shared" si="55"/>
        <v>2609.2326276900262</v>
      </c>
      <c r="T133" s="553">
        <f t="shared" si="55"/>
        <v>2695.9374279081667</v>
      </c>
      <c r="U133" s="553">
        <f t="shared" si="55"/>
        <v>2785.5234286375544</v>
      </c>
      <c r="V133" s="553">
        <f t="shared" si="55"/>
        <v>2878.0863721711803</v>
      </c>
      <c r="W133" s="553">
        <f t="shared" si="55"/>
        <v>2973.7251823184279</v>
      </c>
      <c r="X133" s="553">
        <f t="shared" si="55"/>
        <v>3072.5420701268695</v>
      </c>
      <c r="Y133" s="814"/>
      <c r="Z133" s="553"/>
      <c r="AA133" s="553"/>
      <c r="AB133" s="553"/>
      <c r="AC133" s="553"/>
      <c r="AD133" s="553"/>
    </row>
    <row r="134" spans="2:30" x14ac:dyDescent="0.2">
      <c r="C134" s="713" t="s">
        <v>44</v>
      </c>
      <c r="D134" s="553">
        <f t="shared" ref="D134:X134" si="56">D98*$AB$69*D129</f>
        <v>0</v>
      </c>
      <c r="E134" s="553">
        <f t="shared" si="56"/>
        <v>0</v>
      </c>
      <c r="F134" s="553">
        <f t="shared" si="56"/>
        <v>0</v>
      </c>
      <c r="G134" s="553">
        <f t="shared" si="56"/>
        <v>0</v>
      </c>
      <c r="H134" s="553">
        <f t="shared" si="56"/>
        <v>0</v>
      </c>
      <c r="I134" s="553">
        <f t="shared" si="56"/>
        <v>370.21864318312493</v>
      </c>
      <c r="J134" s="553">
        <f t="shared" si="56"/>
        <v>782.42933596929583</v>
      </c>
      <c r="K134" s="553">
        <f t="shared" si="56"/>
        <v>898.25495867061693</v>
      </c>
      <c r="L134" s="553">
        <f t="shared" si="56"/>
        <v>928.10397094724181</v>
      </c>
      <c r="M134" s="553">
        <f t="shared" si="56"/>
        <v>958.94486590181816</v>
      </c>
      <c r="N134" s="553">
        <f t="shared" si="56"/>
        <v>990.81060379573591</v>
      </c>
      <c r="O134" s="553">
        <f t="shared" si="56"/>
        <v>1023.7352401598677</v>
      </c>
      <c r="P134" s="553">
        <f t="shared" si="56"/>
        <v>1057.7539621903804</v>
      </c>
      <c r="Q134" s="553">
        <f t="shared" si="56"/>
        <v>1092.9031263539669</v>
      </c>
      <c r="R134" s="553">
        <f t="shared" si="56"/>
        <v>1129.2202972427087</v>
      </c>
      <c r="S134" s="553">
        <f t="shared" si="56"/>
        <v>1166.7442877200838</v>
      </c>
      <c r="T134" s="553">
        <f t="shared" si="56"/>
        <v>1205.5152004010222</v>
      </c>
      <c r="U134" s="553">
        <f t="shared" si="56"/>
        <v>1245.5744705103482</v>
      </c>
      <c r="V134" s="553">
        <f t="shared" si="56"/>
        <v>1286.9649101654068</v>
      </c>
      <c r="W134" s="553">
        <f t="shared" si="56"/>
        <v>1329.7307541302027</v>
      </c>
      <c r="X134" s="553">
        <f t="shared" si="56"/>
        <v>1373.9177070899498</v>
      </c>
      <c r="Y134" s="814"/>
      <c r="Z134" s="553"/>
      <c r="AA134" s="553"/>
      <c r="AB134" s="553"/>
      <c r="AC134" s="553"/>
      <c r="AD134" s="553"/>
    </row>
    <row r="135" spans="2:30" x14ac:dyDescent="0.2">
      <c r="C135" s="713" t="s">
        <v>45</v>
      </c>
      <c r="D135" s="553">
        <f t="shared" ref="D135:X135" si="57">D99*$AB$69*D130</f>
        <v>0</v>
      </c>
      <c r="E135" s="553">
        <f t="shared" si="57"/>
        <v>0</v>
      </c>
      <c r="F135" s="553">
        <f t="shared" si="57"/>
        <v>0</v>
      </c>
      <c r="G135" s="553">
        <f t="shared" si="57"/>
        <v>0</v>
      </c>
      <c r="H135" s="553">
        <f t="shared" si="57"/>
        <v>0</v>
      </c>
      <c r="I135" s="553">
        <f t="shared" si="57"/>
        <v>325.07972555695869</v>
      </c>
      <c r="J135" s="553">
        <f t="shared" si="57"/>
        <v>687.03161898521535</v>
      </c>
      <c r="K135" s="553">
        <f t="shared" si="57"/>
        <v>788.73519964899322</v>
      </c>
      <c r="L135" s="553">
        <f t="shared" si="57"/>
        <v>814.9448703333295</v>
      </c>
      <c r="M135" s="553">
        <f t="shared" si="57"/>
        <v>842.02548837450558</v>
      </c>
      <c r="N135" s="553">
        <f t="shared" si="57"/>
        <v>870.00599535319066</v>
      </c>
      <c r="O135" s="553">
        <f t="shared" si="57"/>
        <v>898.91629457877684</v>
      </c>
      <c r="P135" s="553">
        <f t="shared" si="57"/>
        <v>928.78728304762978</v>
      </c>
      <c r="Q135" s="553">
        <f t="shared" si="57"/>
        <v>959.65088446330265</v>
      </c>
      <c r="R135" s="553">
        <f t="shared" si="57"/>
        <v>991.54008335401784</v>
      </c>
      <c r="S135" s="553">
        <f t="shared" si="57"/>
        <v>1024.4889603238719</v>
      </c>
      <c r="T135" s="553">
        <f t="shared" si="57"/>
        <v>1058.5327284754339</v>
      </c>
      <c r="U135" s="553">
        <f t="shared" si="57"/>
        <v>1093.7077710426724</v>
      </c>
      <c r="V135" s="553">
        <f t="shared" si="57"/>
        <v>1130.0516802744205</v>
      </c>
      <c r="W135" s="553">
        <f t="shared" si="57"/>
        <v>1167.6032976099389</v>
      </c>
      <c r="X135" s="553">
        <f t="shared" si="57"/>
        <v>1206.4027551895174</v>
      </c>
      <c r="Y135" s="814"/>
      <c r="Z135" s="553"/>
      <c r="AA135" s="553"/>
      <c r="AB135" s="553"/>
      <c r="AC135" s="553"/>
      <c r="AD135" s="553"/>
    </row>
    <row r="136" spans="2:30"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814"/>
      <c r="Z136" s="553"/>
      <c r="AA136" s="553"/>
      <c r="AB136" s="553"/>
      <c r="AC136" s="553"/>
      <c r="AD136" s="553"/>
    </row>
    <row r="137" spans="2:30" x14ac:dyDescent="0.2">
      <c r="C137" s="723" t="s">
        <v>86</v>
      </c>
      <c r="D137" s="554">
        <f t="shared" ref="D137:X137" si="58">SUM(D133:D135)*0.001</f>
        <v>0</v>
      </c>
      <c r="E137" s="554">
        <f t="shared" si="58"/>
        <v>0</v>
      </c>
      <c r="F137" s="554">
        <f t="shared" si="58"/>
        <v>0</v>
      </c>
      <c r="G137" s="554">
        <f t="shared" si="58"/>
        <v>0</v>
      </c>
      <c r="H137" s="554">
        <f t="shared" si="58"/>
        <v>0</v>
      </c>
      <c r="I137" s="554">
        <f t="shared" si="58"/>
        <v>1.5232317671200835</v>
      </c>
      <c r="J137" s="554">
        <f t="shared" si="58"/>
        <v>3.2192360974257626</v>
      </c>
      <c r="K137" s="554">
        <f t="shared" si="58"/>
        <v>3.6957903477146887</v>
      </c>
      <c r="L137" s="554">
        <f t="shared" si="58"/>
        <v>3.8186014609692487</v>
      </c>
      <c r="M137" s="554">
        <f t="shared" si="58"/>
        <v>3.9454935875172548</v>
      </c>
      <c r="N137" s="554">
        <f t="shared" si="58"/>
        <v>4.0766023394304547</v>
      </c>
      <c r="O137" s="554">
        <f t="shared" si="58"/>
        <v>4.2120678351697274</v>
      </c>
      <c r="P137" s="554">
        <f t="shared" si="58"/>
        <v>4.3520348493324184</v>
      </c>
      <c r="Q137" s="554">
        <f t="shared" si="58"/>
        <v>4.4966529673757343</v>
      </c>
      <c r="R137" s="554">
        <f t="shared" si="58"/>
        <v>4.6460767454816292</v>
      </c>
      <c r="S137" s="554">
        <f t="shared" si="58"/>
        <v>4.8004658757339822</v>
      </c>
      <c r="T137" s="554">
        <f t="shared" si="58"/>
        <v>4.9599853567846228</v>
      </c>
      <c r="U137" s="554">
        <f t="shared" si="58"/>
        <v>5.1248056701905753</v>
      </c>
      <c r="V137" s="554">
        <f t="shared" si="58"/>
        <v>5.2951029626110078</v>
      </c>
      <c r="W137" s="554">
        <f t="shared" si="58"/>
        <v>5.4710592340585693</v>
      </c>
      <c r="X137" s="554">
        <f t="shared" si="58"/>
        <v>5.6528625324063357</v>
      </c>
      <c r="Y137" s="816"/>
      <c r="Z137" s="554"/>
      <c r="AA137" s="554"/>
      <c r="AB137" s="554"/>
      <c r="AC137" s="554"/>
      <c r="AD137" s="554"/>
    </row>
    <row r="138" spans="2:30" x14ac:dyDescent="0.2">
      <c r="C138" s="551"/>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row>
    <row r="139" spans="2:30" x14ac:dyDescent="0.2">
      <c r="C139" s="723" t="s">
        <v>71</v>
      </c>
      <c r="D139" s="553"/>
      <c r="E139" s="553"/>
      <c r="F139" s="553"/>
      <c r="G139" s="553"/>
      <c r="H139" s="554"/>
      <c r="I139" s="554"/>
      <c r="J139" s="554"/>
      <c r="K139" s="554"/>
      <c r="L139" s="554"/>
      <c r="M139" s="554"/>
      <c r="N139" s="554"/>
      <c r="O139" s="554"/>
      <c r="P139" s="554"/>
      <c r="Q139" s="554"/>
      <c r="R139" s="554"/>
      <c r="S139" s="554"/>
      <c r="T139" s="554"/>
      <c r="U139" s="554"/>
      <c r="V139" s="554"/>
      <c r="W139" s="554"/>
      <c r="X139" s="554"/>
      <c r="Y139" s="816"/>
      <c r="Z139" s="554"/>
      <c r="AA139" s="554"/>
      <c r="AB139" s="554"/>
      <c r="AC139" s="554"/>
      <c r="AD139" s="554"/>
    </row>
    <row r="140" spans="2:30" x14ac:dyDescent="0.2">
      <c r="C140" s="72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0.39796680000000062</v>
      </c>
      <c r="J140" s="711">
        <f>IF(J23=1,(Assumptions!$C$51*J115),0)</f>
        <v>0.79991326799999973</v>
      </c>
      <c r="K140" s="711">
        <f>IF(K23=1,(Assumptions!$C$51*K115),0)</f>
        <v>1.2058792006800034</v>
      </c>
      <c r="L140" s="711">
        <f>IF(L23=1,(Assumptions!$C$51*L115),0)</f>
        <v>1.6159047926868069</v>
      </c>
      <c r="M140" s="711">
        <f>IF(M23=1,(Assumptions!$C$51*M115),0)</f>
        <v>2.0300306406136763</v>
      </c>
      <c r="N140" s="711">
        <f>IF(N23=1,(Assumptions!$C$51*N115),0)</f>
        <v>2.4482977470198168</v>
      </c>
      <c r="O140" s="711">
        <f>IF(O23=1,(Assumptions!$C$51*O115),0)</f>
        <v>2.870747524490016</v>
      </c>
      <c r="P140" s="711">
        <f>IF(P23=1,(Assumptions!$C$51*P115),0)</f>
        <v>3.29742179973492</v>
      </c>
      <c r="Q140" s="711">
        <f>IF(Q23=1,(Assumptions!$C$51*Q115),0)</f>
        <v>3.7283628177322665</v>
      </c>
      <c r="R140" s="711">
        <f>IF(R23=1,(Assumptions!$C$51*R115),0)</f>
        <v>4.1636132459095885</v>
      </c>
      <c r="S140" s="711">
        <f>IF(S23=1,(Assumptions!$C$51*S115),0)</f>
        <v>4.6032161783686849</v>
      </c>
      <c r="T140" s="711">
        <f>IF(T23=1,(Assumptions!$C$51*T115),0)</f>
        <v>5.0472151401523737</v>
      </c>
      <c r="U140" s="711">
        <f>IF(U23=1,(Assumptions!$C$51*U115),0)</f>
        <v>5.4956540915538943</v>
      </c>
      <c r="V140" s="711">
        <f>IF(V23=1,(Assumptions!$C$51*V115),0)</f>
        <v>5.9485774324694312</v>
      </c>
      <c r="W140" s="711">
        <f>IF(W23=1,(Assumptions!$C$51*W115),0)</f>
        <v>6.4060300067941229</v>
      </c>
      <c r="X140" s="711">
        <f>IF(X23=1,(Assumptions!$C$51*X115),0)</f>
        <v>6.8680571068620644</v>
      </c>
      <c r="Y140" s="815"/>
      <c r="Z140" s="711"/>
      <c r="AA140" s="711"/>
      <c r="AB140" s="711"/>
      <c r="AC140" s="711"/>
      <c r="AD140" s="711"/>
    </row>
    <row r="141" spans="2:30" x14ac:dyDescent="0.2">
      <c r="C141" s="723" t="s">
        <v>87</v>
      </c>
      <c r="D141" s="554">
        <f t="shared" ref="D141:X141" si="59">D137+D140</f>
        <v>0</v>
      </c>
      <c r="E141" s="554">
        <f t="shared" si="59"/>
        <v>0</v>
      </c>
      <c r="F141" s="554">
        <f t="shared" si="59"/>
        <v>0</v>
      </c>
      <c r="G141" s="554">
        <f t="shared" si="59"/>
        <v>0</v>
      </c>
      <c r="H141" s="554">
        <f t="shared" si="59"/>
        <v>0</v>
      </c>
      <c r="I141" s="554">
        <f t="shared" si="59"/>
        <v>1.9211985671200842</v>
      </c>
      <c r="J141" s="554">
        <f t="shared" si="59"/>
        <v>4.0191493654257622</v>
      </c>
      <c r="K141" s="554">
        <f t="shared" si="59"/>
        <v>4.9016695483946924</v>
      </c>
      <c r="L141" s="554">
        <f t="shared" si="59"/>
        <v>5.4345062536560551</v>
      </c>
      <c r="M141" s="554">
        <f t="shared" si="59"/>
        <v>5.9755242281309311</v>
      </c>
      <c r="N141" s="554">
        <f t="shared" si="59"/>
        <v>6.5249000864502715</v>
      </c>
      <c r="O141" s="554">
        <f t="shared" si="59"/>
        <v>7.0828153596597438</v>
      </c>
      <c r="P141" s="554">
        <f t="shared" si="59"/>
        <v>7.6494566490673384</v>
      </c>
      <c r="Q141" s="554">
        <f t="shared" si="59"/>
        <v>8.2250157851080008</v>
      </c>
      <c r="R141" s="554">
        <f t="shared" si="59"/>
        <v>8.8096899913912168</v>
      </c>
      <c r="S141" s="554">
        <f t="shared" si="59"/>
        <v>9.4036820541026671</v>
      </c>
      <c r="T141" s="554">
        <f t="shared" si="59"/>
        <v>10.007200496936996</v>
      </c>
      <c r="U141" s="554">
        <f t="shared" si="59"/>
        <v>10.62045976174447</v>
      </c>
      <c r="V141" s="554">
        <f t="shared" si="59"/>
        <v>11.243680395080439</v>
      </c>
      <c r="W141" s="554">
        <f t="shared" si="59"/>
        <v>11.877089240852692</v>
      </c>
      <c r="X141" s="554">
        <f t="shared" si="59"/>
        <v>12.520919639268399</v>
      </c>
      <c r="Y141" s="816"/>
      <c r="Z141" s="554"/>
      <c r="AA141" s="554"/>
      <c r="AB141" s="554"/>
      <c r="AC141" s="554"/>
      <c r="AD141" s="554"/>
    </row>
    <row r="142" spans="2:30" x14ac:dyDescent="0.2">
      <c r="C142" s="723"/>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row>
    <row r="143" spans="2:30"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816"/>
      <c r="Z143" s="554"/>
      <c r="AA143" s="554"/>
      <c r="AB143" s="554"/>
      <c r="AC143" s="554"/>
      <c r="AD143" s="554"/>
    </row>
    <row r="144" spans="2:30" x14ac:dyDescent="0.2">
      <c r="C144" s="536" t="s">
        <v>556</v>
      </c>
      <c r="D144" s="711">
        <f>D116*Assumptions!$C$51</f>
        <v>0</v>
      </c>
      <c r="E144" s="711">
        <f>E116*Assumptions!$C$51</f>
        <v>0</v>
      </c>
      <c r="F144" s="711">
        <f>F116*Assumptions!$C$51</f>
        <v>0</v>
      </c>
      <c r="G144" s="711">
        <f>G116*Assumptions!$C$51</f>
        <v>0</v>
      </c>
      <c r="H144" s="711">
        <f>H116*Assumptions!$C$51</f>
        <v>0</v>
      </c>
      <c r="I144" s="711">
        <f>I116*Assumptions!$C$51</f>
        <v>4.7756016000000071E-3</v>
      </c>
      <c r="J144" s="711">
        <f>J116*Assumptions!$C$51</f>
        <v>9.5989592159999981E-3</v>
      </c>
      <c r="K144" s="711">
        <f>K116*Assumptions!$C$51</f>
        <v>1.4470550408160043E-2</v>
      </c>
      <c r="L144" s="711">
        <f>L116*Assumptions!$C$51</f>
        <v>1.9390857512241681E-2</v>
      </c>
      <c r="M144" s="711">
        <f>M116*Assumptions!$C$51</f>
        <v>2.4360367687364118E-2</v>
      </c>
      <c r="N144" s="711">
        <f>N116*Assumptions!$C$51</f>
        <v>2.9379572964237804E-2</v>
      </c>
      <c r="O144" s="711">
        <f>O116*Assumptions!$C$51</f>
        <v>3.4448970293880193E-2</v>
      </c>
      <c r="P144" s="711">
        <f>P116*Assumptions!$C$51</f>
        <v>3.9569061596819041E-2</v>
      </c>
      <c r="Q144" s="711">
        <f>Q116*Assumptions!$C$51</f>
        <v>4.4740353812787202E-2</v>
      </c>
      <c r="R144" s="711">
        <f>R116*Assumptions!$C$51</f>
        <v>4.9963358950915054E-2</v>
      </c>
      <c r="S144" s="711">
        <f>S116*Assumptions!$C$51</f>
        <v>5.5238594140424223E-2</v>
      </c>
      <c r="T144" s="711">
        <f>T116*Assumptions!$C$51</f>
        <v>6.0566581681828491E-2</v>
      </c>
      <c r="U144" s="711">
        <f>U116*Assumptions!$C$51</f>
        <v>6.5947849098646733E-2</v>
      </c>
      <c r="V144" s="711">
        <f>V116*Assumptions!$C$51</f>
        <v>7.1382929189633182E-2</v>
      </c>
      <c r="W144" s="711">
        <f>W116*Assumptions!$C$51</f>
        <v>7.6872360081529464E-2</v>
      </c>
      <c r="X144" s="711">
        <f>X116*Assumptions!$C$51</f>
        <v>8.2416685282344776E-2</v>
      </c>
      <c r="Y144" s="816"/>
      <c r="Z144" s="554"/>
      <c r="AA144" s="554"/>
      <c r="AB144" s="554"/>
      <c r="AC144" s="554"/>
      <c r="AD144" s="554"/>
    </row>
    <row r="145" spans="2:30" x14ac:dyDescent="0.2">
      <c r="C145" s="536"/>
      <c r="D145" s="811"/>
      <c r="Y145" s="549"/>
    </row>
    <row r="146" spans="2:30" x14ac:dyDescent="0.2">
      <c r="C146" s="536" t="s">
        <v>89</v>
      </c>
      <c r="D146" s="554">
        <f>D141*'ERR &amp; Sensitivity Analysis'!$G$10</f>
        <v>0</v>
      </c>
      <c r="E146" s="554">
        <f>E141*'ERR &amp; Sensitivity Analysis'!$G$10</f>
        <v>0</v>
      </c>
      <c r="F146" s="554">
        <f>F141*'ERR &amp; Sensitivity Analysis'!$G$10</f>
        <v>0</v>
      </c>
      <c r="G146" s="554">
        <f>G141*'ERR &amp; Sensitivity Analysis'!$G$10</f>
        <v>0</v>
      </c>
      <c r="H146" s="554">
        <f>H141*'ERR &amp; Sensitivity Analysis'!$G$10</f>
        <v>0</v>
      </c>
      <c r="I146" s="554">
        <f>I141*'ERR &amp; Sensitivity Analysis'!$G$10</f>
        <v>1.9211985671200842</v>
      </c>
      <c r="J146" s="554">
        <f>J141*'ERR &amp; Sensitivity Analysis'!$G$10</f>
        <v>4.0191493654257622</v>
      </c>
      <c r="K146" s="554">
        <f>K141*'ERR &amp; Sensitivity Analysis'!$G$10</f>
        <v>4.9016695483946924</v>
      </c>
      <c r="L146" s="554">
        <f>L141*'ERR &amp; Sensitivity Analysis'!$G$10</f>
        <v>5.4345062536560551</v>
      </c>
      <c r="M146" s="554">
        <f>M141*'ERR &amp; Sensitivity Analysis'!$G$10</f>
        <v>5.9755242281309311</v>
      </c>
      <c r="N146" s="554">
        <f>N141*'ERR &amp; Sensitivity Analysis'!$G$10</f>
        <v>6.5249000864502715</v>
      </c>
      <c r="O146" s="554">
        <f>O141*'ERR &amp; Sensitivity Analysis'!$G$10</f>
        <v>7.0828153596597438</v>
      </c>
      <c r="P146" s="554">
        <f>P141*'ERR &amp; Sensitivity Analysis'!$G$10</f>
        <v>7.6494566490673384</v>
      </c>
      <c r="Q146" s="554">
        <f>Q141*'ERR &amp; Sensitivity Analysis'!$G$10</f>
        <v>8.2250157851080008</v>
      </c>
      <c r="R146" s="554">
        <f>R141*'ERR &amp; Sensitivity Analysis'!$G$10</f>
        <v>8.8096899913912168</v>
      </c>
      <c r="S146" s="554">
        <f>S141*'ERR &amp; Sensitivity Analysis'!$G$10</f>
        <v>9.4036820541026671</v>
      </c>
      <c r="T146" s="554">
        <f>T141*'ERR &amp; Sensitivity Analysis'!$G$10</f>
        <v>10.007200496936996</v>
      </c>
      <c r="U146" s="554">
        <f>U141*'ERR &amp; Sensitivity Analysis'!$G$10</f>
        <v>10.62045976174447</v>
      </c>
      <c r="V146" s="554">
        <f>V141*'ERR &amp; Sensitivity Analysis'!$G$10</f>
        <v>11.243680395080439</v>
      </c>
      <c r="W146" s="554">
        <f>W141*'ERR &amp; Sensitivity Analysis'!$G$10</f>
        <v>11.877089240852692</v>
      </c>
      <c r="X146" s="554">
        <f>X141*'ERR &amp; Sensitivity Analysis'!$G$10</f>
        <v>12.520919639268399</v>
      </c>
      <c r="Y146" s="816"/>
      <c r="Z146" s="554"/>
      <c r="AA146" s="554"/>
      <c r="AB146" s="554"/>
      <c r="AC146" s="554"/>
      <c r="AD146" s="554"/>
    </row>
    <row r="147" spans="2:30" x14ac:dyDescent="0.2">
      <c r="C147" s="536" t="s">
        <v>99</v>
      </c>
      <c r="D147" s="554">
        <f t="shared" ref="D147:X147" si="60">D146-D62</f>
        <v>0</v>
      </c>
      <c r="E147" s="554">
        <f t="shared" si="60"/>
        <v>-0.38180708720033635</v>
      </c>
      <c r="F147" s="554">
        <f t="shared" si="60"/>
        <v>-0.88305687611065786</v>
      </c>
      <c r="G147" s="554">
        <f t="shared" si="60"/>
        <v>-8.6804532398485605</v>
      </c>
      <c r="H147" s="554">
        <f t="shared" si="60"/>
        <v>-8.367563897167102</v>
      </c>
      <c r="I147" s="554">
        <f t="shared" si="60"/>
        <v>-10.368018222062966</v>
      </c>
      <c r="J147" s="554">
        <f t="shared" si="60"/>
        <v>1.7211010126256663</v>
      </c>
      <c r="K147" s="554">
        <f t="shared" si="60"/>
        <v>3.4540201296282973</v>
      </c>
      <c r="L147" s="554">
        <f t="shared" si="60"/>
        <v>4.0304100328818926</v>
      </c>
      <c r="M147" s="554">
        <f t="shared" si="60"/>
        <v>4.5250963970887756</v>
      </c>
      <c r="N147" s="554">
        <f t="shared" si="60"/>
        <v>5.0266085553953257</v>
      </c>
      <c r="O147" s="554">
        <f t="shared" si="60"/>
        <v>5.5350773002272753</v>
      </c>
      <c r="P147" s="554">
        <f t="shared" si="60"/>
        <v>6.0506368122009508</v>
      </c>
      <c r="Q147" s="554">
        <f t="shared" si="60"/>
        <v>6.5734247631840255</v>
      </c>
      <c r="R147" s="554">
        <f t="shared" si="60"/>
        <v>7.1035824226869906</v>
      </c>
      <c r="S147" s="554">
        <f t="shared" si="60"/>
        <v>7.6412547676948774</v>
      </c>
      <c r="T147" s="554">
        <f t="shared" si="60"/>
        <v>8.186590596052854</v>
      </c>
      <c r="U147" s="554">
        <f t="shared" si="60"/>
        <v>8.7397426435227068</v>
      </c>
      <c r="V147" s="554">
        <f t="shared" si="60"/>
        <v>9.3008677046313064</v>
      </c>
      <c r="W147" s="554">
        <f t="shared" si="60"/>
        <v>9.8701267574361236</v>
      </c>
      <c r="X147" s="554">
        <f t="shared" si="60"/>
        <v>10.447685092337023</v>
      </c>
      <c r="Y147" s="816"/>
      <c r="Z147" s="554"/>
      <c r="AA147" s="554"/>
      <c r="AB147" s="554"/>
      <c r="AC147" s="554"/>
      <c r="AD147" s="554"/>
    </row>
    <row r="148" spans="2:30" ht="13.5" thickBot="1" x14ac:dyDescent="0.25">
      <c r="C148" s="81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828"/>
      <c r="Z148" s="553"/>
      <c r="AA148" s="553"/>
      <c r="AB148" s="553"/>
      <c r="AC148" s="553"/>
      <c r="AD148" s="553"/>
    </row>
    <row r="149" spans="2:30" x14ac:dyDescent="0.2">
      <c r="C149" s="747"/>
      <c r="D149" s="553"/>
      <c r="E149" s="553"/>
      <c r="F149" s="553"/>
      <c r="G149" s="553"/>
      <c r="H149" s="553"/>
      <c r="I149" s="553"/>
      <c r="J149" s="553"/>
      <c r="K149" s="553"/>
      <c r="L149" s="553"/>
      <c r="M149" s="553"/>
      <c r="N149" s="553"/>
      <c r="O149" s="553"/>
      <c r="P149" s="553"/>
      <c r="Q149" s="553"/>
      <c r="R149" s="553"/>
      <c r="S149" s="553"/>
      <c r="T149" s="553"/>
      <c r="U149" s="553"/>
      <c r="V149" s="553"/>
      <c r="W149" s="553"/>
      <c r="X149" s="553"/>
      <c r="Y149" s="553"/>
      <c r="Z149" s="553"/>
      <c r="AA149" s="553"/>
      <c r="AB149" s="553"/>
      <c r="AC149" s="553"/>
      <c r="AD149" s="553"/>
    </row>
    <row r="150" spans="2:30" x14ac:dyDescent="0.2">
      <c r="M150" s="740"/>
      <c r="AA150" s="553"/>
      <c r="AB150" s="553"/>
      <c r="AC150" s="553"/>
      <c r="AD150" s="553"/>
    </row>
    <row r="151" spans="2:30" x14ac:dyDescent="0.2">
      <c r="C151" s="618" t="s">
        <v>585</v>
      </c>
      <c r="M151" s="740"/>
      <c r="AA151" s="553"/>
      <c r="AB151" s="553"/>
      <c r="AC151" s="553"/>
      <c r="AD151" s="553"/>
    </row>
    <row r="152" spans="2:30" x14ac:dyDescent="0.2">
      <c r="B152" s="543">
        <v>1</v>
      </c>
      <c r="C152" s="543" t="s">
        <v>607</v>
      </c>
    </row>
    <row r="153" spans="2:30" x14ac:dyDescent="0.2">
      <c r="B153" s="543">
        <v>2</v>
      </c>
      <c r="C153" s="543" t="s">
        <v>608</v>
      </c>
    </row>
    <row r="154" spans="2:30" x14ac:dyDescent="0.2">
      <c r="B154" s="543">
        <v>3</v>
      </c>
      <c r="C154" s="543" t="s">
        <v>609</v>
      </c>
    </row>
    <row r="155" spans="2:30" x14ac:dyDescent="0.2">
      <c r="B155" s="543">
        <v>4</v>
      </c>
      <c r="C155" s="543" t="s">
        <v>610</v>
      </c>
    </row>
    <row r="156" spans="2:30" x14ac:dyDescent="0.2">
      <c r="B156" s="543">
        <v>5</v>
      </c>
      <c r="C156" s="543" t="s">
        <v>606</v>
      </c>
    </row>
  </sheetData>
  <mergeCells count="8">
    <mergeCell ref="P67:R67"/>
    <mergeCell ref="AB67:AC67"/>
    <mergeCell ref="C4:D4"/>
    <mergeCell ref="C7:D7"/>
    <mergeCell ref="D67:F67"/>
    <mergeCell ref="G67:I67"/>
    <mergeCell ref="J67:L67"/>
    <mergeCell ref="M67:O67"/>
  </mergeCells>
  <phoneticPr fontId="2"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56"/>
  <sheetViews>
    <sheetView showGridLines="0" zoomScale="70" zoomScaleNormal="70" workbookViewId="0"/>
  </sheetViews>
  <sheetFormatPr defaultColWidth="9.140625" defaultRowHeight="12.75" x14ac:dyDescent="0.2"/>
  <cols>
    <col min="1" max="1" width="4.140625" style="542" customWidth="1"/>
    <col min="2" max="2" width="3.5703125" style="542" customWidth="1"/>
    <col min="3" max="3" width="49.5703125" style="542" customWidth="1"/>
    <col min="4" max="4" width="12.7109375" style="542" customWidth="1"/>
    <col min="5" max="5" width="13.7109375" style="542" customWidth="1"/>
    <col min="6" max="7" width="13.28515625" style="542" customWidth="1"/>
    <col min="8" max="9" width="12.85546875" style="542" customWidth="1"/>
    <col min="10" max="10" width="12.28515625" style="542" customWidth="1"/>
    <col min="11" max="12" width="12.28515625" style="542" bestFit="1" customWidth="1"/>
    <col min="13" max="13" width="12.85546875" style="542" customWidth="1"/>
    <col min="14" max="15" width="12.28515625" style="542" bestFit="1" customWidth="1"/>
    <col min="16" max="16" width="13" style="542" customWidth="1"/>
    <col min="17" max="17" width="13.42578125" style="542" bestFit="1" customWidth="1"/>
    <col min="18" max="18" width="12.28515625" style="542" bestFit="1" customWidth="1"/>
    <col min="19" max="19" width="15" style="542" customWidth="1"/>
    <col min="20" max="20" width="12.28515625" style="542" customWidth="1"/>
    <col min="21" max="21" width="12.28515625" style="542" bestFit="1" customWidth="1"/>
    <col min="22" max="22" width="13.28515625" style="542" customWidth="1"/>
    <col min="23" max="24" width="12.28515625" style="542" bestFit="1" customWidth="1"/>
    <col min="25" max="25" width="11.5703125" style="542" customWidth="1"/>
    <col min="26" max="27" width="12.28515625" style="542" bestFit="1" customWidth="1"/>
    <col min="28" max="28" width="11.7109375" style="542" customWidth="1"/>
    <col min="29" max="30" width="12.28515625" style="542" bestFit="1" customWidth="1"/>
    <col min="31" max="16384" width="9.140625" style="542"/>
  </cols>
  <sheetData>
    <row r="1" spans="1:10" s="831" customFormat="1" ht="20.25" x14ac:dyDescent="0.3">
      <c r="B1" s="567" t="s">
        <v>370</v>
      </c>
      <c r="C1" s="832"/>
      <c r="I1" s="833" t="s">
        <v>668</v>
      </c>
    </row>
    <row r="2" spans="1:10" s="835" customFormat="1" ht="18" x14ac:dyDescent="0.25">
      <c r="A2" s="832"/>
      <c r="B2" s="834" t="s">
        <v>378</v>
      </c>
      <c r="D2" s="832"/>
      <c r="E2" s="832"/>
      <c r="F2" s="832"/>
      <c r="G2" s="836"/>
    </row>
    <row r="3" spans="1:10" ht="13.5" thickBot="1" x14ac:dyDescent="0.25"/>
    <row r="4" spans="1:10" x14ac:dyDescent="0.2">
      <c r="C4" s="941" t="s">
        <v>137</v>
      </c>
      <c r="D4" s="942"/>
      <c r="E4" s="519"/>
      <c r="F4" s="520"/>
    </row>
    <row r="5" spans="1:10" x14ac:dyDescent="0.2">
      <c r="C5" s="561"/>
      <c r="D5" s="562"/>
      <c r="E5" s="563"/>
      <c r="F5" s="564"/>
      <c r="G5" s="691"/>
      <c r="H5" s="690"/>
      <c r="I5" s="690"/>
      <c r="J5" s="690"/>
    </row>
    <row r="6" spans="1:10" x14ac:dyDescent="0.2">
      <c r="C6" s="688" t="s">
        <v>138</v>
      </c>
      <c r="D6" s="689"/>
      <c r="F6" s="549"/>
    </row>
    <row r="7" spans="1:10" x14ac:dyDescent="0.2">
      <c r="C7" s="943" t="s">
        <v>336</v>
      </c>
      <c r="D7" s="944"/>
      <c r="E7" s="761">
        <f>IRR(E147:X147,-0.9)</f>
        <v>0.19059896935753962</v>
      </c>
      <c r="F7" s="549"/>
    </row>
    <row r="8" spans="1:10" x14ac:dyDescent="0.2">
      <c r="C8" s="688" t="s">
        <v>373</v>
      </c>
      <c r="D8" s="236"/>
      <c r="E8" s="692"/>
      <c r="F8" s="549"/>
    </row>
    <row r="9" spans="1:10" x14ac:dyDescent="0.2">
      <c r="C9" s="693" t="s">
        <v>128</v>
      </c>
      <c r="D9" s="236"/>
      <c r="E9" s="694">
        <f>NPV(0.1,E147:X147)</f>
        <v>8.2469108035953766</v>
      </c>
      <c r="F9" s="549"/>
    </row>
    <row r="10" spans="1:10" x14ac:dyDescent="0.2">
      <c r="C10" s="693" t="s">
        <v>367</v>
      </c>
      <c r="D10" s="236"/>
      <c r="E10" s="695">
        <f>NPV(0.1,E63:I63)</f>
        <v>8.065809387766528</v>
      </c>
      <c r="F10" s="549"/>
    </row>
    <row r="11" spans="1:10" x14ac:dyDescent="0.2">
      <c r="C11" s="693" t="s">
        <v>384</v>
      </c>
      <c r="D11" s="236"/>
      <c r="E11" s="694">
        <f>E9+E10</f>
        <v>16.312720191361905</v>
      </c>
      <c r="F11" s="696"/>
    </row>
    <row r="12" spans="1:10" x14ac:dyDescent="0.2">
      <c r="C12" s="693" t="s">
        <v>368</v>
      </c>
      <c r="D12" s="236"/>
      <c r="E12" s="694">
        <f>NPV(0.1,E62:X62)</f>
        <v>11.201263959224979</v>
      </c>
      <c r="F12" s="549"/>
    </row>
    <row r="13" spans="1:10" x14ac:dyDescent="0.2">
      <c r="C13" s="693" t="s">
        <v>369</v>
      </c>
      <c r="D13" s="236"/>
      <c r="E13" s="694">
        <f>NPV(0.1,E146:X146)</f>
        <v>19.448174762820354</v>
      </c>
      <c r="F13" s="549"/>
    </row>
    <row r="14" spans="1:10" ht="13.5" thickBot="1" x14ac:dyDescent="0.25">
      <c r="C14" s="697" t="s">
        <v>136</v>
      </c>
      <c r="D14" s="698"/>
      <c r="E14" s="699">
        <f>E13/E12</f>
        <v>1.7362482335579192</v>
      </c>
      <c r="F14" s="700"/>
    </row>
    <row r="16" spans="1:10" ht="13.5" thickBot="1" x14ac:dyDescent="0.25"/>
    <row r="17" spans="3:30" s="543" customFormat="1"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30" s="543" customFormat="1" x14ac:dyDescent="0.2">
      <c r="C18" s="565" t="s">
        <v>616</v>
      </c>
      <c r="D18" s="524" t="s">
        <v>130</v>
      </c>
      <c r="E18" s="525"/>
      <c r="F18" s="526"/>
      <c r="G18" s="526"/>
      <c r="H18" s="526"/>
      <c r="I18" s="527"/>
      <c r="J18" s="526"/>
      <c r="K18" s="526"/>
      <c r="L18" s="526"/>
      <c r="M18" s="526"/>
      <c r="N18" s="526"/>
      <c r="O18" s="526"/>
      <c r="P18" s="526"/>
      <c r="Q18" s="526"/>
      <c r="R18" s="526"/>
      <c r="S18" s="526"/>
      <c r="T18" s="526"/>
      <c r="U18" s="526"/>
      <c r="V18" s="526"/>
      <c r="W18" s="526"/>
      <c r="X18" s="526"/>
      <c r="Y18" s="528"/>
    </row>
    <row r="19" spans="3:30" x14ac:dyDescent="0.2">
      <c r="C19" s="703"/>
      <c r="D19" s="704"/>
      <c r="Y19" s="549"/>
    </row>
    <row r="20" spans="3:30" s="111"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30" x14ac:dyDescent="0.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30" x14ac:dyDescent="0.2">
      <c r="C22" s="548"/>
      <c r="D22" s="704">
        <v>2008</v>
      </c>
      <c r="E22" s="704">
        <f t="shared" ref="E22:X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si="1"/>
        <v>2026</v>
      </c>
      <c r="W22" s="704">
        <f t="shared" si="1"/>
        <v>2027</v>
      </c>
      <c r="X22" s="704">
        <f t="shared" si="1"/>
        <v>2028</v>
      </c>
      <c r="Y22" s="813"/>
      <c r="Z22" s="704"/>
      <c r="AA22" s="704"/>
      <c r="AB22" s="704"/>
      <c r="AC22" s="704"/>
      <c r="AD22" s="704"/>
    </row>
    <row r="23" spans="3:30"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row>
    <row r="24" spans="3:30"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P24" s="557"/>
      <c r="Y24" s="549"/>
    </row>
    <row r="25" spans="3:30" x14ac:dyDescent="0.2">
      <c r="C25" s="703"/>
      <c r="Y25" s="549"/>
    </row>
    <row r="26" spans="3:30" x14ac:dyDescent="0.2">
      <c r="C26" s="708" t="s">
        <v>55</v>
      </c>
      <c r="Y26" s="549"/>
    </row>
    <row r="27" spans="3:30"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Y27" s="549"/>
    </row>
    <row r="28" spans="3:30" x14ac:dyDescent="0.2">
      <c r="C28" s="709" t="s">
        <v>57</v>
      </c>
      <c r="D28" s="542">
        <v>0</v>
      </c>
      <c r="E28" s="710">
        <f>E27*$AA$69/E24</f>
        <v>4.8872426515255148E-2</v>
      </c>
      <c r="F28" s="710">
        <f t="shared" ref="F28:J28" si="2">F27*$AA$69/F24</f>
        <v>0.2755183044797509</v>
      </c>
      <c r="G28" s="710">
        <f t="shared" si="2"/>
        <v>2.6442263132174233</v>
      </c>
      <c r="H28" s="710">
        <f t="shared" si="2"/>
        <v>2.483723764145211</v>
      </c>
      <c r="I28" s="710">
        <f t="shared" si="2"/>
        <v>3.146151721717485</v>
      </c>
      <c r="J28" s="710">
        <f t="shared" si="2"/>
        <v>0.28727135841043516</v>
      </c>
      <c r="Y28" s="549"/>
    </row>
    <row r="29" spans="3:30"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815"/>
      <c r="Z29" s="711"/>
      <c r="AA29" s="711"/>
      <c r="AB29" s="711"/>
      <c r="AC29" s="711"/>
      <c r="AD29" s="711"/>
    </row>
    <row r="30" spans="3:30" x14ac:dyDescent="0.2">
      <c r="C30" s="806"/>
      <c r="Y30" s="549"/>
    </row>
    <row r="31" spans="3:30" x14ac:dyDescent="0.2">
      <c r="C31" s="708" t="s">
        <v>360</v>
      </c>
      <c r="D31" s="711">
        <v>0</v>
      </c>
      <c r="E31" s="711">
        <f>E$27*Assumptions!$F$24/10^6</f>
        <v>3.9257262198127653E-3</v>
      </c>
      <c r="F31" s="711">
        <f>F$27*Assumptions!$F$24/10^6</f>
        <v>2.4535788873829786E-2</v>
      </c>
      <c r="G31" s="711">
        <f>G$27*Assumptions!$F$24/10^6</f>
        <v>0.26106079361754891</v>
      </c>
      <c r="H31" s="711">
        <f>H$27*Assumptions!$F$24/10^6</f>
        <v>0.27185654072203402</v>
      </c>
      <c r="I31" s="711">
        <f>I$27*Assumptions!$F$24/10^6</f>
        <v>0.38177687487679146</v>
      </c>
      <c r="J31" s="711"/>
      <c r="K31" s="711"/>
      <c r="L31" s="711"/>
      <c r="M31" s="711"/>
      <c r="N31" s="711"/>
      <c r="O31" s="711"/>
      <c r="P31" s="711"/>
      <c r="Q31" s="711"/>
      <c r="R31" s="711"/>
      <c r="S31" s="711"/>
      <c r="T31" s="711"/>
      <c r="U31" s="711"/>
      <c r="V31" s="711"/>
      <c r="W31" s="711"/>
      <c r="X31" s="711"/>
      <c r="Y31" s="815"/>
      <c r="Z31" s="711"/>
      <c r="AA31" s="711"/>
      <c r="AB31" s="711"/>
      <c r="AC31" s="711"/>
      <c r="AD31" s="711"/>
    </row>
    <row r="32" spans="3:30" x14ac:dyDescent="0.2">
      <c r="C32" s="708" t="s">
        <v>361</v>
      </c>
      <c r="D32" s="711">
        <v>0</v>
      </c>
      <c r="E32" s="711">
        <f>E$27*Assumptions!$G$24/10^6</f>
        <v>3.194951264659125E-3</v>
      </c>
      <c r="F32" s="711">
        <f>F$27*Assumptions!$G$24/10^6</f>
        <v>1.9968445404119531E-2</v>
      </c>
      <c r="G32" s="711">
        <f>G$27*Assumptions!$G$24/10^6</f>
        <v>0.2124642590998318</v>
      </c>
      <c r="H32" s="711">
        <f>H$27*Assumptions!$G$24/10^6</f>
        <v>0.22125037507764442</v>
      </c>
      <c r="I32" s="711">
        <f>I$27*Assumptions!$G$24/10^6</f>
        <v>0.3107090104880999</v>
      </c>
      <c r="J32" s="711"/>
      <c r="K32" s="711"/>
      <c r="L32" s="711"/>
      <c r="M32" s="711"/>
      <c r="N32" s="711"/>
      <c r="O32" s="711"/>
      <c r="P32" s="711"/>
      <c r="Q32" s="711"/>
      <c r="R32" s="711"/>
      <c r="S32" s="711"/>
      <c r="T32" s="711"/>
      <c r="U32" s="711"/>
      <c r="V32" s="711"/>
      <c r="W32" s="711"/>
      <c r="X32" s="711"/>
      <c r="Y32" s="815"/>
      <c r="Z32" s="711"/>
      <c r="AA32" s="711"/>
      <c r="AB32" s="711"/>
      <c r="AC32" s="711"/>
      <c r="AD32" s="711"/>
    </row>
    <row r="33" spans="3:30" x14ac:dyDescent="0.2">
      <c r="C33" s="708" t="s">
        <v>362</v>
      </c>
      <c r="D33" s="711">
        <v>0</v>
      </c>
      <c r="E33" s="711">
        <f>Assumptions!$H$24/10^6</f>
        <v>7.5523219370199388E-2</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row>
    <row r="34" spans="3:30"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815"/>
      <c r="Z34" s="711"/>
      <c r="AA34" s="711"/>
      <c r="AB34" s="711"/>
      <c r="AC34" s="711"/>
      <c r="AD34" s="711"/>
    </row>
    <row r="35" spans="3:30" x14ac:dyDescent="0.2">
      <c r="C35" s="708" t="s">
        <v>31</v>
      </c>
      <c r="D35" s="553"/>
      <c r="E35" s="553"/>
      <c r="Y35" s="549"/>
    </row>
    <row r="36" spans="3:30" x14ac:dyDescent="0.2">
      <c r="C36" s="709" t="s">
        <v>10</v>
      </c>
      <c r="D36" s="553">
        <f>Assumptions!F48</f>
        <v>655.42500000000007</v>
      </c>
      <c r="E36" s="553">
        <f>D36</f>
        <v>655.42500000000007</v>
      </c>
      <c r="F36" s="553">
        <f t="shared" ref="F36:X39" si="3">E36</f>
        <v>655.42500000000007</v>
      </c>
      <c r="G36" s="553">
        <f t="shared" si="3"/>
        <v>655.42500000000007</v>
      </c>
      <c r="H36" s="553">
        <f t="shared" si="3"/>
        <v>655.42500000000007</v>
      </c>
      <c r="I36" s="553">
        <f t="shared" si="3"/>
        <v>655.42500000000007</v>
      </c>
      <c r="J36" s="553">
        <f t="shared" si="3"/>
        <v>655.42500000000007</v>
      </c>
      <c r="K36" s="553">
        <f t="shared" si="3"/>
        <v>655.42500000000007</v>
      </c>
      <c r="L36" s="553">
        <f t="shared" si="3"/>
        <v>655.42500000000007</v>
      </c>
      <c r="M36" s="553">
        <f t="shared" si="3"/>
        <v>655.42500000000007</v>
      </c>
      <c r="N36" s="553">
        <f t="shared" si="3"/>
        <v>655.42500000000007</v>
      </c>
      <c r="O36" s="553">
        <f t="shared" si="3"/>
        <v>655.42500000000007</v>
      </c>
      <c r="P36" s="553">
        <f t="shared" si="3"/>
        <v>655.42500000000007</v>
      </c>
      <c r="Q36" s="553">
        <f t="shared" si="3"/>
        <v>655.42500000000007</v>
      </c>
      <c r="R36" s="553">
        <f t="shared" si="3"/>
        <v>655.42500000000007</v>
      </c>
      <c r="S36" s="553">
        <f t="shared" si="3"/>
        <v>655.42500000000007</v>
      </c>
      <c r="T36" s="553">
        <f t="shared" si="3"/>
        <v>655.42500000000007</v>
      </c>
      <c r="U36" s="553">
        <f t="shared" si="3"/>
        <v>655.42500000000007</v>
      </c>
      <c r="V36" s="553">
        <f t="shared" si="3"/>
        <v>655.42500000000007</v>
      </c>
      <c r="W36" s="553">
        <f t="shared" si="3"/>
        <v>655.42500000000007</v>
      </c>
      <c r="X36" s="553">
        <f t="shared" si="3"/>
        <v>655.42500000000007</v>
      </c>
      <c r="Y36" s="814"/>
      <c r="Z36" s="553"/>
      <c r="AA36" s="553"/>
      <c r="AB36" s="553"/>
      <c r="AC36" s="553"/>
      <c r="AD36" s="553"/>
    </row>
    <row r="37" spans="3:30" x14ac:dyDescent="0.2">
      <c r="C37" s="709" t="s">
        <v>44</v>
      </c>
      <c r="D37" s="553">
        <f>Assumptions!F49</f>
        <v>296.7</v>
      </c>
      <c r="E37" s="553">
        <f>D37</f>
        <v>296.7</v>
      </c>
      <c r="F37" s="553">
        <f t="shared" si="3"/>
        <v>296.7</v>
      </c>
      <c r="G37" s="553">
        <f t="shared" si="3"/>
        <v>296.7</v>
      </c>
      <c r="H37" s="553">
        <f t="shared" si="3"/>
        <v>296.7</v>
      </c>
      <c r="I37" s="553">
        <f t="shared" si="3"/>
        <v>296.7</v>
      </c>
      <c r="J37" s="553">
        <f t="shared" si="3"/>
        <v>296.7</v>
      </c>
      <c r="K37" s="553">
        <f t="shared" si="3"/>
        <v>296.7</v>
      </c>
      <c r="L37" s="553">
        <f t="shared" si="3"/>
        <v>296.7</v>
      </c>
      <c r="M37" s="553">
        <f t="shared" si="3"/>
        <v>296.7</v>
      </c>
      <c r="N37" s="553">
        <f t="shared" si="3"/>
        <v>296.7</v>
      </c>
      <c r="O37" s="553">
        <f t="shared" si="3"/>
        <v>296.7</v>
      </c>
      <c r="P37" s="553">
        <f t="shared" si="3"/>
        <v>296.7</v>
      </c>
      <c r="Q37" s="553">
        <f t="shared" si="3"/>
        <v>296.7</v>
      </c>
      <c r="R37" s="553">
        <f t="shared" si="3"/>
        <v>296.7</v>
      </c>
      <c r="S37" s="553">
        <f t="shared" si="3"/>
        <v>296.7</v>
      </c>
      <c r="T37" s="553">
        <f t="shared" si="3"/>
        <v>296.7</v>
      </c>
      <c r="U37" s="553">
        <f t="shared" si="3"/>
        <v>296.7</v>
      </c>
      <c r="V37" s="553">
        <f t="shared" si="3"/>
        <v>296.7</v>
      </c>
      <c r="W37" s="553">
        <f t="shared" si="3"/>
        <v>296.7</v>
      </c>
      <c r="X37" s="553">
        <f t="shared" si="3"/>
        <v>296.7</v>
      </c>
      <c r="Y37" s="814"/>
      <c r="Z37" s="553"/>
      <c r="AA37" s="553"/>
      <c r="AB37" s="553"/>
      <c r="AC37" s="553"/>
      <c r="AD37" s="553"/>
    </row>
    <row r="38" spans="3:30" x14ac:dyDescent="0.2">
      <c r="C38" s="709" t="s">
        <v>45</v>
      </c>
      <c r="D38" s="553">
        <f>Assumptions!F50</f>
        <v>407.25</v>
      </c>
      <c r="E38" s="553">
        <f>D38</f>
        <v>407.25</v>
      </c>
      <c r="F38" s="553">
        <f t="shared" si="3"/>
        <v>407.25</v>
      </c>
      <c r="G38" s="553">
        <f t="shared" si="3"/>
        <v>407.25</v>
      </c>
      <c r="H38" s="553">
        <f t="shared" si="3"/>
        <v>407.25</v>
      </c>
      <c r="I38" s="553">
        <f t="shared" si="3"/>
        <v>407.25</v>
      </c>
      <c r="J38" s="553">
        <f t="shared" si="3"/>
        <v>407.25</v>
      </c>
      <c r="K38" s="553">
        <f t="shared" si="3"/>
        <v>407.25</v>
      </c>
      <c r="L38" s="553">
        <f t="shared" si="3"/>
        <v>407.25</v>
      </c>
      <c r="M38" s="553">
        <f t="shared" si="3"/>
        <v>407.25</v>
      </c>
      <c r="N38" s="553">
        <f t="shared" si="3"/>
        <v>407.25</v>
      </c>
      <c r="O38" s="553">
        <f t="shared" si="3"/>
        <v>407.25</v>
      </c>
      <c r="P38" s="553">
        <f t="shared" si="3"/>
        <v>407.25</v>
      </c>
      <c r="Q38" s="553">
        <f t="shared" si="3"/>
        <v>407.25</v>
      </c>
      <c r="R38" s="553">
        <f t="shared" si="3"/>
        <v>407.25</v>
      </c>
      <c r="S38" s="553">
        <f t="shared" si="3"/>
        <v>407.25</v>
      </c>
      <c r="T38" s="553">
        <f t="shared" si="3"/>
        <v>407.25</v>
      </c>
      <c r="U38" s="553">
        <f t="shared" si="3"/>
        <v>407.25</v>
      </c>
      <c r="V38" s="553">
        <f t="shared" si="3"/>
        <v>407.25</v>
      </c>
      <c r="W38" s="553">
        <f t="shared" si="3"/>
        <v>407.25</v>
      </c>
      <c r="X38" s="553">
        <f t="shared" si="3"/>
        <v>407.25</v>
      </c>
      <c r="Y38" s="814"/>
      <c r="Z38" s="553"/>
      <c r="AA38" s="553"/>
      <c r="AB38" s="553"/>
      <c r="AC38" s="553"/>
      <c r="AD38" s="553"/>
    </row>
    <row r="39" spans="3:30" x14ac:dyDescent="0.2">
      <c r="C39" s="712" t="s">
        <v>162</v>
      </c>
      <c r="D39" s="553">
        <f>Assumptions!F51</f>
        <v>400</v>
      </c>
      <c r="E39" s="553">
        <f>D39</f>
        <v>400</v>
      </c>
      <c r="F39" s="553">
        <f t="shared" si="3"/>
        <v>400</v>
      </c>
      <c r="G39" s="553">
        <f t="shared" si="3"/>
        <v>400</v>
      </c>
      <c r="H39" s="553">
        <f t="shared" si="3"/>
        <v>400</v>
      </c>
      <c r="I39" s="553">
        <f t="shared" si="3"/>
        <v>400</v>
      </c>
      <c r="J39" s="553">
        <f t="shared" si="3"/>
        <v>400</v>
      </c>
      <c r="K39" s="553">
        <f t="shared" si="3"/>
        <v>400</v>
      </c>
      <c r="L39" s="553">
        <f t="shared" si="3"/>
        <v>400</v>
      </c>
      <c r="M39" s="553">
        <f t="shared" si="3"/>
        <v>400</v>
      </c>
      <c r="N39" s="553">
        <f t="shared" si="3"/>
        <v>400</v>
      </c>
      <c r="O39" s="553">
        <f t="shared" si="3"/>
        <v>400</v>
      </c>
      <c r="P39" s="553">
        <f t="shared" si="3"/>
        <v>400</v>
      </c>
      <c r="Q39" s="553">
        <f t="shared" si="3"/>
        <v>400</v>
      </c>
      <c r="R39" s="553">
        <f t="shared" si="3"/>
        <v>400</v>
      </c>
      <c r="S39" s="553">
        <f t="shared" si="3"/>
        <v>400</v>
      </c>
      <c r="T39" s="553">
        <f t="shared" si="3"/>
        <v>400</v>
      </c>
      <c r="U39" s="553">
        <f t="shared" si="3"/>
        <v>400</v>
      </c>
      <c r="V39" s="553">
        <f t="shared" si="3"/>
        <v>400</v>
      </c>
      <c r="W39" s="553">
        <f t="shared" si="3"/>
        <v>400</v>
      </c>
      <c r="X39" s="553">
        <f t="shared" si="3"/>
        <v>400</v>
      </c>
      <c r="Y39" s="814"/>
      <c r="Z39" s="553"/>
      <c r="AA39" s="553"/>
      <c r="AB39" s="553"/>
      <c r="AC39" s="553"/>
      <c r="AD39" s="553"/>
    </row>
    <row r="40" spans="3:30"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row>
    <row r="41" spans="3:30" x14ac:dyDescent="0.2">
      <c r="C41" s="708" t="s">
        <v>28</v>
      </c>
      <c r="D41" s="553"/>
      <c r="E41" s="553"/>
      <c r="F41" s="553"/>
      <c r="G41" s="553"/>
      <c r="H41" s="553"/>
      <c r="I41" s="553"/>
      <c r="Y41" s="549"/>
    </row>
    <row r="42" spans="3:30" x14ac:dyDescent="0.2">
      <c r="C42" s="709" t="s">
        <v>10</v>
      </c>
      <c r="D42" s="553">
        <f>D77*D36*0.001</f>
        <v>0</v>
      </c>
      <c r="E42" s="553">
        <f t="shared" ref="E42:E44" si="4">(E77-D77)*E36*0.001</f>
        <v>0</v>
      </c>
      <c r="F42" s="553">
        <f t="shared" ref="F42:F44" si="5">(F77-E77)*F36*0.001</f>
        <v>0</v>
      </c>
      <c r="G42" s="553">
        <f t="shared" ref="G42:G44" si="6">(G77-F77)*G36*0.001</f>
        <v>0</v>
      </c>
      <c r="H42" s="553">
        <f t="shared" ref="H42:H44" si="7">(H77-G77)*H36*0.001</f>
        <v>0</v>
      </c>
      <c r="I42" s="553">
        <f t="shared" ref="I42:X42" si="8">(I77-H77)*I36*0.001</f>
        <v>20.061353268000001</v>
      </c>
      <c r="J42" s="553">
        <f t="shared" si="8"/>
        <v>21.917028445289997</v>
      </c>
      <c r="K42" s="553">
        <f t="shared" si="8"/>
        <v>5.7370455008162953</v>
      </c>
      <c r="L42" s="553">
        <f t="shared" si="8"/>
        <v>1.0974548259244346</v>
      </c>
      <c r="M42" s="553">
        <f t="shared" si="8"/>
        <v>1.1226962869206989</v>
      </c>
      <c r="N42" s="553">
        <f t="shared" si="8"/>
        <v>1.1485183015198888</v>
      </c>
      <c r="O42" s="553">
        <f t="shared" si="8"/>
        <v>1.1749342224548316</v>
      </c>
      <c r="P42" s="553">
        <f t="shared" si="8"/>
        <v>1.2019577095712903</v>
      </c>
      <c r="Q42" s="553">
        <f t="shared" si="8"/>
        <v>1.2296027368914404</v>
      </c>
      <c r="R42" s="553">
        <f t="shared" si="8"/>
        <v>1.2578835998399378</v>
      </c>
      <c r="S42" s="553">
        <f t="shared" si="8"/>
        <v>1.2868149226362597</v>
      </c>
      <c r="T42" s="553">
        <f t="shared" si="8"/>
        <v>1.3164116658568921</v>
      </c>
      <c r="U42" s="553">
        <f t="shared" si="8"/>
        <v>1.3466891341715954</v>
      </c>
      <c r="V42" s="553">
        <f t="shared" si="8"/>
        <v>1.3776629842575543</v>
      </c>
      <c r="W42" s="553">
        <f t="shared" si="8"/>
        <v>1.4093492328954598</v>
      </c>
      <c r="X42" s="553">
        <f t="shared" si="8"/>
        <v>1.4417642652520608</v>
      </c>
      <c r="Y42" s="814"/>
      <c r="Z42" s="553"/>
      <c r="AA42" s="553"/>
      <c r="AB42" s="553"/>
      <c r="AC42" s="553"/>
      <c r="AD42" s="553"/>
    </row>
    <row r="43" spans="3:30" x14ac:dyDescent="0.2">
      <c r="C43" s="709" t="s">
        <v>44</v>
      </c>
      <c r="D43" s="553">
        <v>0</v>
      </c>
      <c r="E43" s="553">
        <f t="shared" si="4"/>
        <v>0</v>
      </c>
      <c r="F43" s="553">
        <f t="shared" si="5"/>
        <v>0</v>
      </c>
      <c r="G43" s="553">
        <f t="shared" si="6"/>
        <v>0</v>
      </c>
      <c r="H43" s="553">
        <f t="shared" si="7"/>
        <v>0</v>
      </c>
      <c r="I43" s="553">
        <f t="shared" ref="I43:X43" si="9">(I78-H78)*I37*0.001</f>
        <v>33.387650999999998</v>
      </c>
      <c r="J43" s="553">
        <f t="shared" si="9"/>
        <v>36.476008717499994</v>
      </c>
      <c r="K43" s="553">
        <f t="shared" si="9"/>
        <v>9.548033494724983</v>
      </c>
      <c r="L43" s="553">
        <f t="shared" si="9"/>
        <v>1.8264689438811654</v>
      </c>
      <c r="M43" s="553">
        <f t="shared" si="9"/>
        <v>1.8684777295904351</v>
      </c>
      <c r="N43" s="553">
        <f t="shared" si="9"/>
        <v>1.9114527173710334</v>
      </c>
      <c r="O43" s="553">
        <f t="shared" si="9"/>
        <v>1.9554161298705308</v>
      </c>
      <c r="P43" s="553">
        <f t="shared" si="9"/>
        <v>2.0003907008575599</v>
      </c>
      <c r="Q43" s="553">
        <f t="shared" si="9"/>
        <v>2.0463996869772965</v>
      </c>
      <c r="R43" s="553">
        <f t="shared" si="9"/>
        <v>2.0934668797777696</v>
      </c>
      <c r="S43" s="553">
        <f t="shared" si="9"/>
        <v>2.1416166180126597</v>
      </c>
      <c r="T43" s="553">
        <f t="shared" si="9"/>
        <v>2.1908738002269534</v>
      </c>
      <c r="U43" s="553">
        <f t="shared" si="9"/>
        <v>2.2412638976321695</v>
      </c>
      <c r="V43" s="553">
        <f t="shared" si="9"/>
        <v>2.2928129672777171</v>
      </c>
      <c r="W43" s="553">
        <f t="shared" si="9"/>
        <v>2.3455476655250824</v>
      </c>
      <c r="X43" s="553">
        <f t="shared" si="9"/>
        <v>2.3994952618321741</v>
      </c>
      <c r="Y43" s="814"/>
      <c r="Z43" s="553"/>
      <c r="AA43" s="553"/>
      <c r="AB43" s="553"/>
      <c r="AC43" s="553"/>
      <c r="AD43" s="553"/>
    </row>
    <row r="44" spans="3:30" x14ac:dyDescent="0.2">
      <c r="C44" s="709" t="s">
        <v>45</v>
      </c>
      <c r="D44" s="553">
        <v>0</v>
      </c>
      <c r="E44" s="553">
        <f t="shared" si="4"/>
        <v>0</v>
      </c>
      <c r="F44" s="553">
        <f t="shared" si="5"/>
        <v>0</v>
      </c>
      <c r="G44" s="553">
        <f t="shared" si="6"/>
        <v>0</v>
      </c>
      <c r="H44" s="553">
        <f t="shared" si="7"/>
        <v>0</v>
      </c>
      <c r="I44" s="553">
        <f t="shared" ref="I44:X44" si="10">(I79-H79)*I38*0.001</f>
        <v>65.656303432434015</v>
      </c>
      <c r="J44" s="553">
        <f t="shared" si="10"/>
        <v>71.729511499934134</v>
      </c>
      <c r="K44" s="553">
        <f t="shared" si="10"/>
        <v>18.7760613740903</v>
      </c>
      <c r="L44" s="553">
        <f t="shared" si="10"/>
        <v>3.5917231550485358</v>
      </c>
      <c r="M44" s="553">
        <f t="shared" si="10"/>
        <v>3.6743327876146452</v>
      </c>
      <c r="N44" s="553">
        <f t="shared" si="10"/>
        <v>3.7588424417297936</v>
      </c>
      <c r="O44" s="553">
        <f t="shared" si="10"/>
        <v>3.8452958178895567</v>
      </c>
      <c r="P44" s="553">
        <f t="shared" si="10"/>
        <v>3.9337376217010243</v>
      </c>
      <c r="Q44" s="553">
        <f t="shared" si="10"/>
        <v>4.0242135870001547</v>
      </c>
      <c r="R44" s="553">
        <f t="shared" si="10"/>
        <v>4.1167704995011434</v>
      </c>
      <c r="S44" s="553">
        <f t="shared" si="10"/>
        <v>4.2114562209896738</v>
      </c>
      <c r="T44" s="553">
        <f t="shared" si="10"/>
        <v>4.3083197140724403</v>
      </c>
      <c r="U44" s="553">
        <f t="shared" si="10"/>
        <v>4.4074110674961124</v>
      </c>
      <c r="V44" s="553">
        <f t="shared" si="10"/>
        <v>4.5087815220485199</v>
      </c>
      <c r="W44" s="553">
        <f t="shared" si="10"/>
        <v>4.6124834970556066</v>
      </c>
      <c r="X44" s="553">
        <f t="shared" si="10"/>
        <v>4.7185706174879121</v>
      </c>
      <c r="Y44" s="814"/>
      <c r="Z44" s="553"/>
      <c r="AA44" s="553"/>
      <c r="AB44" s="553"/>
      <c r="AC44" s="553"/>
      <c r="AD44" s="553"/>
    </row>
    <row r="45" spans="3:30" x14ac:dyDescent="0.2">
      <c r="C45" s="712" t="s">
        <v>162</v>
      </c>
      <c r="D45" s="553">
        <v>0</v>
      </c>
      <c r="E45" s="553">
        <f t="shared" ref="E45" si="11">(E81-D81)*E39*0.001</f>
        <v>0</v>
      </c>
      <c r="F45" s="553">
        <f t="shared" ref="F45" si="12">(F81-E81)*F39*0.001</f>
        <v>0</v>
      </c>
      <c r="G45" s="553">
        <f t="shared" ref="G45" si="13">(G81-F81)*G39*0.001</f>
        <v>0</v>
      </c>
      <c r="H45" s="553">
        <f t="shared" ref="H45" si="14">(H81-G81)*H39*0.001</f>
        <v>0</v>
      </c>
      <c r="I45" s="553">
        <f t="shared" ref="I45:X45" si="15">(I81-H81)*I39*0.001</f>
        <v>579.71959999999672</v>
      </c>
      <c r="J45" s="553">
        <f t="shared" si="15"/>
        <v>13.333550799998921</v>
      </c>
      <c r="K45" s="553">
        <f t="shared" si="15"/>
        <v>13.640222468404682</v>
      </c>
      <c r="L45" s="553">
        <f t="shared" si="15"/>
        <v>13.953947585169226</v>
      </c>
      <c r="M45" s="553">
        <f t="shared" si="15"/>
        <v>14.274888379633195</v>
      </c>
      <c r="N45" s="553">
        <f t="shared" si="15"/>
        <v>14.603210812364706</v>
      </c>
      <c r="O45" s="553">
        <f t="shared" si="15"/>
        <v>14.939084661047673</v>
      </c>
      <c r="P45" s="553">
        <f t="shared" si="15"/>
        <v>15.282683608250228</v>
      </c>
      <c r="Q45" s="553">
        <f t="shared" si="15"/>
        <v>15.634185331244954</v>
      </c>
      <c r="R45" s="553">
        <f t="shared" si="15"/>
        <v>15.993771593860584</v>
      </c>
      <c r="S45" s="553">
        <f t="shared" si="15"/>
        <v>16.361628340516472</v>
      </c>
      <c r="T45" s="553">
        <f t="shared" si="15"/>
        <v>16.737945792352548</v>
      </c>
      <c r="U45" s="553">
        <f t="shared" si="15"/>
        <v>17.122918545576976</v>
      </c>
      <c r="V45" s="553">
        <f t="shared" si="15"/>
        <v>17.516745672118851</v>
      </c>
      <c r="W45" s="553">
        <f t="shared" si="15"/>
        <v>17.919630822585898</v>
      </c>
      <c r="X45" s="553">
        <f t="shared" si="15"/>
        <v>18.331782331498108</v>
      </c>
      <c r="Y45" s="814"/>
      <c r="Z45" s="553"/>
      <c r="AA45" s="553"/>
      <c r="AB45" s="553"/>
      <c r="AC45" s="553"/>
      <c r="AD45" s="553"/>
    </row>
    <row r="46" spans="3:30" x14ac:dyDescent="0.2">
      <c r="C46" s="713" t="s">
        <v>32</v>
      </c>
      <c r="D46" s="554">
        <f>SUM(D42:D44)*0.001</f>
        <v>0</v>
      </c>
      <c r="E46" s="554">
        <f>SUM(E42:E44)*0.001</f>
        <v>0</v>
      </c>
      <c r="F46" s="554">
        <f>SUM(F42:F44)*0.001</f>
        <v>0</v>
      </c>
      <c r="G46" s="554">
        <f>SUM(G42:G44)*0.001</f>
        <v>0</v>
      </c>
      <c r="H46" s="554">
        <f>SUM(H42:H44)*0.001</f>
        <v>0</v>
      </c>
      <c r="I46" s="554">
        <f>SUM(I42:I45)*0.001</f>
        <v>0.69882490770043071</v>
      </c>
      <c r="J46" s="554">
        <f t="shared" ref="J46:X46" si="16">SUM(J42:J45)*0.001</f>
        <v>0.14345609946272306</v>
      </c>
      <c r="K46" s="554">
        <f t="shared" si="16"/>
        <v>4.7701362838036263E-2</v>
      </c>
      <c r="L46" s="554">
        <f t="shared" si="16"/>
        <v>2.0469594510023364E-2</v>
      </c>
      <c r="M46" s="554">
        <f t="shared" si="16"/>
        <v>2.0940395183758974E-2</v>
      </c>
      <c r="N46" s="554">
        <f t="shared" si="16"/>
        <v>2.142202427298542E-2</v>
      </c>
      <c r="O46" s="554">
        <f t="shared" si="16"/>
        <v>2.1914730831262594E-2</v>
      </c>
      <c r="P46" s="554">
        <f t="shared" si="16"/>
        <v>2.2418769640380101E-2</v>
      </c>
      <c r="Q46" s="554">
        <f t="shared" si="16"/>
        <v>2.2934401342113844E-2</v>
      </c>
      <c r="R46" s="554">
        <f t="shared" si="16"/>
        <v>2.3461892572979436E-2</v>
      </c>
      <c r="S46" s="554">
        <f t="shared" si="16"/>
        <v>2.4001516102155066E-2</v>
      </c>
      <c r="T46" s="554">
        <f t="shared" si="16"/>
        <v>2.4553550972508834E-2</v>
      </c>
      <c r="U46" s="554">
        <f t="shared" si="16"/>
        <v>2.5118282644876852E-2</v>
      </c>
      <c r="V46" s="554">
        <f t="shared" si="16"/>
        <v>2.5696003145702643E-2</v>
      </c>
      <c r="W46" s="554">
        <f t="shared" si="16"/>
        <v>2.628701121806205E-2</v>
      </c>
      <c r="X46" s="554">
        <f t="shared" si="16"/>
        <v>2.6891612476070255E-2</v>
      </c>
      <c r="Y46" s="816"/>
      <c r="Z46" s="554"/>
      <c r="AA46" s="554"/>
      <c r="AB46" s="554"/>
      <c r="AC46" s="554"/>
      <c r="AD46" s="554"/>
    </row>
    <row r="47" spans="3:30" x14ac:dyDescent="0.2">
      <c r="C47" s="807"/>
      <c r="Y47" s="549"/>
    </row>
    <row r="48" spans="3:30" x14ac:dyDescent="0.2">
      <c r="C48" s="708" t="s">
        <v>58</v>
      </c>
      <c r="Y48" s="549"/>
    </row>
    <row r="49" spans="3:31" x14ac:dyDescent="0.2">
      <c r="C49" s="709" t="s">
        <v>59</v>
      </c>
      <c r="D49" s="707">
        <f>LRMC_energy</f>
        <v>0.21552001999999995</v>
      </c>
      <c r="E49" s="707">
        <f>D49</f>
        <v>0.21552001999999995</v>
      </c>
      <c r="F49" s="707">
        <f t="shared" ref="F49:U49" si="17">E49</f>
        <v>0.21552001999999995</v>
      </c>
      <c r="G49" s="707">
        <f t="shared" si="17"/>
        <v>0.21552001999999995</v>
      </c>
      <c r="H49" s="707">
        <f t="shared" si="17"/>
        <v>0.21552001999999995</v>
      </c>
      <c r="I49" s="707">
        <f t="shared" si="17"/>
        <v>0.21552001999999995</v>
      </c>
      <c r="J49" s="707">
        <f t="shared" si="17"/>
        <v>0.21552001999999995</v>
      </c>
      <c r="K49" s="707">
        <f t="shared" si="17"/>
        <v>0.21552001999999995</v>
      </c>
      <c r="L49" s="707">
        <f t="shared" si="17"/>
        <v>0.21552001999999995</v>
      </c>
      <c r="M49" s="707">
        <f t="shared" si="17"/>
        <v>0.21552001999999995</v>
      </c>
      <c r="N49" s="707">
        <f t="shared" si="17"/>
        <v>0.21552001999999995</v>
      </c>
      <c r="O49" s="707">
        <f t="shared" si="17"/>
        <v>0.21552001999999995</v>
      </c>
      <c r="P49" s="707">
        <f t="shared" si="17"/>
        <v>0.21552001999999995</v>
      </c>
      <c r="Q49" s="707">
        <f t="shared" si="17"/>
        <v>0.21552001999999995</v>
      </c>
      <c r="R49" s="707">
        <f t="shared" si="17"/>
        <v>0.21552001999999995</v>
      </c>
      <c r="S49" s="707">
        <f t="shared" si="17"/>
        <v>0.21552001999999995</v>
      </c>
      <c r="T49" s="707">
        <f t="shared" si="17"/>
        <v>0.21552001999999995</v>
      </c>
      <c r="U49" s="707">
        <f t="shared" si="17"/>
        <v>0.21552001999999995</v>
      </c>
      <c r="V49" s="707">
        <f t="shared" ref="V49:X49" si="18">U49</f>
        <v>0.21552001999999995</v>
      </c>
      <c r="W49" s="707">
        <f t="shared" si="18"/>
        <v>0.21552001999999995</v>
      </c>
      <c r="X49" s="707">
        <f t="shared" si="18"/>
        <v>0.21552001999999995</v>
      </c>
      <c r="Y49" s="817"/>
      <c r="Z49" s="707"/>
      <c r="AA49" s="707"/>
      <c r="AB49" s="707"/>
      <c r="AC49" s="707"/>
      <c r="AD49" s="707"/>
    </row>
    <row r="50" spans="3:31" x14ac:dyDescent="0.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row>
    <row r="51" spans="3:31" x14ac:dyDescent="0.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row>
    <row r="52" spans="3:31" x14ac:dyDescent="0.2">
      <c r="C52" s="713" t="s">
        <v>60</v>
      </c>
      <c r="D52" s="558">
        <f t="shared" ref="D52:H52" si="19">IF(D23=1,(D49*D117*(1+D50)*(1+D51)),0)</f>
        <v>0</v>
      </c>
      <c r="E52" s="558">
        <f t="shared" si="19"/>
        <v>0</v>
      </c>
      <c r="F52" s="558">
        <f t="shared" si="19"/>
        <v>0</v>
      </c>
      <c r="G52" s="558">
        <f t="shared" si="19"/>
        <v>0</v>
      </c>
      <c r="H52" s="558">
        <f t="shared" si="19"/>
        <v>0</v>
      </c>
      <c r="I52" s="558">
        <f>IF(I23=1,(I49*I117*(1+I50)*(1+I51)),0)</f>
        <v>0.17046413858869752</v>
      </c>
      <c r="J52" s="558">
        <f t="shared" ref="J52:X52" si="20">IF(J23=1,(J49*J117*(1+J50)*(1+J51)),0)</f>
        <v>0.36026317209681807</v>
      </c>
      <c r="K52" s="558">
        <f t="shared" si="20"/>
        <v>0.41359413033955023</v>
      </c>
      <c r="L52" s="558">
        <f t="shared" si="20"/>
        <v>0.42733786329073348</v>
      </c>
      <c r="M52" s="558">
        <f t="shared" si="20"/>
        <v>0.44153830048788451</v>
      </c>
      <c r="N52" s="558">
        <f t="shared" si="20"/>
        <v>0.45621061821309694</v>
      </c>
      <c r="O52" s="558">
        <f t="shared" si="20"/>
        <v>0.47137049705631789</v>
      </c>
      <c r="P52" s="558">
        <f t="shared" si="20"/>
        <v>0.48703413867349943</v>
      </c>
      <c r="Q52" s="558">
        <f t="shared" si="20"/>
        <v>0.50321828310161987</v>
      </c>
      <c r="R52" s="558">
        <f t="shared" si="20"/>
        <v>0.51994022664908657</v>
      </c>
      <c r="S52" s="558">
        <f t="shared" si="20"/>
        <v>0.53721784038063558</v>
      </c>
      <c r="T52" s="558">
        <f t="shared" si="20"/>
        <v>0.5550695892164843</v>
      </c>
      <c r="U52" s="558">
        <f t="shared" si="20"/>
        <v>0.57351455166614806</v>
      </c>
      <c r="V52" s="558">
        <f t="shared" si="20"/>
        <v>0.59257244021801392</v>
      </c>
      <c r="W52" s="558">
        <f t="shared" si="20"/>
        <v>0.61226362240645837</v>
      </c>
      <c r="X52" s="558">
        <f t="shared" si="20"/>
        <v>0.63260914257902501</v>
      </c>
      <c r="Y52" s="808"/>
      <c r="Z52" s="558"/>
      <c r="AA52" s="558"/>
      <c r="AB52" s="558"/>
      <c r="AC52" s="558"/>
      <c r="AD52" s="558"/>
      <c r="AE52" s="558"/>
    </row>
    <row r="53" spans="3:31" x14ac:dyDescent="0.2">
      <c r="C53" s="703"/>
      <c r="H53" s="714"/>
      <c r="Y53" s="549"/>
    </row>
    <row r="54" spans="3:31" x14ac:dyDescent="0.2">
      <c r="C54" s="708" t="s">
        <v>77</v>
      </c>
      <c r="D54" s="553"/>
      <c r="E54" s="553"/>
      <c r="Y54" s="549"/>
    </row>
    <row r="55" spans="3:31" x14ac:dyDescent="0.2">
      <c r="C55" s="713" t="s">
        <v>352</v>
      </c>
      <c r="D55" s="711">
        <v>0</v>
      </c>
      <c r="E55" s="711">
        <f>Assumptions!I24/10^6</f>
        <v>1.6291157123091274E-2</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row>
    <row r="56" spans="3:31" x14ac:dyDescent="0.2">
      <c r="C56" s="713" t="s">
        <v>29</v>
      </c>
      <c r="D56" s="711">
        <v>0</v>
      </c>
      <c r="E56" s="711">
        <f>E27*Assumptions!$J$24/10^6</f>
        <v>3.2629651197240016E-3</v>
      </c>
      <c r="F56" s="711">
        <f>F27*Assumptions!$J$24/10^6</f>
        <v>2.0393531998275007E-2</v>
      </c>
      <c r="G56" s="711">
        <f>G27*Assumptions!$J$24/10^6</f>
        <v>0.21698718046164608</v>
      </c>
      <c r="H56" s="711">
        <f>H27*Assumptions!$J$24/10^6</f>
        <v>0.2259603345408871</v>
      </c>
      <c r="I56" s="711">
        <f>I27*Assumptions!$J$24/10^6</f>
        <v>0.31732335789315913</v>
      </c>
      <c r="J56" s="711"/>
      <c r="K56" s="711"/>
      <c r="L56" s="711"/>
      <c r="M56" s="711"/>
      <c r="N56" s="711"/>
      <c r="O56" s="711"/>
      <c r="P56" s="711"/>
      <c r="Q56" s="711"/>
      <c r="R56" s="711"/>
      <c r="S56" s="711"/>
      <c r="T56" s="711"/>
      <c r="U56" s="711"/>
      <c r="V56" s="711"/>
      <c r="W56" s="711"/>
      <c r="X56" s="711"/>
      <c r="Y56" s="815"/>
      <c r="Z56" s="711"/>
      <c r="AA56" s="711"/>
      <c r="AB56" s="711"/>
      <c r="AC56" s="711"/>
      <c r="AD56" s="711"/>
    </row>
    <row r="57" spans="3:31" x14ac:dyDescent="0.2">
      <c r="C57" s="709" t="s">
        <v>79</v>
      </c>
      <c r="D57" s="711">
        <f>SUM(D55:D56)</f>
        <v>0</v>
      </c>
      <c r="E57" s="711">
        <f>SUM(E55:E56)</f>
        <v>1.9554122242815275E-2</v>
      </c>
      <c r="F57" s="711">
        <f t="shared" ref="F57:I57" si="21">SUM(F55:F56)</f>
        <v>2.0393531998275007E-2</v>
      </c>
      <c r="G57" s="711">
        <f t="shared" si="21"/>
        <v>0.21698718046164608</v>
      </c>
      <c r="H57" s="711">
        <f t="shared" si="21"/>
        <v>0.2259603345408871</v>
      </c>
      <c r="I57" s="711">
        <f t="shared" si="21"/>
        <v>0.31732335789315913</v>
      </c>
      <c r="J57" s="711"/>
      <c r="K57" s="711"/>
      <c r="L57" s="711"/>
      <c r="M57" s="711"/>
      <c r="N57" s="711"/>
      <c r="O57" s="711"/>
      <c r="P57" s="711"/>
      <c r="Q57" s="711"/>
      <c r="R57" s="711"/>
      <c r="S57" s="711"/>
      <c r="T57" s="711"/>
      <c r="U57" s="711"/>
      <c r="V57" s="711"/>
      <c r="W57" s="711"/>
      <c r="X57" s="711"/>
      <c r="Y57" s="815"/>
      <c r="Z57" s="711"/>
      <c r="AA57" s="711"/>
      <c r="AB57" s="711"/>
      <c r="AC57" s="711"/>
      <c r="AD57" s="711"/>
    </row>
    <row r="58" spans="3:31"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row>
    <row r="59" spans="3:31" x14ac:dyDescent="0.2">
      <c r="C59" s="708" t="s">
        <v>363</v>
      </c>
      <c r="D59" s="711">
        <v>0</v>
      </c>
      <c r="E59" s="711">
        <f>E$27*Assumptions!$K$24/10^6</f>
        <v>1.5704243142065676E-3</v>
      </c>
      <c r="F59" s="711">
        <f>F$27*Assumptions!$K$24/10^6</f>
        <v>9.8151519637910481E-3</v>
      </c>
      <c r="G59" s="711">
        <f>G$27*Assumptions!$K$24/10^6</f>
        <v>0.10443321689473675</v>
      </c>
      <c r="H59" s="711">
        <f>H$27*Assumptions!$K$24/10^6</f>
        <v>0.10875188375880482</v>
      </c>
      <c r="I59" s="711">
        <f>I$27*Assumptions!$K$24/10^6</f>
        <v>0.1527237645565887</v>
      </c>
      <c r="J59" s="711"/>
      <c r="K59" s="711"/>
      <c r="L59" s="711"/>
      <c r="M59" s="711"/>
      <c r="N59" s="711"/>
      <c r="O59" s="711"/>
      <c r="P59" s="711"/>
      <c r="Q59" s="711"/>
      <c r="R59" s="711"/>
      <c r="S59" s="711"/>
      <c r="T59" s="711"/>
      <c r="U59" s="711"/>
      <c r="V59" s="711"/>
      <c r="W59" s="711"/>
      <c r="X59" s="711"/>
      <c r="Y59" s="815"/>
      <c r="Z59" s="711"/>
      <c r="AA59" s="711"/>
      <c r="AB59" s="711"/>
      <c r="AC59" s="711"/>
      <c r="AD59" s="711"/>
    </row>
    <row r="60" spans="3:31" x14ac:dyDescent="0.2">
      <c r="C60" s="708" t="s">
        <v>364</v>
      </c>
      <c r="D60" s="711">
        <v>0</v>
      </c>
      <c r="E60" s="711">
        <f>E$27*Assumptions!$L$24/10^6</f>
        <v>7.1166853473279791E-4</v>
      </c>
      <c r="F60" s="711">
        <f>F$27*Assumptions!$L$24/10^6</f>
        <v>4.4479283420799862E-3</v>
      </c>
      <c r="G60" s="711">
        <f>G$27*Assumptions!$L$24/10^6</f>
        <v>4.7325957559731062E-2</v>
      </c>
      <c r="H60" s="711">
        <f>H$27*Assumptions!$L$24/10^6</f>
        <v>4.9283046030246261E-2</v>
      </c>
      <c r="I60" s="711">
        <f>I$27*Assumptions!$L$24/10^6</f>
        <v>6.9209765002764601E-2</v>
      </c>
      <c r="J60" s="711"/>
      <c r="K60" s="711"/>
      <c r="L60" s="711"/>
      <c r="M60" s="711"/>
      <c r="N60" s="711"/>
      <c r="O60" s="711"/>
      <c r="P60" s="711"/>
      <c r="Q60" s="711"/>
      <c r="R60" s="711"/>
      <c r="S60" s="711"/>
      <c r="T60" s="711"/>
      <c r="U60" s="711"/>
      <c r="V60" s="711"/>
      <c r="W60" s="711"/>
      <c r="X60" s="711"/>
      <c r="Y60" s="815"/>
      <c r="Z60" s="711"/>
      <c r="AA60" s="711"/>
      <c r="AB60" s="711"/>
      <c r="AC60" s="711"/>
      <c r="AD60" s="711"/>
    </row>
    <row r="61" spans="3:31"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row>
    <row r="62" spans="3:31" x14ac:dyDescent="0.2">
      <c r="C62" s="716" t="s">
        <v>100</v>
      </c>
      <c r="D62" s="711">
        <f>SUM(D28:D29,D31:D33,D46,D52,D57,D59:D60)*'ERR &amp; Sensitivity Analysis'!$G$9</f>
        <v>0</v>
      </c>
      <c r="E62" s="711">
        <f>SUM(E28:E29,E31:E33,E46,E52,E57,E59:E60)*'ERR &amp; Sensitivity Analysis'!$G$9</f>
        <v>0.15335253846168104</v>
      </c>
      <c r="F62" s="711">
        <f>SUM(F28:F29,F31:F33,F46,F52,F57,F59:F60)*'ERR &amp; Sensitivity Analysis'!$G$9</f>
        <v>0.35467915106184622</v>
      </c>
      <c r="G62" s="711">
        <f>SUM(G28:G29,G31:G33,G46,G52,G57,G59:G60)*'ERR &amp; Sensitivity Analysis'!$G$9</f>
        <v>3.486497720850918</v>
      </c>
      <c r="H62" s="711">
        <f>SUM(H28:H29,H31:H33,H46,H52,H57,H59:H60)*'ERR &amp; Sensitivity Analysis'!$G$9</f>
        <v>3.3608259442748274</v>
      </c>
      <c r="I62" s="711">
        <f>SUM(I28:I29,I31:I33,I46,I52,I57,I59:I60)*'ERR &amp; Sensitivity Analysis'!$G$9</f>
        <v>5.2471835408240173</v>
      </c>
      <c r="J62" s="711">
        <f>SUM(J28:J29,J31:J33,J46,J52,J57,J59:J60)*'ERR &amp; Sensitivity Analysis'!$G$9</f>
        <v>0.79099062996997627</v>
      </c>
      <c r="K62" s="711">
        <f>SUM(K28:K29,K31:K33,K46,K52,K57,K59:K60)*'ERR &amp; Sensitivity Analysis'!$G$9</f>
        <v>0.4612954931775865</v>
      </c>
      <c r="L62" s="711">
        <f>SUM(L28:L29,L31:L33,L46,L52,L57,L59:L60)*'ERR &amp; Sensitivity Analysis'!$G$9</f>
        <v>0.44780745780075681</v>
      </c>
      <c r="M62" s="711">
        <f>SUM(M28:M29,M31:M33,M46,M52,M57,M59:M60)*'ERR &amp; Sensitivity Analysis'!$G$9</f>
        <v>0.46247869567164346</v>
      </c>
      <c r="N62" s="711">
        <f>SUM(N28:N29,N31:N33,N46,N52,N57,N59:N60)*'ERR &amp; Sensitivity Analysis'!$G$9</f>
        <v>0.47763264248608234</v>
      </c>
      <c r="O62" s="711">
        <f>SUM(O28:O29,O31:O33,O46,O52,O57,O59:O60)*'ERR &amp; Sensitivity Analysis'!$G$9</f>
        <v>0.4932852278875805</v>
      </c>
      <c r="P62" s="711">
        <f>SUM(P28:P29,P31:P33,P46,P52,P57,P59:P60)*'ERR &amp; Sensitivity Analysis'!$G$9</f>
        <v>0.50945290831387957</v>
      </c>
      <c r="Q62" s="711">
        <f>SUM(Q28:Q29,Q31:Q33,Q46,Q52,Q57,Q59:Q60)*'ERR &amp; Sensitivity Analysis'!$G$9</f>
        <v>0.52615268444373375</v>
      </c>
      <c r="R62" s="711">
        <f>SUM(R28:R29,R31:R33,R46,R52,R57,R59:R60)*'ERR &amp; Sensitivity Analysis'!$G$9</f>
        <v>0.54340211922206605</v>
      </c>
      <c r="S62" s="711">
        <f>SUM(S28:S29,S31:S33,S46,S52,S57,S59:S60)*'ERR &amp; Sensitivity Analysis'!$G$9</f>
        <v>0.56121935648279064</v>
      </c>
      <c r="T62" s="711">
        <f>SUM(T28:T29,T31:T33,T46,T52,T57,T59:T60)*'ERR &amp; Sensitivity Analysis'!$G$9</f>
        <v>0.57962314018899319</v>
      </c>
      <c r="U62" s="711">
        <f>SUM(U28:U29,U31:U33,U46,U52,U57,U59:U60)*'ERR &amp; Sensitivity Analysis'!$G$9</f>
        <v>0.59863283431102488</v>
      </c>
      <c r="V62" s="711">
        <f>SUM(V28:V29,V31:V33,V46,V52,V57,V59:V60)*'ERR &amp; Sensitivity Analysis'!$G$9</f>
        <v>0.61826844336371656</v>
      </c>
      <c r="W62" s="711">
        <f>SUM(W28:W29,W31:W33,W46,W52,W57,W59:W60)*'ERR &amp; Sensitivity Analysis'!$G$9</f>
        <v>0.63855063362452047</v>
      </c>
      <c r="X62" s="711">
        <f>SUM(X28:X29,X31:X33,X46,X52,X57,X59:X60)*'ERR &amp; Sensitivity Analysis'!$G$9</f>
        <v>0.65950075505509531</v>
      </c>
      <c r="Y62" s="815"/>
      <c r="Z62" s="711"/>
      <c r="AA62" s="711"/>
      <c r="AB62" s="711"/>
      <c r="AC62" s="711"/>
      <c r="AD62" s="711"/>
    </row>
    <row r="63" spans="3:31" x14ac:dyDescent="0.2">
      <c r="C63" s="708" t="s">
        <v>367</v>
      </c>
      <c r="D63" s="711">
        <f>SUM(D28,D31:D33,D57,D59:D60)</f>
        <v>0</v>
      </c>
      <c r="E63" s="711">
        <f t="shared" ref="E63:I63" si="22">SUM(E28,E31:E33,E57,E59:E60)</f>
        <v>0.15335253846168104</v>
      </c>
      <c r="F63" s="711">
        <f t="shared" si="22"/>
        <v>0.35467915106184622</v>
      </c>
      <c r="G63" s="711">
        <f t="shared" si="22"/>
        <v>3.486497720850918</v>
      </c>
      <c r="H63" s="711">
        <f t="shared" si="22"/>
        <v>3.3608259442748274</v>
      </c>
      <c r="I63" s="711">
        <f t="shared" si="22"/>
        <v>4.377894494534889</v>
      </c>
      <c r="J63" s="711"/>
      <c r="K63" s="711"/>
      <c r="L63" s="711"/>
      <c r="M63" s="711"/>
      <c r="N63" s="711"/>
      <c r="O63" s="711"/>
      <c r="P63" s="711"/>
      <c r="Q63" s="711"/>
      <c r="R63" s="711"/>
      <c r="S63" s="711"/>
      <c r="T63" s="711"/>
      <c r="U63" s="711"/>
      <c r="V63" s="711"/>
      <c r="W63" s="711"/>
      <c r="X63" s="711"/>
      <c r="Y63" s="815"/>
      <c r="Z63" s="711"/>
      <c r="AA63" s="711"/>
      <c r="AB63" s="711"/>
      <c r="AC63" s="711"/>
      <c r="AD63" s="711"/>
    </row>
    <row r="64" spans="3:31" ht="13.5" thickBot="1" x14ac:dyDescent="0.25">
      <c r="C64" s="540"/>
      <c r="D64" s="724"/>
      <c r="E64" s="724"/>
      <c r="F64" s="724"/>
      <c r="G64" s="724"/>
      <c r="H64" s="724"/>
      <c r="I64" s="724"/>
      <c r="J64" s="724"/>
      <c r="K64" s="724"/>
      <c r="L64" s="724"/>
      <c r="M64" s="724"/>
      <c r="N64" s="724"/>
      <c r="O64" s="724"/>
      <c r="P64" s="724"/>
      <c r="Q64" s="733"/>
      <c r="R64" s="724"/>
      <c r="S64" s="724"/>
      <c r="T64" s="724"/>
      <c r="U64" s="724"/>
      <c r="V64" s="724"/>
      <c r="W64" s="724"/>
      <c r="X64" s="724"/>
      <c r="Y64" s="700"/>
    </row>
    <row r="65" spans="3:31" x14ac:dyDescent="0.2">
      <c r="Q65" s="553"/>
    </row>
    <row r="66" spans="3:31" ht="13.5" thickBot="1" x14ac:dyDescent="0.25"/>
    <row r="67" spans="3:31" s="543" customFormat="1" ht="28.5" customHeight="1" x14ac:dyDescent="0.2">
      <c r="C67" s="530" t="s">
        <v>614</v>
      </c>
      <c r="D67" s="947" t="s">
        <v>173</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31" s="543" customFormat="1"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31" x14ac:dyDescent="0.2">
      <c r="C69" s="536"/>
      <c r="D69" s="537">
        <v>68</v>
      </c>
      <c r="E69" s="537">
        <v>250</v>
      </c>
      <c r="F69" s="537">
        <f>E70-D69-E69</f>
        <v>358.16820000000007</v>
      </c>
      <c r="G69" s="542">
        <v>15000</v>
      </c>
      <c r="H69" s="542">
        <v>2708</v>
      </c>
      <c r="I69" s="542">
        <v>1184</v>
      </c>
      <c r="J69" s="539">
        <f>custnopa</f>
        <v>2.3E-2</v>
      </c>
      <c r="K69" s="539">
        <f>Assumptions!D62</f>
        <v>2.3E-2</v>
      </c>
      <c r="L69" s="539">
        <f>Assumptions!E62</f>
        <v>2.3E-2</v>
      </c>
      <c r="M69" s="539">
        <f>unitconspa</f>
        <v>0.01</v>
      </c>
      <c r="N69" s="539">
        <f>Assumptions!D61</f>
        <v>0.01</v>
      </c>
      <c r="O69" s="539">
        <f>Assumptions!E61</f>
        <v>0.01</v>
      </c>
      <c r="P69" s="743">
        <f>G69*D69*0.001</f>
        <v>1020</v>
      </c>
      <c r="Q69" s="743">
        <f>H69*E69*0.001*Assumptions!$C14</f>
        <v>507.75</v>
      </c>
      <c r="R69" s="743">
        <f>I69*F69*0.001*Assumptions!$C13</f>
        <v>212.03557440000006</v>
      </c>
      <c r="S69" s="538">
        <f>(SUM(P69:R69)/8.76)/T69</f>
        <v>352.40827131582984</v>
      </c>
      <c r="T69" s="684">
        <f>SUMPRODUCT(P69:R69,P70:R70)/SUM(P69:R69)</f>
        <v>0.56356696293342945</v>
      </c>
      <c r="U69" s="118" t="str">
        <f>IF(S69/X69&gt;1,"Constrained"," ")</f>
        <v xml:space="preserve"> </v>
      </c>
      <c r="V69" s="538">
        <v>3415</v>
      </c>
      <c r="W69" s="538">
        <v>1</v>
      </c>
      <c r="X69" s="538">
        <f>V69*W69</f>
        <v>3415</v>
      </c>
      <c r="Y69" s="710">
        <f>Assumptions!C24*10^-6</f>
        <v>2.5516860505344532</v>
      </c>
      <c r="Z69" s="710">
        <f>Assumptions!D24*10^-6</f>
        <v>5.5361075785593385</v>
      </c>
      <c r="AA69" s="710">
        <f>SUMPRODUCT(Y69:Z69,AB69:AC69)</f>
        <v>8.0877936290937917</v>
      </c>
      <c r="AB69" s="111">
        <f>Assumptions!F13</f>
        <v>1</v>
      </c>
      <c r="AC69" s="550">
        <f>Assumptions!G13</f>
        <v>1</v>
      </c>
    </row>
    <row r="70" spans="3:31" x14ac:dyDescent="0.2">
      <c r="C70" s="703"/>
      <c r="D70" s="748" t="s">
        <v>0</v>
      </c>
      <c r="E70" s="537">
        <f>Summary!D53</f>
        <v>676.16820000000007</v>
      </c>
      <c r="F70" s="537">
        <f>SUM(D69:F69)</f>
        <v>676.16820000000007</v>
      </c>
      <c r="G70" s="538"/>
      <c r="H70" s="538"/>
      <c r="I70" s="538"/>
      <c r="J70" s="539"/>
      <c r="K70" s="539"/>
      <c r="L70" s="539"/>
      <c r="M70" s="539"/>
      <c r="N70" s="539"/>
      <c r="O70" s="539"/>
      <c r="P70" s="684">
        <f>Assumptions!F55</f>
        <v>0.65</v>
      </c>
      <c r="Q70" s="684">
        <f>Assumptions!F56</f>
        <v>0.5</v>
      </c>
      <c r="R70" s="684">
        <f>Assumptions!F57</f>
        <v>0.3</v>
      </c>
      <c r="S70" s="744">
        <f>S69/E70</f>
        <v>0.52118433152554322</v>
      </c>
      <c r="T70" s="684"/>
      <c r="U70" s="111"/>
      <c r="X70" s="558">
        <f>X69/S69</f>
        <v>9.6904649463788033</v>
      </c>
      <c r="Y70" s="710"/>
      <c r="Z70" s="710"/>
      <c r="AA70" s="710"/>
      <c r="AC70" s="549"/>
    </row>
    <row r="71" spans="3:31" x14ac:dyDescent="0.2">
      <c r="C71" s="703"/>
      <c r="Q71" s="542" t="s">
        <v>64</v>
      </c>
      <c r="R71" s="538">
        <f>IF(R69=0,0,(SUM(P69:R69)/SUM(D69:F69))*1000)</f>
        <v>2573.0070926139383</v>
      </c>
      <c r="AC71" s="549"/>
    </row>
    <row r="72" spans="3:31" x14ac:dyDescent="0.2">
      <c r="C72" s="703"/>
      <c r="H72" s="740" t="s">
        <v>175</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684"/>
      <c r="Z72" s="684"/>
      <c r="AA72" s="684"/>
      <c r="AB72" s="684"/>
      <c r="AC72" s="820"/>
      <c r="AD72" s="684"/>
    </row>
    <row r="73" spans="3:31" x14ac:dyDescent="0.2">
      <c r="C73" s="548"/>
      <c r="AC73" s="549"/>
    </row>
    <row r="74" spans="3:31" x14ac:dyDescent="0.2">
      <c r="C74" s="729"/>
      <c r="AC74" s="549"/>
    </row>
    <row r="75" spans="3:31" x14ac:dyDescent="0.2">
      <c r="C75" s="551" t="s">
        <v>33</v>
      </c>
      <c r="AC75" s="549"/>
    </row>
    <row r="76" spans="3:31" x14ac:dyDescent="0.2">
      <c r="C76" s="551"/>
      <c r="AC76" s="549"/>
    </row>
    <row r="77" spans="3:31" x14ac:dyDescent="0.2">
      <c r="C77" s="552" t="s">
        <v>10</v>
      </c>
      <c r="D77" s="553">
        <f>$D$69*(1+$J$69)^D$21*(D$23=1)</f>
        <v>0</v>
      </c>
      <c r="E77" s="553">
        <f>$D$69*(1+$J$69)^E$21*(E$23=1)</f>
        <v>0</v>
      </c>
      <c r="F77" s="553">
        <f>$D$69*(1+$J$69)^F$21*(F$23=1)</f>
        <v>0</v>
      </c>
      <c r="G77" s="553">
        <f>$D$69*(1+$J$69)^G$21*(G$23=1)</f>
        <v>0</v>
      </c>
      <c r="H77" s="553">
        <f>$D$69*(1+$J$69)^H$21*(H$23=1)</f>
        <v>0</v>
      </c>
      <c r="I77" s="553">
        <f t="shared" ref="I77:X77" si="23">IF(H96=0,$D$69*(1+$J$69)^I$21*(I$23)*I72,H77)*$AB$69</f>
        <v>30.608159999999998</v>
      </c>
      <c r="J77" s="553">
        <f t="shared" si="23"/>
        <v>64.047574799999992</v>
      </c>
      <c r="K77" s="553">
        <f t="shared" si="23"/>
        <v>72.800743355999984</v>
      </c>
      <c r="L77" s="553">
        <f t="shared" si="23"/>
        <v>74.475160453187968</v>
      </c>
      <c r="M77" s="553">
        <f t="shared" si="23"/>
        <v>76.188089143611279</v>
      </c>
      <c r="N77" s="553">
        <f t="shared" si="23"/>
        <v>77.940415193914347</v>
      </c>
      <c r="O77" s="553">
        <f t="shared" si="23"/>
        <v>79.733044743374364</v>
      </c>
      <c r="P77" s="553">
        <f t="shared" si="23"/>
        <v>81.566904772471958</v>
      </c>
      <c r="Q77" s="553">
        <f t="shared" si="23"/>
        <v>83.442943582238811</v>
      </c>
      <c r="R77" s="553">
        <f t="shared" si="23"/>
        <v>85.362131284630294</v>
      </c>
      <c r="S77" s="553">
        <f t="shared" si="23"/>
        <v>87.325460304176787</v>
      </c>
      <c r="T77" s="553">
        <f t="shared" si="23"/>
        <v>89.333945891172846</v>
      </c>
      <c r="U77" s="553">
        <f t="shared" si="23"/>
        <v>91.388626646669806</v>
      </c>
      <c r="V77" s="553">
        <f t="shared" si="23"/>
        <v>93.490565059543215</v>
      </c>
      <c r="W77" s="553">
        <f t="shared" si="23"/>
        <v>95.640848055912684</v>
      </c>
      <c r="X77" s="553">
        <f t="shared" si="23"/>
        <v>97.84058756119866</v>
      </c>
      <c r="Y77" s="553"/>
      <c r="Z77" s="553"/>
      <c r="AA77" s="553"/>
      <c r="AB77" s="553"/>
      <c r="AC77" s="814"/>
      <c r="AD77" s="553"/>
    </row>
    <row r="78" spans="3:31" x14ac:dyDescent="0.2">
      <c r="C78" s="552" t="s">
        <v>44</v>
      </c>
      <c r="D78" s="553">
        <f>$E$69*(1+$K$69)^D$21*(D$23=1)</f>
        <v>0</v>
      </c>
      <c r="E78" s="553">
        <f>$E$69*(1+$K$69)^E$21*(E$23=1)</f>
        <v>0</v>
      </c>
      <c r="F78" s="553">
        <f>$E$69*(1+$K$69)^F$21*(F$23=1)</f>
        <v>0</v>
      </c>
      <c r="G78" s="553">
        <f>$E$69*(1+$K$69)^G$21*(G$23=1)</f>
        <v>0</v>
      </c>
      <c r="H78" s="553">
        <f>$E$69*(1+$K$69)^H$21*(H$23=1)</f>
        <v>0</v>
      </c>
      <c r="I78" s="553">
        <f t="shared" ref="I78:X78" si="24">IF(H96=0,$E$69*(1+$K$69)^I$21*(I$23)*I72,H78)*$AB$69</f>
        <v>112.52999999999999</v>
      </c>
      <c r="J78" s="553">
        <f t="shared" si="24"/>
        <v>235.46902499999996</v>
      </c>
      <c r="K78" s="553">
        <f t="shared" si="24"/>
        <v>267.64979174999991</v>
      </c>
      <c r="L78" s="553">
        <f t="shared" si="24"/>
        <v>273.80573696024987</v>
      </c>
      <c r="M78" s="553">
        <f t="shared" si="24"/>
        <v>280.1032689103356</v>
      </c>
      <c r="N78" s="553">
        <f t="shared" si="24"/>
        <v>286.54564409527336</v>
      </c>
      <c r="O78" s="553">
        <f t="shared" si="24"/>
        <v>293.13619390946457</v>
      </c>
      <c r="P78" s="553">
        <f t="shared" si="24"/>
        <v>299.87832636938219</v>
      </c>
      <c r="Q78" s="553">
        <f t="shared" si="24"/>
        <v>306.77552787587797</v>
      </c>
      <c r="R78" s="553">
        <f t="shared" si="24"/>
        <v>313.83136501702313</v>
      </c>
      <c r="S78" s="553">
        <f t="shared" si="24"/>
        <v>321.04948641241464</v>
      </c>
      <c r="T78" s="553">
        <f t="shared" si="24"/>
        <v>328.43362459990016</v>
      </c>
      <c r="U78" s="553">
        <f t="shared" si="24"/>
        <v>335.98759796569783</v>
      </c>
      <c r="V78" s="553">
        <f t="shared" si="24"/>
        <v>343.71531271890888</v>
      </c>
      <c r="W78" s="553">
        <f t="shared" si="24"/>
        <v>351.6207649114437</v>
      </c>
      <c r="X78" s="553">
        <f t="shared" si="24"/>
        <v>359.70804250440688</v>
      </c>
      <c r="Y78" s="553"/>
      <c r="Z78" s="553"/>
      <c r="AA78" s="553"/>
      <c r="AB78" s="553"/>
      <c r="AC78" s="814"/>
      <c r="AD78" s="553"/>
    </row>
    <row r="79" spans="3:31" x14ac:dyDescent="0.2">
      <c r="C79" s="552" t="s">
        <v>45</v>
      </c>
      <c r="D79" s="553">
        <f>$F$69*(1+$L$69)^D$21*(D$23=1)</f>
        <v>0</v>
      </c>
      <c r="E79" s="553">
        <f>$F$69*(1+$L$69)^E$21*(E$23=1)</f>
        <v>0</v>
      </c>
      <c r="F79" s="553">
        <f>$F$69*(1+$L$69)^F$21*(F$23=1)</f>
        <v>0</v>
      </c>
      <c r="G79" s="553">
        <f>$F$69*(1+$L$69)^G$21*(G$23=1)</f>
        <v>0</v>
      </c>
      <c r="H79" s="553">
        <f>$F$69*(1+$L$69)^H$21*(H$23=1)</f>
        <v>0</v>
      </c>
      <c r="I79" s="553">
        <f t="shared" ref="I79:X79" si="25">IF(H96=0,$F$69*(1+$L$69)^I$21*(I$23)*I72,H79)*$AB$69</f>
        <v>161.21867018400002</v>
      </c>
      <c r="J79" s="553">
        <f t="shared" si="25"/>
        <v>337.35006736001998</v>
      </c>
      <c r="K79" s="553">
        <f t="shared" si="25"/>
        <v>383.45457656588934</v>
      </c>
      <c r="L79" s="553">
        <f t="shared" si="25"/>
        <v>392.27403182690477</v>
      </c>
      <c r="M79" s="553">
        <f t="shared" si="25"/>
        <v>401.29633455892355</v>
      </c>
      <c r="N79" s="553">
        <f t="shared" si="25"/>
        <v>410.52615025377878</v>
      </c>
      <c r="O79" s="553">
        <f t="shared" si="25"/>
        <v>419.96825170961563</v>
      </c>
      <c r="P79" s="553">
        <f t="shared" si="25"/>
        <v>429.62752149893674</v>
      </c>
      <c r="Q79" s="553">
        <f t="shared" si="25"/>
        <v>439.50895449341226</v>
      </c>
      <c r="R79" s="553">
        <f t="shared" si="25"/>
        <v>449.61766044676068</v>
      </c>
      <c r="S79" s="553">
        <f t="shared" si="25"/>
        <v>459.95886663703612</v>
      </c>
      <c r="T79" s="553">
        <f t="shared" si="25"/>
        <v>470.53792056968791</v>
      </c>
      <c r="U79" s="553">
        <f t="shared" si="25"/>
        <v>481.3602927427907</v>
      </c>
      <c r="V79" s="553">
        <f t="shared" si="25"/>
        <v>492.43157947587486</v>
      </c>
      <c r="W79" s="553">
        <f t="shared" si="25"/>
        <v>503.75750580381987</v>
      </c>
      <c r="X79" s="553">
        <f t="shared" si="25"/>
        <v>515.34392843730768</v>
      </c>
      <c r="Y79" s="553"/>
      <c r="Z79" s="553"/>
      <c r="AA79" s="553"/>
      <c r="AB79" s="553"/>
      <c r="AC79" s="814"/>
      <c r="AD79" s="553"/>
    </row>
    <row r="80" spans="3:31" x14ac:dyDescent="0.2">
      <c r="C80" s="552" t="s">
        <v>163</v>
      </c>
      <c r="D80" s="554"/>
      <c r="E80" s="554"/>
      <c r="F80" s="554"/>
      <c r="G80" s="554"/>
      <c r="H80" s="554"/>
      <c r="I80" s="553">
        <f>SUM(I77:I79)</f>
        <v>304.35683018399999</v>
      </c>
      <c r="J80" s="553">
        <f t="shared" ref="J80:X80" si="26">SUM(J77:J79)</f>
        <v>636.86666716001992</v>
      </c>
      <c r="K80" s="553">
        <f t="shared" si="26"/>
        <v>723.90511167188924</v>
      </c>
      <c r="L80" s="553">
        <f t="shared" si="26"/>
        <v>740.55492924034263</v>
      </c>
      <c r="M80" s="553">
        <f t="shared" si="26"/>
        <v>757.58769261287034</v>
      </c>
      <c r="N80" s="553">
        <f t="shared" si="26"/>
        <v>775.0122095429665</v>
      </c>
      <c r="O80" s="553">
        <f t="shared" si="26"/>
        <v>792.83749036245456</v>
      </c>
      <c r="P80" s="553">
        <f t="shared" si="26"/>
        <v>811.0727526407909</v>
      </c>
      <c r="Q80" s="553">
        <f t="shared" si="26"/>
        <v>829.72742595152909</v>
      </c>
      <c r="R80" s="553">
        <f t="shared" si="26"/>
        <v>848.81115674841408</v>
      </c>
      <c r="S80" s="553">
        <f t="shared" si="26"/>
        <v>868.33381335362753</v>
      </c>
      <c r="T80" s="553">
        <f t="shared" si="26"/>
        <v>888.30549106076091</v>
      </c>
      <c r="U80" s="553">
        <f t="shared" si="26"/>
        <v>908.73651735515841</v>
      </c>
      <c r="V80" s="553">
        <f t="shared" si="26"/>
        <v>929.63745725432693</v>
      </c>
      <c r="W80" s="553">
        <f t="shared" si="26"/>
        <v>951.01911877117618</v>
      </c>
      <c r="X80" s="553">
        <f t="shared" si="26"/>
        <v>972.89255850291329</v>
      </c>
      <c r="Y80" s="553"/>
      <c r="Z80" s="553"/>
      <c r="AA80" s="553"/>
      <c r="AB80" s="553"/>
      <c r="AC80" s="814"/>
      <c r="AD80" s="553"/>
      <c r="AE80" s="557"/>
    </row>
    <row r="81" spans="2:31" x14ac:dyDescent="0.2">
      <c r="C81" s="552" t="s">
        <v>168</v>
      </c>
      <c r="I81" s="553">
        <f>IF(I104=" ",I112-H112,H81)</f>
        <v>1449.2989999999918</v>
      </c>
      <c r="J81" s="553">
        <f t="shared" ref="J81:X81" si="27">IF(J104=" ",J112-I112,I81)</f>
        <v>1482.6328769999891</v>
      </c>
      <c r="K81" s="553">
        <f t="shared" si="27"/>
        <v>1516.7334331710008</v>
      </c>
      <c r="L81" s="553">
        <f t="shared" si="27"/>
        <v>1551.6183021339239</v>
      </c>
      <c r="M81" s="553">
        <f t="shared" si="27"/>
        <v>1587.3055230830068</v>
      </c>
      <c r="N81" s="553">
        <f t="shared" si="27"/>
        <v>1623.8135501139186</v>
      </c>
      <c r="O81" s="553">
        <f t="shared" si="27"/>
        <v>1661.1612617665378</v>
      </c>
      <c r="P81" s="553">
        <f t="shared" si="27"/>
        <v>1699.3679707871634</v>
      </c>
      <c r="Q81" s="553">
        <f t="shared" si="27"/>
        <v>1738.4534341152757</v>
      </c>
      <c r="R81" s="553">
        <f t="shared" si="27"/>
        <v>1778.4378630999272</v>
      </c>
      <c r="S81" s="553">
        <f t="shared" si="27"/>
        <v>1819.3419339512184</v>
      </c>
      <c r="T81" s="553">
        <f t="shared" si="27"/>
        <v>1861.1867984320997</v>
      </c>
      <c r="U81" s="553">
        <f t="shared" si="27"/>
        <v>1903.9940947960422</v>
      </c>
      <c r="V81" s="553">
        <f t="shared" si="27"/>
        <v>1947.7859589763393</v>
      </c>
      <c r="W81" s="553">
        <f t="shared" si="27"/>
        <v>1992.5850360328041</v>
      </c>
      <c r="X81" s="553">
        <f t="shared" si="27"/>
        <v>2038.4144918615493</v>
      </c>
      <c r="Y81" s="553"/>
      <c r="Z81" s="553"/>
      <c r="AA81" s="553"/>
      <c r="AB81" s="553"/>
      <c r="AC81" s="814"/>
      <c r="AD81" s="553"/>
      <c r="AE81" s="557"/>
    </row>
    <row r="82" spans="2:31" x14ac:dyDescent="0.2">
      <c r="C82" s="551"/>
      <c r="AC82" s="549"/>
    </row>
    <row r="83" spans="2:31" x14ac:dyDescent="0.2">
      <c r="B83" s="702"/>
      <c r="C83" s="551" t="s">
        <v>46</v>
      </c>
      <c r="J83" s="553"/>
      <c r="K83" s="553"/>
      <c r="L83" s="553"/>
      <c r="M83" s="553"/>
      <c r="N83" s="553"/>
      <c r="O83" s="553"/>
      <c r="P83" s="553"/>
      <c r="Q83" s="553"/>
      <c r="R83" s="553"/>
      <c r="S83" s="553"/>
      <c r="T83" s="553"/>
      <c r="U83" s="553"/>
      <c r="V83" s="553"/>
      <c r="W83" s="553"/>
      <c r="X83" s="553"/>
      <c r="Y83" s="553"/>
      <c r="Z83" s="553"/>
      <c r="AA83" s="553"/>
      <c r="AB83" s="553"/>
      <c r="AC83" s="814"/>
      <c r="AD83" s="553"/>
    </row>
    <row r="84" spans="2:31" x14ac:dyDescent="0.2">
      <c r="B84" s="702"/>
      <c r="C84" s="552" t="s">
        <v>10</v>
      </c>
      <c r="D84" s="553">
        <f t="shared" ref="D84:X84" si="28">$G$69*(1+$M$69)^D$21*(D$23=1)</f>
        <v>0</v>
      </c>
      <c r="E84" s="553">
        <f t="shared" si="28"/>
        <v>0</v>
      </c>
      <c r="F84" s="553">
        <f t="shared" si="28"/>
        <v>0</v>
      </c>
      <c r="G84" s="553">
        <f t="shared" si="28"/>
        <v>0</v>
      </c>
      <c r="H84" s="553">
        <f t="shared" si="28"/>
        <v>0</v>
      </c>
      <c r="I84" s="553">
        <f t="shared" si="28"/>
        <v>15150</v>
      </c>
      <c r="J84" s="553">
        <f t="shared" si="28"/>
        <v>15301.5</v>
      </c>
      <c r="K84" s="553">
        <f t="shared" si="28"/>
        <v>15454.514999999999</v>
      </c>
      <c r="L84" s="553">
        <f t="shared" si="28"/>
        <v>15609.060150000001</v>
      </c>
      <c r="M84" s="553">
        <f t="shared" si="28"/>
        <v>15765.150751499999</v>
      </c>
      <c r="N84" s="553">
        <f t="shared" si="28"/>
        <v>15922.802259015001</v>
      </c>
      <c r="O84" s="553">
        <f t="shared" si="28"/>
        <v>16082.030281605148</v>
      </c>
      <c r="P84" s="553">
        <f t="shared" si="28"/>
        <v>16242.850584421203</v>
      </c>
      <c r="Q84" s="553">
        <f t="shared" si="28"/>
        <v>16405.279090265416</v>
      </c>
      <c r="R84" s="553">
        <f t="shared" si="28"/>
        <v>16569.331881168073</v>
      </c>
      <c r="S84" s="553">
        <f t="shared" si="28"/>
        <v>16735.025199979747</v>
      </c>
      <c r="T84" s="553">
        <f t="shared" si="28"/>
        <v>16902.375451979548</v>
      </c>
      <c r="U84" s="553">
        <f t="shared" si="28"/>
        <v>17071.399206499344</v>
      </c>
      <c r="V84" s="553">
        <f t="shared" si="28"/>
        <v>17242.113198564337</v>
      </c>
      <c r="W84" s="553">
        <f t="shared" si="28"/>
        <v>17414.534330549977</v>
      </c>
      <c r="X84" s="553">
        <f t="shared" si="28"/>
        <v>17588.67967385548</v>
      </c>
      <c r="Y84" s="553"/>
      <c r="Z84" s="553"/>
      <c r="AA84" s="553"/>
      <c r="AB84" s="553"/>
      <c r="AC84" s="814"/>
      <c r="AD84" s="553"/>
    </row>
    <row r="85" spans="2:31" x14ac:dyDescent="0.2">
      <c r="C85" s="552" t="s">
        <v>44</v>
      </c>
      <c r="D85" s="553">
        <f>$H$69*(1+$N$69)^D$21*(D$23=1)</f>
        <v>0</v>
      </c>
      <c r="E85" s="553">
        <f>$H$69*(1+$N$69)^E$21*(E$23=1)</f>
        <v>0</v>
      </c>
      <c r="F85" s="553">
        <f>$H$69*(1+$N$69)^F$21*(F$23=1)</f>
        <v>0</v>
      </c>
      <c r="G85" s="553">
        <f>$H$69*(1+$N$69)^G$21*(G$23=1)</f>
        <v>0</v>
      </c>
      <c r="H85" s="553">
        <f>$H$69*(1+$N$69)^H$21*(H$23=1)</f>
        <v>0</v>
      </c>
      <c r="I85" s="553">
        <f>$H$69*(1+$N$69)^I$21*(I$23=1)*Assumptions!$C$14</f>
        <v>2051.31</v>
      </c>
      <c r="J85" s="553">
        <f>$H$69*(1+$N$69)^J$21*(J$23=1)*Assumptions!$C$14</f>
        <v>2071.8231000000001</v>
      </c>
      <c r="K85" s="553">
        <f>$H$69*(1+$N$69)^K$21*(K$23=1)*Assumptions!$C$14</f>
        <v>2092.5413309999994</v>
      </c>
      <c r="L85" s="553">
        <f>$H$69*(1+$N$69)^L$21*(L$23=1)*Assumptions!$C$14</f>
        <v>2113.4667443100002</v>
      </c>
      <c r="M85" s="553">
        <f>$H$69*(1+$N$69)^M$21*(M$23=1)*Assumptions!$C$14</f>
        <v>2134.6014117530999</v>
      </c>
      <c r="N85" s="553">
        <f>$H$69*(1+$N$69)^N$21*(N$23=1)*Assumptions!$C$14</f>
        <v>2155.9474258706314</v>
      </c>
      <c r="O85" s="553">
        <f>$H$69*(1+$N$69)^O$21*(O$23=1)*Assumptions!$C$14</f>
        <v>2177.5069001293368</v>
      </c>
      <c r="P85" s="553">
        <f>$H$69*(1+$N$69)^P$21*(P$23=1)*Assumptions!$C$14</f>
        <v>2199.2819691306308</v>
      </c>
      <c r="Q85" s="553">
        <f>$H$69*(1+$N$69)^Q$21*(Q$23=1)*Assumptions!$C$14</f>
        <v>2221.2747888219374</v>
      </c>
      <c r="R85" s="553">
        <f>$H$69*(1+$N$69)^R$21*(R$23=1)*Assumptions!$C$14</f>
        <v>2243.4875367101567</v>
      </c>
      <c r="S85" s="553">
        <f>$H$69*(1+$N$69)^S$21*(S$23=1)*Assumptions!$C$14</f>
        <v>2265.9224120772578</v>
      </c>
      <c r="T85" s="553">
        <f>$H$69*(1+$N$69)^T$21*(T$23=1)*Assumptions!$C$14</f>
        <v>2288.5816361980305</v>
      </c>
      <c r="U85" s="553">
        <f>$H$69*(1+$N$69)^U$21*(U$23=1)*Assumptions!$C$14</f>
        <v>2311.4674525600112</v>
      </c>
      <c r="V85" s="553">
        <f>$H$69*(1+$N$69)^V$21*(V$23=1)*Assumptions!$C$14</f>
        <v>2334.5821270856113</v>
      </c>
      <c r="W85" s="553">
        <f>$H$69*(1+$N$69)^W$21*(W$23=1)*Assumptions!$C$14</f>
        <v>2357.9279483564669</v>
      </c>
      <c r="X85" s="553">
        <f>$H$69*(1+$N$69)^X$21*(X$23=1)*Assumptions!$C$14</f>
        <v>2381.5072278400321</v>
      </c>
      <c r="Y85" s="553"/>
      <c r="Z85" s="553"/>
      <c r="AA85" s="553"/>
      <c r="AB85" s="553"/>
      <c r="AC85" s="814"/>
      <c r="AD85" s="553"/>
    </row>
    <row r="86" spans="2:31" x14ac:dyDescent="0.2">
      <c r="C86" s="552" t="s">
        <v>45</v>
      </c>
      <c r="D86" s="553">
        <f>$I$69*(1+$O$69)^D$21*(D$23=1)</f>
        <v>0</v>
      </c>
      <c r="E86" s="553">
        <f>$I$69*(1+$O$69)^E$21*(E$23=1)</f>
        <v>0</v>
      </c>
      <c r="F86" s="553">
        <f>$I$69*(1+$O$69)^F$21*(F$23=1)</f>
        <v>0</v>
      </c>
      <c r="G86" s="553">
        <f>$I$69*(1+$O$69)^G$21*(G$23=1)</f>
        <v>0</v>
      </c>
      <c r="H86" s="553">
        <f>$I$69*(1+$O$69)^H$21*(H$23=1)</f>
        <v>0</v>
      </c>
      <c r="I86" s="553">
        <f t="shared" ref="I86:X86" si="29">$I$69*(1+$O$69)^I$21*(I$23=1)*Demand_scalar</f>
        <v>597.91999999999996</v>
      </c>
      <c r="J86" s="553">
        <f t="shared" si="29"/>
        <v>603.89919999999995</v>
      </c>
      <c r="K86" s="553">
        <f t="shared" si="29"/>
        <v>609.93819199999996</v>
      </c>
      <c r="L86" s="553">
        <f t="shared" si="29"/>
        <v>616.03757392</v>
      </c>
      <c r="M86" s="553">
        <f t="shared" si="29"/>
        <v>622.19794965919994</v>
      </c>
      <c r="N86" s="553">
        <f t="shared" si="29"/>
        <v>628.41992915579203</v>
      </c>
      <c r="O86" s="553">
        <f t="shared" si="29"/>
        <v>634.70412844734983</v>
      </c>
      <c r="P86" s="553">
        <f t="shared" si="29"/>
        <v>641.05116973182351</v>
      </c>
      <c r="Q86" s="553">
        <f t="shared" si="29"/>
        <v>647.46168142914178</v>
      </c>
      <c r="R86" s="553">
        <f t="shared" si="29"/>
        <v>653.93629824343316</v>
      </c>
      <c r="S86" s="553">
        <f t="shared" si="29"/>
        <v>660.47566122586738</v>
      </c>
      <c r="T86" s="553">
        <f t="shared" si="29"/>
        <v>667.0804178381261</v>
      </c>
      <c r="U86" s="553">
        <f t="shared" si="29"/>
        <v>673.75122201650743</v>
      </c>
      <c r="V86" s="553">
        <f t="shared" si="29"/>
        <v>680.4887342366726</v>
      </c>
      <c r="W86" s="553">
        <f t="shared" si="29"/>
        <v>687.29362157903904</v>
      </c>
      <c r="X86" s="553">
        <f t="shared" si="29"/>
        <v>694.16655779482971</v>
      </c>
      <c r="Y86" s="553"/>
      <c r="Z86" s="553"/>
      <c r="AA86" s="553"/>
      <c r="AB86" s="553"/>
      <c r="AC86" s="814"/>
      <c r="AD86" s="553"/>
    </row>
    <row r="87" spans="2:31" x14ac:dyDescent="0.2">
      <c r="C87" s="551"/>
      <c r="AC87" s="549"/>
    </row>
    <row r="88" spans="2:31" x14ac:dyDescent="0.2">
      <c r="C88" s="551" t="s">
        <v>50</v>
      </c>
      <c r="AC88" s="549"/>
    </row>
    <row r="89" spans="2:31" x14ac:dyDescent="0.2">
      <c r="C89" s="552" t="s">
        <v>10</v>
      </c>
      <c r="D89" s="555">
        <f t="shared" ref="D89:X89" si="30">D77*D84*0.001</f>
        <v>0</v>
      </c>
      <c r="E89" s="555">
        <f t="shared" si="30"/>
        <v>0</v>
      </c>
      <c r="F89" s="555">
        <f t="shared" si="30"/>
        <v>0</v>
      </c>
      <c r="G89" s="555">
        <f t="shared" si="30"/>
        <v>0</v>
      </c>
      <c r="H89" s="555">
        <f t="shared" si="30"/>
        <v>0</v>
      </c>
      <c r="I89" s="555">
        <f t="shared" si="30"/>
        <v>463.71362399999998</v>
      </c>
      <c r="J89" s="555">
        <f t="shared" si="30"/>
        <v>980.02396580219988</v>
      </c>
      <c r="K89" s="555">
        <f t="shared" si="30"/>
        <v>1125.100180206452</v>
      </c>
      <c r="L89" s="555">
        <f t="shared" si="30"/>
        <v>1162.4872591947124</v>
      </c>
      <c r="M89" s="555">
        <f t="shared" si="30"/>
        <v>1201.1167108177524</v>
      </c>
      <c r="N89" s="555">
        <f t="shared" si="30"/>
        <v>1241.0298191182264</v>
      </c>
      <c r="O89" s="555">
        <f t="shared" si="30"/>
        <v>1282.2692400075246</v>
      </c>
      <c r="P89" s="555">
        <f t="shared" si="30"/>
        <v>1324.8790468529746</v>
      </c>
      <c r="Q89" s="555">
        <f t="shared" si="30"/>
        <v>1368.9047775798992</v>
      </c>
      <c r="R89" s="555">
        <f t="shared" si="30"/>
        <v>1414.3934833388792</v>
      </c>
      <c r="S89" s="555">
        <f t="shared" si="30"/>
        <v>1461.3937787902298</v>
      </c>
      <c r="T89" s="555">
        <f t="shared" si="30"/>
        <v>1509.9558940594293</v>
      </c>
      <c r="U89" s="555">
        <f t="shared" si="30"/>
        <v>1560.1317284190238</v>
      </c>
      <c r="V89" s="555">
        <f t="shared" si="30"/>
        <v>1611.9749057543879</v>
      </c>
      <c r="W89" s="555">
        <f t="shared" si="30"/>
        <v>1665.5408318726056</v>
      </c>
      <c r="X89" s="555">
        <f t="shared" si="30"/>
        <v>1720.8867537157321</v>
      </c>
      <c r="Y89" s="555"/>
      <c r="Z89" s="555"/>
      <c r="AA89" s="555"/>
      <c r="AB89" s="555"/>
      <c r="AC89" s="821"/>
      <c r="AD89" s="555"/>
    </row>
    <row r="90" spans="2:31" x14ac:dyDescent="0.2">
      <c r="C90" s="552" t="s">
        <v>44</v>
      </c>
      <c r="D90" s="555">
        <f t="shared" ref="D90:X90" si="31">D78*D85*0.001</f>
        <v>0</v>
      </c>
      <c r="E90" s="555">
        <f t="shared" si="31"/>
        <v>0</v>
      </c>
      <c r="F90" s="555">
        <f t="shared" si="31"/>
        <v>0</v>
      </c>
      <c r="G90" s="555">
        <f t="shared" si="31"/>
        <v>0</v>
      </c>
      <c r="H90" s="555">
        <f t="shared" si="31"/>
        <v>0</v>
      </c>
      <c r="I90" s="555">
        <f t="shared" si="31"/>
        <v>230.83391429999998</v>
      </c>
      <c r="J90" s="555">
        <f t="shared" si="31"/>
        <v>487.85016532947748</v>
      </c>
      <c r="K90" s="555">
        <f t="shared" si="31"/>
        <v>560.06825147041752</v>
      </c>
      <c r="L90" s="555">
        <f t="shared" si="31"/>
        <v>578.67931946677959</v>
      </c>
      <c r="M90" s="555">
        <f t="shared" si="31"/>
        <v>597.90883325266054</v>
      </c>
      <c r="N90" s="555">
        <f t="shared" si="31"/>
        <v>617.77734378164666</v>
      </c>
      <c r="O90" s="555">
        <f t="shared" si="31"/>
        <v>638.30608491551038</v>
      </c>
      <c r="P90" s="555">
        <f t="shared" si="31"/>
        <v>659.51699611725292</v>
      </c>
      <c r="Q90" s="555">
        <f t="shared" si="31"/>
        <v>681.4327458982292</v>
      </c>
      <c r="R90" s="555">
        <f t="shared" si="31"/>
        <v>704.07675604442727</v>
      </c>
      <c r="S90" s="555">
        <f t="shared" si="31"/>
        <v>727.47322664778346</v>
      </c>
      <c r="T90" s="555">
        <f t="shared" si="31"/>
        <v>751.64716196928919</v>
      </c>
      <c r="U90" s="555">
        <f t="shared" si="31"/>
        <v>776.6243971615288</v>
      </c>
      <c r="V90" s="555">
        <f t="shared" si="31"/>
        <v>802.43162587920631</v>
      </c>
      <c r="W90" s="555">
        <f t="shared" si="31"/>
        <v>829.09642880717206</v>
      </c>
      <c r="X90" s="555">
        <f t="shared" si="31"/>
        <v>856.6473031364344</v>
      </c>
      <c r="Y90" s="555"/>
      <c r="Z90" s="555"/>
      <c r="AA90" s="555"/>
      <c r="AB90" s="555"/>
      <c r="AC90" s="821"/>
      <c r="AD90" s="555"/>
    </row>
    <row r="91" spans="2:31" x14ac:dyDescent="0.2">
      <c r="C91" s="552" t="s">
        <v>45</v>
      </c>
      <c r="D91" s="555">
        <f t="shared" ref="D91:X91" si="32">D79*D86*0.001</f>
        <v>0</v>
      </c>
      <c r="E91" s="555">
        <f t="shared" si="32"/>
        <v>0</v>
      </c>
      <c r="F91" s="555">
        <f t="shared" si="32"/>
        <v>0</v>
      </c>
      <c r="G91" s="555">
        <f t="shared" si="32"/>
        <v>0</v>
      </c>
      <c r="H91" s="555">
        <f t="shared" si="32"/>
        <v>0</v>
      </c>
      <c r="I91" s="555">
        <f t="shared" si="32"/>
        <v>96.395867276417277</v>
      </c>
      <c r="J91" s="555">
        <f t="shared" si="32"/>
        <v>203.72543579866218</v>
      </c>
      <c r="K91" s="555">
        <f t="shared" si="32"/>
        <v>233.88359114472411</v>
      </c>
      <c r="L91" s="555">
        <f t="shared" si="32"/>
        <v>241.65554287846328</v>
      </c>
      <c r="M91" s="555">
        <f t="shared" si="32"/>
        <v>249.68575656831456</v>
      </c>
      <c r="N91" s="555">
        <f t="shared" si="32"/>
        <v>257.9828142590797</v>
      </c>
      <c r="O91" s="555">
        <f t="shared" si="32"/>
        <v>266.55558317690884</v>
      </c>
      <c r="P91" s="555">
        <f t="shared" si="32"/>
        <v>275.41322520587755</v>
      </c>
      <c r="Q91" s="555">
        <f t="shared" si="32"/>
        <v>284.56520667946887</v>
      </c>
      <c r="R91" s="555">
        <f t="shared" si="32"/>
        <v>294.02130849742758</v>
      </c>
      <c r="S91" s="555">
        <f t="shared" si="32"/>
        <v>303.79163657879701</v>
      </c>
      <c r="T91" s="555">
        <f t="shared" si="32"/>
        <v>313.88663266231038</v>
      </c>
      <c r="U91" s="555">
        <f t="shared" si="32"/>
        <v>324.31708546567899</v>
      </c>
      <c r="V91" s="555">
        <f t="shared" si="32"/>
        <v>335.09414221570353</v>
      </c>
      <c r="W91" s="555">
        <f t="shared" si="32"/>
        <v>346.2293205615311</v>
      </c>
      <c r="X91" s="555">
        <f t="shared" si="32"/>
        <v>357.73452088379094</v>
      </c>
      <c r="Y91" s="555"/>
      <c r="Z91" s="555"/>
      <c r="AA91" s="555"/>
      <c r="AB91" s="555"/>
      <c r="AC91" s="821"/>
      <c r="AD91" s="555"/>
    </row>
    <row r="92" spans="2:31" x14ac:dyDescent="0.2">
      <c r="C92" s="551"/>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821"/>
      <c r="AD92" s="555"/>
    </row>
    <row r="93" spans="2:31" x14ac:dyDescent="0.2">
      <c r="C93" s="551" t="s">
        <v>47</v>
      </c>
      <c r="D93" s="553">
        <f t="shared" ref="D93:X93" si="33">SUM(D89:D91)</f>
        <v>0</v>
      </c>
      <c r="E93" s="553">
        <f t="shared" si="33"/>
        <v>0</v>
      </c>
      <c r="F93" s="553">
        <f t="shared" si="33"/>
        <v>0</v>
      </c>
      <c r="G93" s="553">
        <f t="shared" si="33"/>
        <v>0</v>
      </c>
      <c r="H93" s="553">
        <f t="shared" si="33"/>
        <v>0</v>
      </c>
      <c r="I93" s="553">
        <f t="shared" si="33"/>
        <v>790.94340557641726</v>
      </c>
      <c r="J93" s="553">
        <f t="shared" si="33"/>
        <v>1671.5995669303395</v>
      </c>
      <c r="K93" s="553">
        <f t="shared" si="33"/>
        <v>1919.0520228215937</v>
      </c>
      <c r="L93" s="553">
        <f t="shared" si="33"/>
        <v>1982.8221215399553</v>
      </c>
      <c r="M93" s="553">
        <f t="shared" si="33"/>
        <v>2048.7113006387276</v>
      </c>
      <c r="N93" s="553">
        <f t="shared" si="33"/>
        <v>2116.7899771589528</v>
      </c>
      <c r="O93" s="553">
        <f t="shared" si="33"/>
        <v>2187.1309080999436</v>
      </c>
      <c r="P93" s="553">
        <f t="shared" si="33"/>
        <v>2259.809268176105</v>
      </c>
      <c r="Q93" s="553">
        <f t="shared" si="33"/>
        <v>2334.902730157597</v>
      </c>
      <c r="R93" s="553">
        <f t="shared" si="33"/>
        <v>2412.4915478807338</v>
      </c>
      <c r="S93" s="553">
        <f t="shared" si="33"/>
        <v>2492.6586420168101</v>
      </c>
      <c r="T93" s="553">
        <f t="shared" si="33"/>
        <v>2575.4896886910292</v>
      </c>
      <c r="U93" s="553">
        <f t="shared" si="33"/>
        <v>2661.0732110462318</v>
      </c>
      <c r="V93" s="553">
        <f t="shared" si="33"/>
        <v>2749.5006738492975</v>
      </c>
      <c r="W93" s="553">
        <f t="shared" si="33"/>
        <v>2840.8665812413087</v>
      </c>
      <c r="X93" s="553">
        <f t="shared" si="33"/>
        <v>2935.2685777359575</v>
      </c>
      <c r="Y93" s="553"/>
      <c r="Z93" s="553"/>
      <c r="AA93" s="553"/>
      <c r="AB93" s="553"/>
      <c r="AC93" s="814"/>
      <c r="AD93" s="553"/>
    </row>
    <row r="94" spans="2:31" x14ac:dyDescent="0.2">
      <c r="C94" s="551" t="s">
        <v>52</v>
      </c>
      <c r="D94" s="553"/>
      <c r="E94" s="553"/>
      <c r="F94" s="553"/>
      <c r="G94" s="553">
        <f t="shared" ref="G94:X94" si="34">(G93/8.76)/$T69</f>
        <v>0</v>
      </c>
      <c r="H94" s="553">
        <f t="shared" si="34"/>
        <v>0</v>
      </c>
      <c r="I94" s="553">
        <f t="shared" si="34"/>
        <v>160.2122711955281</v>
      </c>
      <c r="J94" s="553">
        <f t="shared" si="34"/>
        <v>338.59661925140898</v>
      </c>
      <c r="K94" s="553">
        <f t="shared" si="34"/>
        <v>388.72020545459247</v>
      </c>
      <c r="L94" s="553">
        <f t="shared" si="34"/>
        <v>401.63737788184858</v>
      </c>
      <c r="M94" s="553">
        <f t="shared" si="34"/>
        <v>414.98378794886236</v>
      </c>
      <c r="N94" s="553">
        <f t="shared" si="34"/>
        <v>428.77369922240308</v>
      </c>
      <c r="O94" s="553">
        <f t="shared" si="34"/>
        <v>443.0218492475633</v>
      </c>
      <c r="P94" s="553">
        <f t="shared" si="34"/>
        <v>457.7434652980599</v>
      </c>
      <c r="Q94" s="553">
        <f t="shared" si="34"/>
        <v>472.95428064991444</v>
      </c>
      <c r="R94" s="553">
        <f t="shared" si="34"/>
        <v>488.67055139591105</v>
      </c>
      <c r="S94" s="553">
        <f t="shared" si="34"/>
        <v>504.90907381879708</v>
      </c>
      <c r="T94" s="553">
        <f t="shared" si="34"/>
        <v>521.6872023417958</v>
      </c>
      <c r="U94" s="553">
        <f t="shared" si="34"/>
        <v>539.02286807561359</v>
      </c>
      <c r="V94" s="553">
        <f t="shared" si="34"/>
        <v>556.93459798176605</v>
      </c>
      <c r="W94" s="553">
        <f t="shared" si="34"/>
        <v>575.44153467270007</v>
      </c>
      <c r="X94" s="553">
        <f t="shared" si="34"/>
        <v>594.56345686987379</v>
      </c>
      <c r="Y94" s="553"/>
      <c r="Z94" s="553"/>
      <c r="AA94" s="553"/>
      <c r="AB94" s="553"/>
      <c r="AC94" s="814"/>
      <c r="AD94" s="553"/>
    </row>
    <row r="95" spans="2:31" x14ac:dyDescent="0.2">
      <c r="C95" s="551" t="s">
        <v>48</v>
      </c>
      <c r="D95" s="553"/>
      <c r="E95" s="553"/>
      <c r="F95" s="553"/>
      <c r="G95" s="555">
        <f t="shared" ref="G95:X95" si="35">IF(G94&lt;$X$69,G93,($X$69/G94)*G93)</f>
        <v>0</v>
      </c>
      <c r="H95" s="555">
        <f t="shared" si="35"/>
        <v>0</v>
      </c>
      <c r="I95" s="555">
        <f t="shared" si="35"/>
        <v>790.94340557641726</v>
      </c>
      <c r="J95" s="555">
        <f t="shared" si="35"/>
        <v>1671.5995669303395</v>
      </c>
      <c r="K95" s="555">
        <f t="shared" si="35"/>
        <v>1919.0520228215937</v>
      </c>
      <c r="L95" s="555">
        <f t="shared" si="35"/>
        <v>1982.8221215399553</v>
      </c>
      <c r="M95" s="555">
        <f t="shared" si="35"/>
        <v>2048.7113006387276</v>
      </c>
      <c r="N95" s="555">
        <f t="shared" si="35"/>
        <v>2116.7899771589528</v>
      </c>
      <c r="O95" s="555">
        <f t="shared" si="35"/>
        <v>2187.1309080999436</v>
      </c>
      <c r="P95" s="555">
        <f t="shared" si="35"/>
        <v>2259.809268176105</v>
      </c>
      <c r="Q95" s="555">
        <f t="shared" si="35"/>
        <v>2334.902730157597</v>
      </c>
      <c r="R95" s="555">
        <f t="shared" si="35"/>
        <v>2412.4915478807338</v>
      </c>
      <c r="S95" s="555">
        <f t="shared" si="35"/>
        <v>2492.6586420168101</v>
      </c>
      <c r="T95" s="555">
        <f t="shared" si="35"/>
        <v>2575.4896886910292</v>
      </c>
      <c r="U95" s="555">
        <f t="shared" si="35"/>
        <v>2661.0732110462318</v>
      </c>
      <c r="V95" s="555">
        <f t="shared" si="35"/>
        <v>2749.5006738492975</v>
      </c>
      <c r="W95" s="555">
        <f t="shared" si="35"/>
        <v>2840.8665812413087</v>
      </c>
      <c r="X95" s="555">
        <f t="shared" si="35"/>
        <v>2935.2685777359575</v>
      </c>
      <c r="Y95" s="555"/>
      <c r="Z95" s="555"/>
      <c r="AA95" s="555"/>
      <c r="AB95" s="555"/>
      <c r="AC95" s="821"/>
      <c r="AD95" s="555"/>
    </row>
    <row r="96" spans="2:31" x14ac:dyDescent="0.2">
      <c r="C96" s="551" t="s">
        <v>95</v>
      </c>
      <c r="D96" s="553"/>
      <c r="E96" s="553"/>
      <c r="F96" s="553"/>
      <c r="G96" s="555"/>
      <c r="H96" s="555">
        <v>0</v>
      </c>
      <c r="I96" s="556">
        <f t="shared" ref="I96:X96" si="36">IF(I94&gt;$X$69,I22,0)</f>
        <v>0</v>
      </c>
      <c r="J96" s="556">
        <f t="shared" si="36"/>
        <v>0</v>
      </c>
      <c r="K96" s="556">
        <f t="shared" si="36"/>
        <v>0</v>
      </c>
      <c r="L96" s="556">
        <f t="shared" si="36"/>
        <v>0</v>
      </c>
      <c r="M96" s="556">
        <f t="shared" si="36"/>
        <v>0</v>
      </c>
      <c r="N96" s="556">
        <f t="shared" si="36"/>
        <v>0</v>
      </c>
      <c r="O96" s="556">
        <f t="shared" si="36"/>
        <v>0</v>
      </c>
      <c r="P96" s="556">
        <f t="shared" si="36"/>
        <v>0</v>
      </c>
      <c r="Q96" s="556">
        <f t="shared" si="36"/>
        <v>0</v>
      </c>
      <c r="R96" s="556">
        <f t="shared" si="36"/>
        <v>0</v>
      </c>
      <c r="S96" s="556">
        <f t="shared" si="36"/>
        <v>0</v>
      </c>
      <c r="T96" s="556">
        <f t="shared" si="36"/>
        <v>0</v>
      </c>
      <c r="U96" s="556">
        <f t="shared" si="36"/>
        <v>0</v>
      </c>
      <c r="V96" s="556">
        <f t="shared" si="36"/>
        <v>0</v>
      </c>
      <c r="W96" s="556">
        <f t="shared" si="36"/>
        <v>0</v>
      </c>
      <c r="X96" s="556">
        <f t="shared" si="36"/>
        <v>0</v>
      </c>
      <c r="Y96" s="556"/>
      <c r="Z96" s="556"/>
      <c r="AA96" s="556"/>
      <c r="AB96" s="556"/>
      <c r="AC96" s="822"/>
      <c r="AD96" s="556"/>
      <c r="AE96" s="819"/>
    </row>
    <row r="97" spans="2:31" x14ac:dyDescent="0.2">
      <c r="B97" s="702"/>
      <c r="C97" s="552" t="s">
        <v>10</v>
      </c>
      <c r="D97" s="553"/>
      <c r="E97" s="553"/>
      <c r="F97" s="553"/>
      <c r="G97" s="553">
        <f>IF(G23=1,(G95/G93)*G89,0)</f>
        <v>0</v>
      </c>
      <c r="H97" s="553">
        <f>IF(H23=1,(H95/H93)*H89,0)</f>
        <v>0</v>
      </c>
      <c r="I97" s="553">
        <f>IF($AB$69=1,(I$95/I$93)*I89,0)</f>
        <v>463.71362399999998</v>
      </c>
      <c r="J97" s="553">
        <f t="shared" ref="J97:X99" si="37">IF($AB$69=1,(J$95/J$93)*J89,0)</f>
        <v>980.02396580219988</v>
      </c>
      <c r="K97" s="553">
        <f t="shared" si="37"/>
        <v>1125.100180206452</v>
      </c>
      <c r="L97" s="553">
        <f t="shared" si="37"/>
        <v>1162.4872591947124</v>
      </c>
      <c r="M97" s="553">
        <f t="shared" si="37"/>
        <v>1201.1167108177524</v>
      </c>
      <c r="N97" s="553">
        <f t="shared" si="37"/>
        <v>1241.0298191182264</v>
      </c>
      <c r="O97" s="553">
        <f t="shared" si="37"/>
        <v>1282.2692400075246</v>
      </c>
      <c r="P97" s="553">
        <f t="shared" si="37"/>
        <v>1324.8790468529746</v>
      </c>
      <c r="Q97" s="553">
        <f t="shared" si="37"/>
        <v>1368.9047775798992</v>
      </c>
      <c r="R97" s="553">
        <f t="shared" si="37"/>
        <v>1414.3934833388792</v>
      </c>
      <c r="S97" s="553">
        <f t="shared" si="37"/>
        <v>1461.3937787902298</v>
      </c>
      <c r="T97" s="553">
        <f t="shared" si="37"/>
        <v>1509.9558940594293</v>
      </c>
      <c r="U97" s="553">
        <f t="shared" si="37"/>
        <v>1560.1317284190238</v>
      </c>
      <c r="V97" s="553">
        <f t="shared" si="37"/>
        <v>1611.9749057543879</v>
      </c>
      <c r="W97" s="553">
        <f t="shared" si="37"/>
        <v>1665.5408318726056</v>
      </c>
      <c r="X97" s="553">
        <f t="shared" si="37"/>
        <v>1720.8867537157321</v>
      </c>
      <c r="Y97" s="553"/>
      <c r="Z97" s="553"/>
      <c r="AA97" s="553"/>
      <c r="AB97" s="553"/>
      <c r="AC97" s="814"/>
      <c r="AD97" s="553"/>
    </row>
    <row r="98" spans="2:31" x14ac:dyDescent="0.2">
      <c r="B98" s="702"/>
      <c r="C98" s="552" t="s">
        <v>44</v>
      </c>
      <c r="D98" s="553"/>
      <c r="E98" s="553"/>
      <c r="F98" s="553"/>
      <c r="G98" s="553">
        <f>IF(G23=1,(G95/G93)*G90,0)</f>
        <v>0</v>
      </c>
      <c r="H98" s="553">
        <f>IF(H23=1,(H95/H93)*H90,0)</f>
        <v>0</v>
      </c>
      <c r="I98" s="553">
        <f t="shared" ref="I98:X99" si="38">IF($AB$69=1,(I$95/I$93)*I90,0)</f>
        <v>230.83391429999998</v>
      </c>
      <c r="J98" s="553">
        <f t="shared" si="38"/>
        <v>487.85016532947748</v>
      </c>
      <c r="K98" s="553">
        <f t="shared" si="38"/>
        <v>560.06825147041752</v>
      </c>
      <c r="L98" s="553">
        <f t="shared" si="38"/>
        <v>578.67931946677959</v>
      </c>
      <c r="M98" s="553">
        <f t="shared" si="38"/>
        <v>597.90883325266054</v>
      </c>
      <c r="N98" s="553">
        <f t="shared" si="38"/>
        <v>617.77734378164666</v>
      </c>
      <c r="O98" s="553">
        <f t="shared" si="38"/>
        <v>638.30608491551038</v>
      </c>
      <c r="P98" s="553">
        <f t="shared" si="38"/>
        <v>659.51699611725292</v>
      </c>
      <c r="Q98" s="553">
        <f t="shared" si="38"/>
        <v>681.4327458982292</v>
      </c>
      <c r="R98" s="553">
        <f t="shared" si="38"/>
        <v>704.07675604442727</v>
      </c>
      <c r="S98" s="553">
        <f t="shared" si="38"/>
        <v>727.47322664778346</v>
      </c>
      <c r="T98" s="553">
        <f t="shared" si="38"/>
        <v>751.64716196928919</v>
      </c>
      <c r="U98" s="553">
        <f t="shared" si="38"/>
        <v>776.6243971615288</v>
      </c>
      <c r="V98" s="553">
        <f t="shared" si="38"/>
        <v>802.43162587920631</v>
      </c>
      <c r="W98" s="553">
        <f t="shared" si="38"/>
        <v>829.09642880717206</v>
      </c>
      <c r="X98" s="553">
        <f t="shared" si="38"/>
        <v>856.6473031364344</v>
      </c>
      <c r="Y98" s="553"/>
      <c r="Z98" s="553"/>
      <c r="AA98" s="553"/>
      <c r="AB98" s="553"/>
      <c r="AC98" s="814"/>
      <c r="AD98" s="553"/>
    </row>
    <row r="99" spans="2:31" x14ac:dyDescent="0.2">
      <c r="B99" s="702"/>
      <c r="C99" s="552" t="s">
        <v>45</v>
      </c>
      <c r="D99" s="553"/>
      <c r="E99" s="553"/>
      <c r="F99" s="553"/>
      <c r="G99" s="553">
        <f>IF(G23=1,(G95/G93)*G91,0)</f>
        <v>0</v>
      </c>
      <c r="H99" s="553">
        <f>IF(H23=1,(H95/H93)*H91,0)</f>
        <v>0</v>
      </c>
      <c r="I99" s="553">
        <f t="shared" si="38"/>
        <v>96.395867276417277</v>
      </c>
      <c r="J99" s="553">
        <f t="shared" si="37"/>
        <v>203.72543579866218</v>
      </c>
      <c r="K99" s="553">
        <f t="shared" si="37"/>
        <v>233.88359114472411</v>
      </c>
      <c r="L99" s="553">
        <f t="shared" si="37"/>
        <v>241.65554287846328</v>
      </c>
      <c r="M99" s="553">
        <f t="shared" si="37"/>
        <v>249.68575656831456</v>
      </c>
      <c r="N99" s="553">
        <f t="shared" si="37"/>
        <v>257.9828142590797</v>
      </c>
      <c r="O99" s="553">
        <f t="shared" si="37"/>
        <v>266.55558317690884</v>
      </c>
      <c r="P99" s="553">
        <f t="shared" si="37"/>
        <v>275.41322520587755</v>
      </c>
      <c r="Q99" s="553">
        <f t="shared" si="37"/>
        <v>284.56520667946887</v>
      </c>
      <c r="R99" s="553">
        <f t="shared" si="37"/>
        <v>294.02130849742758</v>
      </c>
      <c r="S99" s="553">
        <f t="shared" si="37"/>
        <v>303.79163657879701</v>
      </c>
      <c r="T99" s="553">
        <f t="shared" si="37"/>
        <v>313.88663266231038</v>
      </c>
      <c r="U99" s="553">
        <f t="shared" si="37"/>
        <v>324.31708546567899</v>
      </c>
      <c r="V99" s="553">
        <f t="shared" si="37"/>
        <v>335.09414221570353</v>
      </c>
      <c r="W99" s="553">
        <f t="shared" si="37"/>
        <v>346.2293205615311</v>
      </c>
      <c r="X99" s="553">
        <f t="shared" si="37"/>
        <v>357.73452088379094</v>
      </c>
      <c r="Y99" s="553"/>
      <c r="Z99" s="553"/>
      <c r="AA99" s="553"/>
      <c r="AB99" s="553"/>
      <c r="AC99" s="814"/>
      <c r="AD99" s="553"/>
    </row>
    <row r="100" spans="2:31" x14ac:dyDescent="0.2">
      <c r="B100" s="702"/>
      <c r="C100" s="552"/>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823"/>
      <c r="AD100" s="557"/>
    </row>
    <row r="101" spans="2:31" x14ac:dyDescent="0.2">
      <c r="B101" s="702"/>
      <c r="C101" s="536" t="s">
        <v>65</v>
      </c>
      <c r="D101" s="558">
        <f t="shared" ref="D101:X101" si="39">$AB$69*D$95*0.001</f>
        <v>0</v>
      </c>
      <c r="E101" s="558">
        <f t="shared" si="39"/>
        <v>0</v>
      </c>
      <c r="F101" s="558">
        <f t="shared" si="39"/>
        <v>0</v>
      </c>
      <c r="G101" s="558">
        <f t="shared" si="39"/>
        <v>0</v>
      </c>
      <c r="H101" s="558">
        <f t="shared" si="39"/>
        <v>0</v>
      </c>
      <c r="I101" s="558">
        <f t="shared" si="39"/>
        <v>0.79094340557641729</v>
      </c>
      <c r="J101" s="558">
        <f t="shared" si="39"/>
        <v>1.6715995669303396</v>
      </c>
      <c r="K101" s="558">
        <f t="shared" si="39"/>
        <v>1.9190520228215937</v>
      </c>
      <c r="L101" s="558">
        <f t="shared" si="39"/>
        <v>1.9828221215399553</v>
      </c>
      <c r="M101" s="558">
        <f t="shared" si="39"/>
        <v>2.0487113006387276</v>
      </c>
      <c r="N101" s="558">
        <f t="shared" si="39"/>
        <v>2.1167899771589527</v>
      </c>
      <c r="O101" s="558">
        <f t="shared" si="39"/>
        <v>2.1871309080999435</v>
      </c>
      <c r="P101" s="558">
        <f t="shared" si="39"/>
        <v>2.2598092681761051</v>
      </c>
      <c r="Q101" s="558">
        <f t="shared" si="39"/>
        <v>2.3349027301575971</v>
      </c>
      <c r="R101" s="558">
        <f t="shared" si="39"/>
        <v>2.4124915478807338</v>
      </c>
      <c r="S101" s="558">
        <f t="shared" si="39"/>
        <v>2.49265864201681</v>
      </c>
      <c r="T101" s="558">
        <f t="shared" si="39"/>
        <v>2.5754896886910292</v>
      </c>
      <c r="U101" s="558">
        <f t="shared" si="39"/>
        <v>2.6610732110462321</v>
      </c>
      <c r="V101" s="558">
        <f t="shared" si="39"/>
        <v>2.7495006738492975</v>
      </c>
      <c r="W101" s="558">
        <f t="shared" si="39"/>
        <v>2.840866581241309</v>
      </c>
      <c r="X101" s="558">
        <f t="shared" si="39"/>
        <v>2.9352685777359575</v>
      </c>
      <c r="Y101" s="558"/>
      <c r="Z101" s="558"/>
      <c r="AA101" s="558"/>
      <c r="AB101" s="558"/>
      <c r="AC101" s="808"/>
      <c r="AD101" s="558"/>
    </row>
    <row r="102" spans="2:31" ht="13.5" thickBot="1" x14ac:dyDescent="0.25">
      <c r="C102" s="540"/>
      <c r="D102" s="724"/>
      <c r="E102" s="724"/>
      <c r="F102" s="724"/>
      <c r="G102" s="724"/>
      <c r="H102" s="749"/>
      <c r="I102" s="749" t="str">
        <f>IF(I96=0," ",I96)</f>
        <v xml:space="preserve"> </v>
      </c>
      <c r="J102" s="749" t="str">
        <f t="shared" ref="J102:X102" si="40">IF(J96=0," ",J96)</f>
        <v xml:space="preserve"> </v>
      </c>
      <c r="K102" s="749" t="str">
        <f t="shared" si="40"/>
        <v xml:space="preserve"> </v>
      </c>
      <c r="L102" s="749" t="str">
        <f t="shared" si="40"/>
        <v xml:space="preserve"> </v>
      </c>
      <c r="M102" s="749" t="str">
        <f t="shared" si="40"/>
        <v xml:space="preserve"> </v>
      </c>
      <c r="N102" s="749" t="str">
        <f t="shared" si="40"/>
        <v xml:space="preserve"> </v>
      </c>
      <c r="O102" s="749" t="str">
        <f t="shared" si="40"/>
        <v xml:space="preserve"> </v>
      </c>
      <c r="P102" s="749" t="str">
        <f t="shared" si="40"/>
        <v xml:space="preserve"> </v>
      </c>
      <c r="Q102" s="749" t="str">
        <f t="shared" si="40"/>
        <v xml:space="preserve"> </v>
      </c>
      <c r="R102" s="749" t="str">
        <f t="shared" si="40"/>
        <v xml:space="preserve"> </v>
      </c>
      <c r="S102" s="749" t="str">
        <f t="shared" si="40"/>
        <v xml:space="preserve"> </v>
      </c>
      <c r="T102" s="749" t="str">
        <f t="shared" si="40"/>
        <v xml:space="preserve"> </v>
      </c>
      <c r="U102" s="749" t="str">
        <f t="shared" si="40"/>
        <v xml:space="preserve"> </v>
      </c>
      <c r="V102" s="749" t="str">
        <f t="shared" si="40"/>
        <v xml:space="preserve"> </v>
      </c>
      <c r="W102" s="749" t="str">
        <f t="shared" si="40"/>
        <v xml:space="preserve"> </v>
      </c>
      <c r="X102" s="749" t="str">
        <f t="shared" si="40"/>
        <v xml:space="preserve"> </v>
      </c>
      <c r="Y102" s="749"/>
      <c r="Z102" s="749"/>
      <c r="AA102" s="749"/>
      <c r="AB102" s="749"/>
      <c r="AC102" s="824"/>
      <c r="AD102" s="246"/>
    </row>
    <row r="103" spans="2:31" ht="13.5" thickBot="1" x14ac:dyDescent="0.25">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row>
    <row r="104" spans="2:31" x14ac:dyDescent="0.2">
      <c r="C104" s="531"/>
      <c r="D104" s="752">
        <f>IF(D113=$D111,1,0)</f>
        <v>0</v>
      </c>
      <c r="E104" s="752">
        <f>IF(E113=$D111,1,0)</f>
        <v>0</v>
      </c>
      <c r="F104" s="752">
        <f>IF(F113=$D111,1,0)</f>
        <v>0</v>
      </c>
      <c r="G104" s="752" t="s">
        <v>140</v>
      </c>
      <c r="H104" s="754" t="str">
        <f t="shared" ref="H104:X104" si="41">IF(H113=$D111,H22," ")</f>
        <v xml:space="preserve"> </v>
      </c>
      <c r="I104" s="754" t="str">
        <f t="shared" si="41"/>
        <v xml:space="preserve"> </v>
      </c>
      <c r="J104" s="754" t="str">
        <f t="shared" si="41"/>
        <v xml:space="preserve"> </v>
      </c>
      <c r="K104" s="754" t="str">
        <f t="shared" si="41"/>
        <v xml:space="preserve"> </v>
      </c>
      <c r="L104" s="754" t="str">
        <f t="shared" si="41"/>
        <v xml:space="preserve"> </v>
      </c>
      <c r="M104" s="754" t="str">
        <f t="shared" si="41"/>
        <v xml:space="preserve"> </v>
      </c>
      <c r="N104" s="754" t="str">
        <f t="shared" si="41"/>
        <v xml:space="preserve"> </v>
      </c>
      <c r="O104" s="754" t="str">
        <f t="shared" si="41"/>
        <v xml:space="preserve"> </v>
      </c>
      <c r="P104" s="754" t="str">
        <f t="shared" si="41"/>
        <v xml:space="preserve"> </v>
      </c>
      <c r="Q104" s="755" t="str">
        <f t="shared" si="41"/>
        <v xml:space="preserve"> </v>
      </c>
      <c r="R104" s="755" t="str">
        <f t="shared" si="41"/>
        <v xml:space="preserve"> </v>
      </c>
      <c r="S104" s="755" t="str">
        <f t="shared" si="41"/>
        <v xml:space="preserve"> </v>
      </c>
      <c r="T104" s="755" t="str">
        <f t="shared" si="41"/>
        <v xml:space="preserve"> </v>
      </c>
      <c r="U104" s="755" t="str">
        <f t="shared" si="41"/>
        <v xml:space="preserve"> </v>
      </c>
      <c r="V104" s="755" t="str">
        <f t="shared" si="41"/>
        <v xml:space="preserve"> </v>
      </c>
      <c r="W104" s="755" t="str">
        <f t="shared" si="41"/>
        <v xml:space="preserve"> </v>
      </c>
      <c r="X104" s="755" t="str">
        <f t="shared" si="41"/>
        <v xml:space="preserve"> </v>
      </c>
      <c r="Y104" s="829"/>
      <c r="Z104" s="556"/>
      <c r="AA104" s="556"/>
      <c r="AB104" s="556"/>
      <c r="AC104" s="556"/>
      <c r="AD104" s="556"/>
      <c r="AE104" s="819"/>
    </row>
    <row r="105" spans="2:31" s="543" customFormat="1"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31" s="240" customFormat="1" x14ac:dyDescent="0.2">
      <c r="C106" s="548"/>
      <c r="D106" s="111">
        <f>D125</f>
        <v>2008</v>
      </c>
      <c r="E106" s="111">
        <f t="shared" ref="E106:X106" si="42">E125</f>
        <v>2009</v>
      </c>
      <c r="F106" s="111">
        <f t="shared" si="42"/>
        <v>2010</v>
      </c>
      <c r="G106" s="111">
        <f t="shared" si="42"/>
        <v>2011</v>
      </c>
      <c r="H106" s="111">
        <f t="shared" si="42"/>
        <v>2012</v>
      </c>
      <c r="I106" s="111">
        <f t="shared" si="42"/>
        <v>2013</v>
      </c>
      <c r="J106" s="111">
        <f t="shared" si="42"/>
        <v>2014</v>
      </c>
      <c r="K106" s="111">
        <f t="shared" si="42"/>
        <v>2015</v>
      </c>
      <c r="L106" s="111">
        <f t="shared" si="42"/>
        <v>2016</v>
      </c>
      <c r="M106" s="111">
        <f t="shared" si="42"/>
        <v>2017</v>
      </c>
      <c r="N106" s="111">
        <f t="shared" si="42"/>
        <v>2018</v>
      </c>
      <c r="O106" s="111">
        <f t="shared" si="42"/>
        <v>2019</v>
      </c>
      <c r="P106" s="111">
        <f t="shared" si="42"/>
        <v>2020</v>
      </c>
      <c r="Q106" s="111">
        <f t="shared" si="42"/>
        <v>2021</v>
      </c>
      <c r="R106" s="111">
        <f t="shared" si="42"/>
        <v>2022</v>
      </c>
      <c r="S106" s="111">
        <f t="shared" si="42"/>
        <v>2023</v>
      </c>
      <c r="T106" s="111">
        <f t="shared" si="42"/>
        <v>2024</v>
      </c>
      <c r="U106" s="111">
        <f t="shared" si="42"/>
        <v>2025</v>
      </c>
      <c r="V106" s="111">
        <f t="shared" si="42"/>
        <v>2026</v>
      </c>
      <c r="W106" s="111">
        <f t="shared" si="42"/>
        <v>2027</v>
      </c>
      <c r="X106" s="111">
        <f t="shared" si="42"/>
        <v>2028</v>
      </c>
      <c r="Y106" s="550"/>
      <c r="Z106" s="111"/>
      <c r="AA106" s="111"/>
      <c r="AB106" s="111"/>
      <c r="AC106" s="550"/>
    </row>
    <row r="107" spans="2:31" x14ac:dyDescent="0.2">
      <c r="C107" s="548"/>
      <c r="G107" s="557"/>
      <c r="H107" s="557"/>
      <c r="I107" s="557"/>
      <c r="J107" s="557"/>
      <c r="K107" s="557"/>
      <c r="L107" s="557"/>
      <c r="M107" s="557"/>
      <c r="N107" s="557"/>
      <c r="O107" s="557"/>
      <c r="P107" s="557"/>
      <c r="Q107" s="557"/>
      <c r="R107" s="557"/>
      <c r="S107" s="557"/>
      <c r="T107" s="557"/>
      <c r="U107" s="557"/>
      <c r="V107" s="557"/>
      <c r="W107" s="557"/>
      <c r="X107" s="557"/>
      <c r="Y107" s="823"/>
      <c r="Z107" s="557"/>
      <c r="AA107" s="557"/>
      <c r="AB107" s="557"/>
      <c r="AC107" s="557"/>
      <c r="AD107" s="557"/>
    </row>
    <row r="108" spans="2:31" x14ac:dyDescent="0.2">
      <c r="C108" s="721" t="s">
        <v>67</v>
      </c>
      <c r="D108" s="810">
        <v>15</v>
      </c>
      <c r="E108" s="710">
        <f t="shared" ref="E108:X108" si="43">IF(E$23=1,$D108*$AC69,0)</f>
        <v>0</v>
      </c>
      <c r="F108" s="710">
        <f t="shared" si="43"/>
        <v>0</v>
      </c>
      <c r="G108" s="710">
        <f t="shared" si="43"/>
        <v>0</v>
      </c>
      <c r="H108" s="710">
        <f t="shared" si="43"/>
        <v>0</v>
      </c>
      <c r="I108" s="710">
        <f t="shared" si="43"/>
        <v>15</v>
      </c>
      <c r="J108" s="710">
        <f t="shared" si="43"/>
        <v>15</v>
      </c>
      <c r="K108" s="710">
        <f t="shared" si="43"/>
        <v>15</v>
      </c>
      <c r="L108" s="710">
        <f t="shared" si="43"/>
        <v>15</v>
      </c>
      <c r="M108" s="710">
        <f t="shared" si="43"/>
        <v>15</v>
      </c>
      <c r="N108" s="710">
        <f t="shared" si="43"/>
        <v>15</v>
      </c>
      <c r="O108" s="710">
        <f t="shared" si="43"/>
        <v>15</v>
      </c>
      <c r="P108" s="710">
        <f t="shared" si="43"/>
        <v>15</v>
      </c>
      <c r="Q108" s="710">
        <f t="shared" si="43"/>
        <v>15</v>
      </c>
      <c r="R108" s="710">
        <f t="shared" si="43"/>
        <v>15</v>
      </c>
      <c r="S108" s="710">
        <f t="shared" si="43"/>
        <v>15</v>
      </c>
      <c r="T108" s="710">
        <f t="shared" si="43"/>
        <v>15</v>
      </c>
      <c r="U108" s="710">
        <f t="shared" si="43"/>
        <v>15</v>
      </c>
      <c r="V108" s="710">
        <f t="shared" si="43"/>
        <v>15</v>
      </c>
      <c r="W108" s="710">
        <f t="shared" si="43"/>
        <v>15</v>
      </c>
      <c r="X108" s="710">
        <f t="shared" si="43"/>
        <v>15</v>
      </c>
      <c r="Y108" s="696"/>
      <c r="Z108" s="710"/>
      <c r="AA108" s="710"/>
      <c r="AB108" s="710"/>
      <c r="AC108" s="710"/>
      <c r="AD108" s="710"/>
    </row>
    <row r="109" spans="2:31" x14ac:dyDescent="0.2">
      <c r="B109" s="543">
        <f>B152</f>
        <v>1</v>
      </c>
      <c r="C109" s="721" t="s">
        <v>69</v>
      </c>
      <c r="D109" s="722">
        <f>D108*0.85*Assumptions!C57*8.76*$AC69</f>
        <v>61.429499999999997</v>
      </c>
      <c r="E109" s="722">
        <f>D109</f>
        <v>61.429499999999997</v>
      </c>
      <c r="F109" s="722">
        <f t="shared" ref="F109:X109" si="44">E109</f>
        <v>61.429499999999997</v>
      </c>
      <c r="G109" s="722">
        <f t="shared" si="44"/>
        <v>61.429499999999997</v>
      </c>
      <c r="H109" s="722">
        <f t="shared" si="44"/>
        <v>61.429499999999997</v>
      </c>
      <c r="I109" s="722">
        <f t="shared" si="44"/>
        <v>61.429499999999997</v>
      </c>
      <c r="J109" s="722">
        <f t="shared" si="44"/>
        <v>61.429499999999997</v>
      </c>
      <c r="K109" s="722">
        <f t="shared" si="44"/>
        <v>61.429499999999997</v>
      </c>
      <c r="L109" s="722">
        <f t="shared" si="44"/>
        <v>61.429499999999997</v>
      </c>
      <c r="M109" s="722">
        <f t="shared" si="44"/>
        <v>61.429499999999997</v>
      </c>
      <c r="N109" s="722">
        <f t="shared" si="44"/>
        <v>61.429499999999997</v>
      </c>
      <c r="O109" s="722">
        <f t="shared" si="44"/>
        <v>61.429499999999997</v>
      </c>
      <c r="P109" s="722">
        <f t="shared" si="44"/>
        <v>61.429499999999997</v>
      </c>
      <c r="Q109" s="722">
        <f t="shared" si="44"/>
        <v>61.429499999999997</v>
      </c>
      <c r="R109" s="722">
        <f t="shared" si="44"/>
        <v>61.429499999999997</v>
      </c>
      <c r="S109" s="722">
        <f t="shared" si="44"/>
        <v>61.429499999999997</v>
      </c>
      <c r="T109" s="722">
        <f t="shared" si="44"/>
        <v>61.429499999999997</v>
      </c>
      <c r="U109" s="722">
        <f t="shared" si="44"/>
        <v>61.429499999999997</v>
      </c>
      <c r="V109" s="722">
        <f t="shared" si="44"/>
        <v>61.429499999999997</v>
      </c>
      <c r="W109" s="722">
        <f t="shared" si="44"/>
        <v>61.429499999999997</v>
      </c>
      <c r="X109" s="722">
        <f t="shared" si="44"/>
        <v>61.429499999999997</v>
      </c>
      <c r="Y109" s="825"/>
      <c r="Z109" s="722"/>
      <c r="AA109" s="722"/>
      <c r="AB109" s="722"/>
      <c r="AC109" s="722"/>
      <c r="AD109" s="722"/>
    </row>
    <row r="110" spans="2:31" x14ac:dyDescent="0.2">
      <c r="B110" s="543">
        <f>B153</f>
        <v>2</v>
      </c>
      <c r="C110" s="721" t="s">
        <v>68</v>
      </c>
      <c r="D110" s="810">
        <v>25</v>
      </c>
      <c r="E110" s="710">
        <f t="shared" ref="E110:X110" si="45">IF(E$23=1,$D110,0)</f>
        <v>0</v>
      </c>
      <c r="F110" s="710">
        <f t="shared" si="45"/>
        <v>0</v>
      </c>
      <c r="G110" s="710">
        <f t="shared" si="45"/>
        <v>0</v>
      </c>
      <c r="H110" s="710">
        <f t="shared" si="45"/>
        <v>0</v>
      </c>
      <c r="I110" s="710">
        <f t="shared" si="45"/>
        <v>25</v>
      </c>
      <c r="J110" s="710">
        <f t="shared" si="45"/>
        <v>25</v>
      </c>
      <c r="K110" s="710">
        <f t="shared" si="45"/>
        <v>25</v>
      </c>
      <c r="L110" s="710">
        <f t="shared" si="45"/>
        <v>25</v>
      </c>
      <c r="M110" s="710">
        <f t="shared" si="45"/>
        <v>25</v>
      </c>
      <c r="N110" s="710">
        <f t="shared" si="45"/>
        <v>25</v>
      </c>
      <c r="O110" s="710">
        <f t="shared" si="45"/>
        <v>25</v>
      </c>
      <c r="P110" s="710">
        <f t="shared" si="45"/>
        <v>25</v>
      </c>
      <c r="Q110" s="710">
        <f t="shared" si="45"/>
        <v>25</v>
      </c>
      <c r="R110" s="710">
        <f t="shared" si="45"/>
        <v>25</v>
      </c>
      <c r="S110" s="710">
        <f t="shared" si="45"/>
        <v>25</v>
      </c>
      <c r="T110" s="710">
        <f t="shared" si="45"/>
        <v>25</v>
      </c>
      <c r="U110" s="710">
        <f t="shared" si="45"/>
        <v>25</v>
      </c>
      <c r="V110" s="710">
        <f t="shared" si="45"/>
        <v>25</v>
      </c>
      <c r="W110" s="710">
        <f t="shared" si="45"/>
        <v>25</v>
      </c>
      <c r="X110" s="710">
        <f t="shared" si="45"/>
        <v>25</v>
      </c>
      <c r="Y110" s="696"/>
      <c r="Z110" s="710"/>
      <c r="AA110" s="710"/>
      <c r="AB110" s="710"/>
      <c r="AC110" s="710"/>
      <c r="AD110" s="710"/>
    </row>
    <row r="111" spans="2:31" x14ac:dyDescent="0.2">
      <c r="B111" s="543">
        <f>B154</f>
        <v>3</v>
      </c>
      <c r="C111" s="721" t="s">
        <v>72</v>
      </c>
      <c r="D111" s="722">
        <f>(D110*0.58*8760*0.001)+D109</f>
        <v>188.44949999999997</v>
      </c>
      <c r="E111" s="710"/>
      <c r="F111" s="710"/>
      <c r="G111" s="710"/>
      <c r="H111" s="710"/>
      <c r="I111" s="710"/>
      <c r="J111" s="710"/>
      <c r="K111" s="710"/>
      <c r="L111" s="710"/>
      <c r="M111" s="710"/>
      <c r="N111" s="710"/>
      <c r="O111" s="710"/>
      <c r="P111" s="710"/>
      <c r="Q111" s="710"/>
      <c r="R111" s="710"/>
      <c r="S111" s="710"/>
      <c r="T111" s="710"/>
      <c r="U111" s="710"/>
      <c r="V111" s="710"/>
      <c r="W111" s="710"/>
      <c r="X111" s="710"/>
      <c r="Y111" s="696"/>
      <c r="Z111" s="710"/>
      <c r="AA111" s="710"/>
      <c r="AB111" s="710"/>
      <c r="AC111" s="710"/>
      <c r="AD111" s="710"/>
    </row>
    <row r="112" spans="2:31" x14ac:dyDescent="0.2">
      <c r="B112" s="543"/>
      <c r="C112" s="721" t="s">
        <v>33</v>
      </c>
      <c r="D112" s="710"/>
      <c r="E112" s="710"/>
      <c r="F112" s="710"/>
      <c r="G112" s="710"/>
      <c r="H112" s="538">
        <f>IF(AC69=1,Assumptions!F38,0)</f>
        <v>63013</v>
      </c>
      <c r="I112" s="538">
        <f>IF(I104=" ",H112*(1+Assumptions!$C$56),H112)</f>
        <v>64462.298999999992</v>
      </c>
      <c r="J112" s="538">
        <f>IF(J104=" ",I112*(1+Assumptions!$C$56),I112)</f>
        <v>65944.931876999981</v>
      </c>
      <c r="K112" s="538">
        <f>IF(K104=" ",J112*(1+Assumptions!$C$56),J112)</f>
        <v>67461.665310170982</v>
      </c>
      <c r="L112" s="538">
        <f>IF(L104=" ",K112*(1+Assumptions!$C$56),K112)</f>
        <v>69013.283612304906</v>
      </c>
      <c r="M112" s="538">
        <f>IF(M104=" ",L112*(1+Assumptions!$C$56),L112)</f>
        <v>70600.589135387912</v>
      </c>
      <c r="N112" s="538">
        <f>IF(N104=" ",M112*(1+Assumptions!$C$56),M112)</f>
        <v>72224.402685501831</v>
      </c>
      <c r="O112" s="538">
        <f>IF(O104=" ",N112*(1+Assumptions!$C$56),N112)</f>
        <v>73885.563947268369</v>
      </c>
      <c r="P112" s="538">
        <f>IF(P104=" ",O112*(1+Assumptions!$C$56),O112)</f>
        <v>75584.931918055532</v>
      </c>
      <c r="Q112" s="538">
        <f>IF(Q104=" ",P112*(1+Assumptions!$C$56),P112)</f>
        <v>77323.385352170808</v>
      </c>
      <c r="R112" s="538">
        <f>IF(R104=" ",Q112*(1+Assumptions!$C$56),Q112)</f>
        <v>79101.823215270735</v>
      </c>
      <c r="S112" s="538">
        <f>IF(S104=" ",R112*(1+Assumptions!$C$56),R112)</f>
        <v>80921.165149221953</v>
      </c>
      <c r="T112" s="538">
        <f>IF(T104=" ",S112*(1+Assumptions!$C$56),S112)</f>
        <v>82782.351947654053</v>
      </c>
      <c r="U112" s="538">
        <f>IF(U104=" ",T112*(1+Assumptions!$C$56),T112)</f>
        <v>84686.346042450095</v>
      </c>
      <c r="V112" s="538">
        <f>IF(V104=" ",U112*(1+Assumptions!$C$56),U112)</f>
        <v>86634.132001426435</v>
      </c>
      <c r="W112" s="538">
        <f>IF(W104=" ",V112*(1+Assumptions!$C$56),V112)</f>
        <v>88626.717037459239</v>
      </c>
      <c r="X112" s="538">
        <f>IF(X104=" ",W112*(1+Assumptions!$C$56),W112)</f>
        <v>90665.131529320788</v>
      </c>
      <c r="Y112" s="826"/>
      <c r="Z112" s="538"/>
      <c r="AA112" s="538"/>
      <c r="AB112" s="538"/>
      <c r="AC112" s="538"/>
      <c r="AD112" s="538"/>
    </row>
    <row r="113" spans="2:31" x14ac:dyDescent="0.2">
      <c r="B113" s="543">
        <f>B155</f>
        <v>4</v>
      </c>
      <c r="C113" s="721" t="s">
        <v>96</v>
      </c>
      <c r="D113" s="722">
        <f>D110*Assumptions!C57*8760*0.001</f>
        <v>120.45000000000002</v>
      </c>
      <c r="E113" s="722">
        <f t="shared" ref="E113:X113" si="46">IF(E$23=0,D113,MIN((D113*(1+ss_growth)),$D111))</f>
        <v>120.45000000000002</v>
      </c>
      <c r="F113" s="722">
        <f t="shared" si="46"/>
        <v>120.45000000000002</v>
      </c>
      <c r="G113" s="722">
        <f t="shared" si="46"/>
        <v>120.45000000000002</v>
      </c>
      <c r="H113" s="722">
        <f t="shared" si="46"/>
        <v>120.45000000000002</v>
      </c>
      <c r="I113" s="722">
        <f t="shared" si="46"/>
        <v>121.65450000000001</v>
      </c>
      <c r="J113" s="722">
        <f t="shared" si="46"/>
        <v>122.87104500000001</v>
      </c>
      <c r="K113" s="722">
        <f t="shared" si="46"/>
        <v>124.09975545</v>
      </c>
      <c r="L113" s="722">
        <f t="shared" si="46"/>
        <v>125.3407530045</v>
      </c>
      <c r="M113" s="722">
        <f t="shared" si="46"/>
        <v>126.594160534545</v>
      </c>
      <c r="N113" s="722">
        <f t="shared" si="46"/>
        <v>127.86010213989044</v>
      </c>
      <c r="O113" s="722">
        <f t="shared" si="46"/>
        <v>129.13870316128936</v>
      </c>
      <c r="P113" s="722">
        <f t="shared" si="46"/>
        <v>130.43009019290224</v>
      </c>
      <c r="Q113" s="722">
        <f t="shared" si="46"/>
        <v>131.73439109483127</v>
      </c>
      <c r="R113" s="722">
        <f t="shared" si="46"/>
        <v>133.05173500577959</v>
      </c>
      <c r="S113" s="722">
        <f t="shared" si="46"/>
        <v>134.38225235583738</v>
      </c>
      <c r="T113" s="722">
        <f t="shared" si="46"/>
        <v>135.72607487939575</v>
      </c>
      <c r="U113" s="722">
        <f t="shared" si="46"/>
        <v>137.0833356281897</v>
      </c>
      <c r="V113" s="722">
        <f t="shared" si="46"/>
        <v>138.45416898447161</v>
      </c>
      <c r="W113" s="722">
        <f t="shared" si="46"/>
        <v>139.83871067431633</v>
      </c>
      <c r="X113" s="722">
        <f t="shared" si="46"/>
        <v>141.2370977810595</v>
      </c>
      <c r="Y113" s="825"/>
      <c r="Z113" s="722"/>
      <c r="AA113" s="722"/>
      <c r="AB113" s="722"/>
      <c r="AC113" s="722"/>
      <c r="AD113" s="722"/>
    </row>
    <row r="114" spans="2:31" x14ac:dyDescent="0.2">
      <c r="B114" s="543"/>
      <c r="C114" s="721" t="s">
        <v>66</v>
      </c>
      <c r="D114" s="710">
        <v>0</v>
      </c>
      <c r="E114" s="710">
        <f t="shared" ref="E114:X114" si="47">E113-$D113</f>
        <v>0</v>
      </c>
      <c r="F114" s="710">
        <f t="shared" si="47"/>
        <v>0</v>
      </c>
      <c r="G114" s="710">
        <f t="shared" si="47"/>
        <v>0</v>
      </c>
      <c r="H114" s="710">
        <f t="shared" si="47"/>
        <v>0</v>
      </c>
      <c r="I114" s="710">
        <f t="shared" si="47"/>
        <v>1.2044999999999959</v>
      </c>
      <c r="J114" s="710">
        <f t="shared" si="47"/>
        <v>2.4210449999999923</v>
      </c>
      <c r="K114" s="710">
        <f t="shared" si="47"/>
        <v>3.6497554499999865</v>
      </c>
      <c r="L114" s="710">
        <f t="shared" si="47"/>
        <v>4.8907530044999845</v>
      </c>
      <c r="M114" s="710">
        <f t="shared" si="47"/>
        <v>6.1441605345449801</v>
      </c>
      <c r="N114" s="710">
        <f t="shared" si="47"/>
        <v>7.4101021398904265</v>
      </c>
      <c r="O114" s="710">
        <f t="shared" si="47"/>
        <v>8.6887031612893395</v>
      </c>
      <c r="P114" s="710">
        <f t="shared" si="47"/>
        <v>9.9800901929022245</v>
      </c>
      <c r="Q114" s="710">
        <f t="shared" si="47"/>
        <v>11.28439109483125</v>
      </c>
      <c r="R114" s="710">
        <f t="shared" si="47"/>
        <v>12.601735005779574</v>
      </c>
      <c r="S114" s="710">
        <f t="shared" si="47"/>
        <v>13.932252355837363</v>
      </c>
      <c r="T114" s="710">
        <f t="shared" si="47"/>
        <v>15.276074879395736</v>
      </c>
      <c r="U114" s="710">
        <f t="shared" si="47"/>
        <v>16.633335628189684</v>
      </c>
      <c r="V114" s="710">
        <f t="shared" si="47"/>
        <v>18.00416898447159</v>
      </c>
      <c r="W114" s="710">
        <f t="shared" si="47"/>
        <v>19.388710674316314</v>
      </c>
      <c r="X114" s="710">
        <f t="shared" si="47"/>
        <v>20.787097781059487</v>
      </c>
      <c r="Y114" s="696"/>
      <c r="Z114" s="710"/>
      <c r="AA114" s="710"/>
      <c r="AB114" s="710"/>
      <c r="AC114" s="710"/>
      <c r="AD114" s="710"/>
    </row>
    <row r="115" spans="2:31" x14ac:dyDescent="0.2">
      <c r="B115" s="543">
        <f>B156</f>
        <v>5</v>
      </c>
      <c r="C115" s="721" t="s">
        <v>80</v>
      </c>
      <c r="D115" s="710">
        <f>SUM(D114:D114)-(SUM(D114:D114)*(1-D51))</f>
        <v>0</v>
      </c>
      <c r="E115" s="710">
        <f>IF(E23=0,0,SUM(E114:E114))</f>
        <v>0</v>
      </c>
      <c r="F115" s="710">
        <f t="shared" ref="F115:X115" si="48">IF(F23=0,0,((SUM(F114:F114)*(1-F51))))</f>
        <v>0</v>
      </c>
      <c r="G115" s="710">
        <f t="shared" si="48"/>
        <v>0</v>
      </c>
      <c r="H115" s="710">
        <f t="shared" si="48"/>
        <v>0</v>
      </c>
      <c r="I115" s="710">
        <f t="shared" si="48"/>
        <v>1.2044999999999959</v>
      </c>
      <c r="J115" s="710">
        <f t="shared" si="48"/>
        <v>2.4210449999999923</v>
      </c>
      <c r="K115" s="710">
        <f t="shared" si="48"/>
        <v>3.6497554499999865</v>
      </c>
      <c r="L115" s="710">
        <f t="shared" si="48"/>
        <v>4.8907530044999845</v>
      </c>
      <c r="M115" s="710">
        <f t="shared" si="48"/>
        <v>6.1441605345449801</v>
      </c>
      <c r="N115" s="710">
        <f t="shared" si="48"/>
        <v>7.4101021398904265</v>
      </c>
      <c r="O115" s="710">
        <f t="shared" si="48"/>
        <v>8.6887031612893395</v>
      </c>
      <c r="P115" s="710">
        <f t="shared" si="48"/>
        <v>9.9800901929022245</v>
      </c>
      <c r="Q115" s="710">
        <f t="shared" si="48"/>
        <v>11.28439109483125</v>
      </c>
      <c r="R115" s="710">
        <f t="shared" si="48"/>
        <v>12.601735005779574</v>
      </c>
      <c r="S115" s="710">
        <f t="shared" si="48"/>
        <v>13.932252355837363</v>
      </c>
      <c r="T115" s="710">
        <f t="shared" si="48"/>
        <v>15.276074879395736</v>
      </c>
      <c r="U115" s="710">
        <f t="shared" si="48"/>
        <v>16.633335628189684</v>
      </c>
      <c r="V115" s="710">
        <f t="shared" si="48"/>
        <v>18.00416898447159</v>
      </c>
      <c r="W115" s="710">
        <f t="shared" si="48"/>
        <v>19.388710674316314</v>
      </c>
      <c r="X115" s="710">
        <f t="shared" si="48"/>
        <v>20.787097781059487</v>
      </c>
      <c r="Y115" s="696"/>
      <c r="Z115" s="710"/>
      <c r="AA115" s="710"/>
      <c r="AB115" s="710"/>
      <c r="AC115" s="710"/>
      <c r="AD115" s="710"/>
    </row>
    <row r="116" spans="2:31" x14ac:dyDescent="0.2">
      <c r="C116" s="552" t="s">
        <v>558</v>
      </c>
      <c r="D116" s="710">
        <f>D115*Assumptions!$C$75</f>
        <v>0</v>
      </c>
      <c r="E116" s="710">
        <f>E115*Assumptions!$C$75</f>
        <v>0</v>
      </c>
      <c r="F116" s="710">
        <f>F115*Assumptions!$C$75</f>
        <v>0</v>
      </c>
      <c r="G116" s="710">
        <f>G115*Assumptions!$C$75</f>
        <v>0</v>
      </c>
      <c r="H116" s="710">
        <f>H115*Assumptions!$C$75</f>
        <v>0</v>
      </c>
      <c r="I116" s="710">
        <f>I115*Assumptions!$C$75</f>
        <v>1.4453999999999951E-2</v>
      </c>
      <c r="J116" s="710">
        <f>J115*Assumptions!$C$75</f>
        <v>2.9052539999999908E-2</v>
      </c>
      <c r="K116" s="710">
        <f>K115*Assumptions!$C$75</f>
        <v>4.3797065399999842E-2</v>
      </c>
      <c r="L116" s="710">
        <f>L115*Assumptions!$C$75</f>
        <v>5.8689036053999818E-2</v>
      </c>
      <c r="M116" s="710">
        <f>M115*Assumptions!$C$75</f>
        <v>7.3729926414539765E-2</v>
      </c>
      <c r="N116" s="710">
        <f>N115*Assumptions!$C$75</f>
        <v>8.8921225678685115E-2</v>
      </c>
      <c r="O116" s="710">
        <f>O115*Assumptions!$C$75</f>
        <v>0.10426443793547208</v>
      </c>
      <c r="P116" s="710">
        <f>P115*Assumptions!$C$75</f>
        <v>0.1197610823148267</v>
      </c>
      <c r="Q116" s="710">
        <f>Q115*Assumptions!$C$75</f>
        <v>0.13541269313797499</v>
      </c>
      <c r="R116" s="710">
        <f>R115*Assumptions!$C$75</f>
        <v>0.15122082006935489</v>
      </c>
      <c r="S116" s="710">
        <f>S115*Assumptions!$C$75</f>
        <v>0.16718702827004836</v>
      </c>
      <c r="T116" s="710">
        <f>T115*Assumptions!$C$75</f>
        <v>0.18331289855274885</v>
      </c>
      <c r="U116" s="710">
        <f>U115*Assumptions!$C$75</f>
        <v>0.19960002753827621</v>
      </c>
      <c r="V116" s="710">
        <f>V115*Assumptions!$C$75</f>
        <v>0.21605002781365909</v>
      </c>
      <c r="W116" s="710">
        <f>W115*Assumptions!$C$75</f>
        <v>0.23266452809179577</v>
      </c>
      <c r="X116" s="710">
        <f>X115*Assumptions!$C$75</f>
        <v>0.24944517337271385</v>
      </c>
      <c r="Y116" s="696"/>
      <c r="Z116" s="710"/>
      <c r="AA116" s="710"/>
      <c r="AB116" s="710"/>
      <c r="AC116" s="710"/>
      <c r="AD116" s="710"/>
    </row>
    <row r="117" spans="2:31" x14ac:dyDescent="0.2">
      <c r="C117" s="721" t="s">
        <v>81</v>
      </c>
      <c r="D117" s="710">
        <f>D101</f>
        <v>0</v>
      </c>
      <c r="E117" s="710">
        <f>E101</f>
        <v>0</v>
      </c>
      <c r="F117" s="710">
        <f>F101</f>
        <v>0</v>
      </c>
      <c r="G117" s="710">
        <f>G101</f>
        <v>0</v>
      </c>
      <c r="H117" s="710">
        <f>H101</f>
        <v>0</v>
      </c>
      <c r="I117" s="710">
        <f t="shared" ref="I117:X117" si="49">I101</f>
        <v>0.79094340557641729</v>
      </c>
      <c r="J117" s="710">
        <f t="shared" si="49"/>
        <v>1.6715995669303396</v>
      </c>
      <c r="K117" s="710">
        <f t="shared" si="49"/>
        <v>1.9190520228215937</v>
      </c>
      <c r="L117" s="710">
        <f t="shared" si="49"/>
        <v>1.9828221215399553</v>
      </c>
      <c r="M117" s="710">
        <f t="shared" si="49"/>
        <v>2.0487113006387276</v>
      </c>
      <c r="N117" s="710">
        <f t="shared" si="49"/>
        <v>2.1167899771589527</v>
      </c>
      <c r="O117" s="710">
        <f t="shared" si="49"/>
        <v>2.1871309080999435</v>
      </c>
      <c r="P117" s="710">
        <f t="shared" si="49"/>
        <v>2.2598092681761051</v>
      </c>
      <c r="Q117" s="710">
        <f t="shared" si="49"/>
        <v>2.3349027301575971</v>
      </c>
      <c r="R117" s="710">
        <f t="shared" si="49"/>
        <v>2.4124915478807338</v>
      </c>
      <c r="S117" s="710">
        <f t="shared" si="49"/>
        <v>2.49265864201681</v>
      </c>
      <c r="T117" s="710">
        <f t="shared" si="49"/>
        <v>2.5754896886910292</v>
      </c>
      <c r="U117" s="710">
        <f t="shared" si="49"/>
        <v>2.6610732110462321</v>
      </c>
      <c r="V117" s="710">
        <f t="shared" si="49"/>
        <v>2.7495006738492975</v>
      </c>
      <c r="W117" s="710">
        <f t="shared" si="49"/>
        <v>2.840866581241309</v>
      </c>
      <c r="X117" s="710">
        <f t="shared" si="49"/>
        <v>2.9352685777359575</v>
      </c>
      <c r="Y117" s="696"/>
      <c r="Z117" s="710"/>
      <c r="AA117" s="710"/>
      <c r="AB117" s="710"/>
      <c r="AC117" s="710"/>
      <c r="AD117" s="710"/>
    </row>
    <row r="118" spans="2:31" x14ac:dyDescent="0.2">
      <c r="C118" s="723" t="s">
        <v>82</v>
      </c>
      <c r="D118" s="710">
        <f>SUM(D117+D115)</f>
        <v>0</v>
      </c>
      <c r="E118" s="710">
        <f>SUM(E117+E115)</f>
        <v>0</v>
      </c>
      <c r="F118" s="710">
        <f>SUM(F117+F115)</f>
        <v>0</v>
      </c>
      <c r="G118" s="710">
        <f>SUM(G117+G115)</f>
        <v>0</v>
      </c>
      <c r="H118" s="710">
        <f>SUM(H117+H114)</f>
        <v>0</v>
      </c>
      <c r="I118" s="710">
        <f>SUM(I117+I114)</f>
        <v>1.9954434055764132</v>
      </c>
      <c r="J118" s="710">
        <f>SUM(J117+J114)</f>
        <v>4.092644566930332</v>
      </c>
      <c r="K118" s="710">
        <f t="shared" ref="K118:X118" si="50">SUM(K117+K114)</f>
        <v>5.5688074728215806</v>
      </c>
      <c r="L118" s="710">
        <f t="shared" si="50"/>
        <v>6.87357512603994</v>
      </c>
      <c r="M118" s="710">
        <f t="shared" si="50"/>
        <v>8.1928718351837073</v>
      </c>
      <c r="N118" s="710">
        <f t="shared" si="50"/>
        <v>9.5268921170493783</v>
      </c>
      <c r="O118" s="710">
        <f t="shared" si="50"/>
        <v>10.875834069389283</v>
      </c>
      <c r="P118" s="710">
        <f t="shared" si="50"/>
        <v>12.23989946107833</v>
      </c>
      <c r="Q118" s="710">
        <f t="shared" si="50"/>
        <v>13.619293824988848</v>
      </c>
      <c r="R118" s="710">
        <f t="shared" si="50"/>
        <v>15.014226553660308</v>
      </c>
      <c r="S118" s="710">
        <f t="shared" si="50"/>
        <v>16.424910997854173</v>
      </c>
      <c r="T118" s="710">
        <f t="shared" si="50"/>
        <v>17.851564568086765</v>
      </c>
      <c r="U118" s="710">
        <f t="shared" si="50"/>
        <v>19.294408839235917</v>
      </c>
      <c r="V118" s="710">
        <f t="shared" si="50"/>
        <v>20.753669658320888</v>
      </c>
      <c r="W118" s="710">
        <f t="shared" si="50"/>
        <v>22.229577255557622</v>
      </c>
      <c r="X118" s="710">
        <f t="shared" si="50"/>
        <v>23.722366358795444</v>
      </c>
      <c r="Y118" s="696"/>
      <c r="Z118" s="710"/>
      <c r="AA118" s="710"/>
      <c r="AB118" s="710"/>
      <c r="AC118" s="710"/>
      <c r="AD118" s="710"/>
    </row>
    <row r="119" spans="2:31" x14ac:dyDescent="0.2">
      <c r="C119" s="703"/>
      <c r="G119" s="538"/>
      <c r="P119" s="538"/>
      <c r="Y119" s="549"/>
    </row>
    <row r="120" spans="2:31" x14ac:dyDescent="0.2">
      <c r="C120" s="703"/>
      <c r="H120" s="676" t="s">
        <v>107</v>
      </c>
      <c r="I120" s="538">
        <f>(I115/I117)*I80</f>
        <v>463.49435291069983</v>
      </c>
      <c r="J120" s="538">
        <f t="shared" ref="J120:X120" si="51">(J115/J117)*J80</f>
        <v>922.399652822284</v>
      </c>
      <c r="K120" s="538">
        <f t="shared" si="51"/>
        <v>1376.7613359030597</v>
      </c>
      <c r="L120" s="538">
        <f t="shared" si="51"/>
        <v>1826.6243884582846</v>
      </c>
      <c r="M120" s="538">
        <f t="shared" si="51"/>
        <v>2272.0333513842488</v>
      </c>
      <c r="N120" s="538">
        <f t="shared" si="51"/>
        <v>2713.0323245782733</v>
      </c>
      <c r="O120" s="538">
        <f t="shared" si="51"/>
        <v>3149.6649713050356</v>
      </c>
      <c r="P120" s="538">
        <f t="shared" si="51"/>
        <v>3581.9745225196439</v>
      </c>
      <c r="Q120" s="538">
        <f t="shared" si="51"/>
        <v>4010.0037811479733</v>
      </c>
      <c r="R120" s="538">
        <f t="shared" si="51"/>
        <v>4433.7951263245395</v>
      </c>
      <c r="S120" s="538">
        <f t="shared" si="51"/>
        <v>4853.390517588462</v>
      </c>
      <c r="T120" s="538">
        <f t="shared" si="51"/>
        <v>5268.8314990378894</v>
      </c>
      <c r="U120" s="538">
        <f t="shared" si="51"/>
        <v>5680.1592034432624</v>
      </c>
      <c r="V120" s="538">
        <f t="shared" si="51"/>
        <v>6087.4143563198759</v>
      </c>
      <c r="W120" s="538">
        <f t="shared" si="51"/>
        <v>6490.6372799600858</v>
      </c>
      <c r="X120" s="538">
        <f t="shared" si="51"/>
        <v>6889.8678974256418</v>
      </c>
      <c r="Y120" s="826"/>
      <c r="Z120" s="538"/>
      <c r="AA120" s="538"/>
      <c r="AB120" s="538"/>
      <c r="AC120" s="538"/>
      <c r="AD120" s="538"/>
      <c r="AE120" s="557"/>
    </row>
    <row r="121" spans="2:31" ht="13.5" thickBot="1" x14ac:dyDescent="0.25">
      <c r="C121" s="540"/>
      <c r="D121" s="724"/>
      <c r="E121" s="724"/>
      <c r="F121" s="724"/>
      <c r="G121" s="724"/>
      <c r="H121" s="724"/>
      <c r="I121" s="724"/>
      <c r="J121" s="724"/>
      <c r="K121" s="724"/>
      <c r="L121" s="724"/>
      <c r="M121" s="724"/>
      <c r="N121" s="724"/>
      <c r="O121" s="724"/>
      <c r="P121" s="724"/>
      <c r="Q121" s="724"/>
      <c r="R121" s="724"/>
      <c r="S121" s="724"/>
      <c r="T121" s="724"/>
      <c r="U121" s="724"/>
      <c r="V121" s="724"/>
      <c r="W121" s="724"/>
      <c r="X121" s="724"/>
      <c r="Y121" s="700"/>
    </row>
    <row r="122" spans="2:31" ht="13.5" thickBot="1" x14ac:dyDescent="0.25"/>
    <row r="123" spans="2:31" s="543" customFormat="1" x14ac:dyDescent="0.2">
      <c r="C123" s="756"/>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6"/>
    </row>
    <row r="124" spans="2:31" s="543" customFormat="1" x14ac:dyDescent="0.2">
      <c r="C124" s="757" t="s">
        <v>83</v>
      </c>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7"/>
    </row>
    <row r="125" spans="2:31" s="240" customFormat="1" x14ac:dyDescent="0.2">
      <c r="C125" s="548"/>
      <c r="D125" s="111">
        <v>2008</v>
      </c>
      <c r="E125" s="111">
        <v>2009</v>
      </c>
      <c r="F125" s="111">
        <v>2010</v>
      </c>
      <c r="G125" s="111">
        <v>2011</v>
      </c>
      <c r="H125" s="111">
        <v>2012</v>
      </c>
      <c r="I125" s="111">
        <v>2013</v>
      </c>
      <c r="J125" s="111">
        <v>2014</v>
      </c>
      <c r="K125" s="111">
        <v>2015</v>
      </c>
      <c r="L125" s="111">
        <v>2016</v>
      </c>
      <c r="M125" s="111">
        <v>2017</v>
      </c>
      <c r="N125" s="111">
        <v>2018</v>
      </c>
      <c r="O125" s="111">
        <v>2019</v>
      </c>
      <c r="P125" s="111">
        <v>2020</v>
      </c>
      <c r="Q125" s="111">
        <v>2021</v>
      </c>
      <c r="R125" s="111">
        <v>2022</v>
      </c>
      <c r="S125" s="111">
        <v>2023</v>
      </c>
      <c r="T125" s="111">
        <v>2024</v>
      </c>
      <c r="U125" s="111">
        <v>2025</v>
      </c>
      <c r="V125" s="111">
        <v>2026</v>
      </c>
      <c r="W125" s="111">
        <v>2027</v>
      </c>
      <c r="X125" s="111">
        <v>2028</v>
      </c>
      <c r="Y125" s="550"/>
    </row>
    <row r="126" spans="2:31" s="543" customFormat="1" x14ac:dyDescent="0.2">
      <c r="C126" s="728" t="s">
        <v>93</v>
      </c>
      <c r="D126" s="553"/>
      <c r="E126" s="553"/>
      <c r="F126" s="553"/>
      <c r="G126" s="553"/>
      <c r="H126" s="553"/>
      <c r="I126" s="553"/>
      <c r="J126" s="542"/>
      <c r="K126" s="542"/>
      <c r="L126" s="542"/>
      <c r="M126" s="542"/>
      <c r="N126" s="542"/>
      <c r="O126" s="542"/>
      <c r="P126" s="542"/>
      <c r="Q126" s="542"/>
      <c r="R126" s="542"/>
      <c r="S126" s="542"/>
      <c r="T126" s="542"/>
      <c r="U126" s="542"/>
      <c r="V126" s="542"/>
      <c r="W126" s="542"/>
      <c r="X126" s="542"/>
      <c r="Y126" s="549"/>
    </row>
    <row r="127" spans="2:31" x14ac:dyDescent="0.2">
      <c r="C127" s="723" t="s">
        <v>84</v>
      </c>
      <c r="Y127" s="549"/>
    </row>
    <row r="128" spans="2:31" x14ac:dyDescent="0.2">
      <c r="C128" s="713" t="s">
        <v>10</v>
      </c>
      <c r="D128" s="730">
        <f>Assumptions!C48</f>
        <v>0.57000000000000006</v>
      </c>
      <c r="E128" s="730">
        <f>$D128</f>
        <v>0.57000000000000006</v>
      </c>
      <c r="F128" s="730">
        <f t="shared" ref="F128:X130" si="52">$D128</f>
        <v>0.57000000000000006</v>
      </c>
      <c r="G128" s="730">
        <f t="shared" si="52"/>
        <v>0.57000000000000006</v>
      </c>
      <c r="H128" s="730">
        <f t="shared" si="52"/>
        <v>0.57000000000000006</v>
      </c>
      <c r="I128" s="730">
        <f t="shared" si="52"/>
        <v>0.57000000000000006</v>
      </c>
      <c r="J128" s="730">
        <f t="shared" si="52"/>
        <v>0.57000000000000006</v>
      </c>
      <c r="K128" s="730">
        <f t="shared" si="52"/>
        <v>0.57000000000000006</v>
      </c>
      <c r="L128" s="730">
        <f t="shared" si="52"/>
        <v>0.57000000000000006</v>
      </c>
      <c r="M128" s="730">
        <f t="shared" si="52"/>
        <v>0.57000000000000006</v>
      </c>
      <c r="N128" s="730">
        <f t="shared" si="52"/>
        <v>0.57000000000000006</v>
      </c>
      <c r="O128" s="730">
        <f t="shared" si="52"/>
        <v>0.57000000000000006</v>
      </c>
      <c r="P128" s="730">
        <f t="shared" si="52"/>
        <v>0.57000000000000006</v>
      </c>
      <c r="Q128" s="730">
        <f t="shared" si="52"/>
        <v>0.57000000000000006</v>
      </c>
      <c r="R128" s="730">
        <f t="shared" si="52"/>
        <v>0.57000000000000006</v>
      </c>
      <c r="S128" s="730">
        <f t="shared" si="52"/>
        <v>0.57000000000000006</v>
      </c>
      <c r="T128" s="730">
        <f t="shared" si="52"/>
        <v>0.57000000000000006</v>
      </c>
      <c r="U128" s="730">
        <f t="shared" si="52"/>
        <v>0.57000000000000006</v>
      </c>
      <c r="V128" s="730">
        <f t="shared" si="52"/>
        <v>0.57000000000000006</v>
      </c>
      <c r="W128" s="730">
        <f t="shared" si="52"/>
        <v>0.57000000000000006</v>
      </c>
      <c r="X128" s="730">
        <f t="shared" si="52"/>
        <v>0.57000000000000006</v>
      </c>
      <c r="Y128" s="827"/>
      <c r="Z128" s="730"/>
      <c r="AA128" s="730"/>
      <c r="AB128" s="730"/>
      <c r="AC128" s="730"/>
      <c r="AD128" s="730"/>
    </row>
    <row r="129" spans="2:30" x14ac:dyDescent="0.2">
      <c r="C129" s="713" t="s">
        <v>44</v>
      </c>
      <c r="D129" s="730">
        <f>Assumptions!C49</f>
        <v>0.59699999999999998</v>
      </c>
      <c r="E129" s="730">
        <f t="shared" ref="E129:T130" si="53">$D129</f>
        <v>0.59699999999999998</v>
      </c>
      <c r="F129" s="730">
        <f t="shared" si="53"/>
        <v>0.59699999999999998</v>
      </c>
      <c r="G129" s="730">
        <f t="shared" si="53"/>
        <v>0.59699999999999998</v>
      </c>
      <c r="H129" s="730">
        <f t="shared" si="53"/>
        <v>0.59699999999999998</v>
      </c>
      <c r="I129" s="730">
        <f t="shared" si="53"/>
        <v>0.59699999999999998</v>
      </c>
      <c r="J129" s="730">
        <f t="shared" si="53"/>
        <v>0.59699999999999998</v>
      </c>
      <c r="K129" s="730">
        <f t="shared" si="53"/>
        <v>0.59699999999999998</v>
      </c>
      <c r="L129" s="730">
        <f t="shared" si="53"/>
        <v>0.59699999999999998</v>
      </c>
      <c r="M129" s="730">
        <f t="shared" si="53"/>
        <v>0.59699999999999998</v>
      </c>
      <c r="N129" s="730">
        <f t="shared" si="53"/>
        <v>0.59699999999999998</v>
      </c>
      <c r="O129" s="730">
        <f t="shared" si="53"/>
        <v>0.59699999999999998</v>
      </c>
      <c r="P129" s="730">
        <f t="shared" si="53"/>
        <v>0.59699999999999998</v>
      </c>
      <c r="Q129" s="730">
        <f t="shared" si="53"/>
        <v>0.59699999999999998</v>
      </c>
      <c r="R129" s="730">
        <f t="shared" si="53"/>
        <v>0.59699999999999998</v>
      </c>
      <c r="S129" s="730">
        <f t="shared" si="53"/>
        <v>0.59699999999999998</v>
      </c>
      <c r="T129" s="730">
        <f t="shared" si="53"/>
        <v>0.59699999999999998</v>
      </c>
      <c r="U129" s="730">
        <f t="shared" si="52"/>
        <v>0.59699999999999998</v>
      </c>
      <c r="V129" s="730">
        <f t="shared" si="52"/>
        <v>0.59699999999999998</v>
      </c>
      <c r="W129" s="730">
        <f t="shared" si="52"/>
        <v>0.59699999999999998</v>
      </c>
      <c r="X129" s="730">
        <f t="shared" si="52"/>
        <v>0.59699999999999998</v>
      </c>
      <c r="Y129" s="827"/>
      <c r="Z129" s="730"/>
      <c r="AA129" s="730"/>
      <c r="AB129" s="730"/>
      <c r="AC129" s="730"/>
      <c r="AD129" s="730"/>
    </row>
    <row r="130" spans="2:30" x14ac:dyDescent="0.2">
      <c r="C130" s="713" t="s">
        <v>45</v>
      </c>
      <c r="D130" s="730">
        <f>Assumptions!C50</f>
        <v>0.69599999999999995</v>
      </c>
      <c r="E130" s="730">
        <f t="shared" si="53"/>
        <v>0.69599999999999995</v>
      </c>
      <c r="F130" s="730">
        <f t="shared" si="52"/>
        <v>0.69599999999999995</v>
      </c>
      <c r="G130" s="730">
        <f t="shared" si="52"/>
        <v>0.69599999999999995</v>
      </c>
      <c r="H130" s="730">
        <f t="shared" si="52"/>
        <v>0.69599999999999995</v>
      </c>
      <c r="I130" s="730">
        <f t="shared" si="52"/>
        <v>0.69599999999999995</v>
      </c>
      <c r="J130" s="730">
        <f t="shared" si="52"/>
        <v>0.69599999999999995</v>
      </c>
      <c r="K130" s="730">
        <f t="shared" si="52"/>
        <v>0.69599999999999995</v>
      </c>
      <c r="L130" s="730">
        <f t="shared" si="52"/>
        <v>0.69599999999999995</v>
      </c>
      <c r="M130" s="730">
        <f t="shared" si="52"/>
        <v>0.69599999999999995</v>
      </c>
      <c r="N130" s="730">
        <f t="shared" si="52"/>
        <v>0.69599999999999995</v>
      </c>
      <c r="O130" s="730">
        <f t="shared" si="52"/>
        <v>0.69599999999999995</v>
      </c>
      <c r="P130" s="730">
        <f t="shared" si="52"/>
        <v>0.69599999999999995</v>
      </c>
      <c r="Q130" s="730">
        <f t="shared" si="52"/>
        <v>0.69599999999999995</v>
      </c>
      <c r="R130" s="730">
        <f t="shared" si="52"/>
        <v>0.69599999999999995</v>
      </c>
      <c r="S130" s="730">
        <f t="shared" si="52"/>
        <v>0.69599999999999995</v>
      </c>
      <c r="T130" s="730">
        <f t="shared" si="52"/>
        <v>0.69599999999999995</v>
      </c>
      <c r="U130" s="730">
        <f t="shared" si="52"/>
        <v>0.69599999999999995</v>
      </c>
      <c r="V130" s="730">
        <f t="shared" si="52"/>
        <v>0.69599999999999995</v>
      </c>
      <c r="W130" s="730">
        <f t="shared" si="52"/>
        <v>0.69599999999999995</v>
      </c>
      <c r="X130" s="730">
        <f t="shared" si="52"/>
        <v>0.69599999999999995</v>
      </c>
      <c r="Y130" s="827"/>
      <c r="Z130" s="730"/>
      <c r="AA130" s="730"/>
      <c r="AB130" s="730"/>
      <c r="AC130" s="730"/>
      <c r="AD130" s="730"/>
    </row>
    <row r="131" spans="2:30"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827"/>
      <c r="Z131" s="730"/>
      <c r="AA131" s="730"/>
      <c r="AB131" s="730"/>
      <c r="AC131" s="730"/>
      <c r="AD131" s="730"/>
    </row>
    <row r="132" spans="2:30"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814"/>
      <c r="Z132" s="553"/>
      <c r="AA132" s="553"/>
      <c r="AB132" s="553"/>
      <c r="AC132" s="553"/>
      <c r="AD132" s="553"/>
    </row>
    <row r="133" spans="2:30" x14ac:dyDescent="0.2">
      <c r="B133" s="702"/>
      <c r="C133" s="713" t="s">
        <v>10</v>
      </c>
      <c r="D133" s="553">
        <f t="shared" ref="D133:X133" si="54">D97*$AB$69*D128</f>
        <v>0</v>
      </c>
      <c r="E133" s="553">
        <f t="shared" si="54"/>
        <v>0</v>
      </c>
      <c r="F133" s="553">
        <f t="shared" si="54"/>
        <v>0</v>
      </c>
      <c r="G133" s="553">
        <f t="shared" si="54"/>
        <v>0</v>
      </c>
      <c r="H133" s="553">
        <f t="shared" si="54"/>
        <v>0</v>
      </c>
      <c r="I133" s="553">
        <f t="shared" si="54"/>
        <v>264.31676568</v>
      </c>
      <c r="J133" s="553">
        <f t="shared" si="54"/>
        <v>558.61366050725394</v>
      </c>
      <c r="K133" s="553">
        <f t="shared" si="54"/>
        <v>641.30710271767771</v>
      </c>
      <c r="L133" s="553">
        <f t="shared" si="54"/>
        <v>662.61773774098606</v>
      </c>
      <c r="M133" s="553">
        <f t="shared" si="54"/>
        <v>684.63652516611899</v>
      </c>
      <c r="N133" s="553">
        <f t="shared" si="54"/>
        <v>707.38699689738917</v>
      </c>
      <c r="O133" s="553">
        <f t="shared" si="54"/>
        <v>730.89346680428912</v>
      </c>
      <c r="P133" s="553">
        <f t="shared" si="54"/>
        <v>755.18105670619559</v>
      </c>
      <c r="Q133" s="553">
        <f t="shared" si="54"/>
        <v>780.27572322054266</v>
      </c>
      <c r="R133" s="553">
        <f t="shared" si="54"/>
        <v>806.20428550316126</v>
      </c>
      <c r="S133" s="553">
        <f t="shared" si="54"/>
        <v>832.99445391043105</v>
      </c>
      <c r="T133" s="553">
        <f t="shared" si="54"/>
        <v>860.67485961387479</v>
      </c>
      <c r="U133" s="553">
        <f t="shared" si="54"/>
        <v>889.27508519884373</v>
      </c>
      <c r="V133" s="553">
        <f t="shared" si="54"/>
        <v>918.82569628000124</v>
      </c>
      <c r="W133" s="553">
        <f t="shared" si="54"/>
        <v>949.35827416738528</v>
      </c>
      <c r="X133" s="553">
        <f t="shared" si="54"/>
        <v>980.90544961796741</v>
      </c>
      <c r="Y133" s="814"/>
      <c r="Z133" s="553"/>
      <c r="AA133" s="553"/>
      <c r="AB133" s="553"/>
      <c r="AC133" s="553"/>
      <c r="AD133" s="553"/>
    </row>
    <row r="134" spans="2:30" x14ac:dyDescent="0.2">
      <c r="C134" s="713" t="s">
        <v>44</v>
      </c>
      <c r="D134" s="553">
        <f t="shared" ref="D134:X134" si="55">D98*$AB$69*D129</f>
        <v>0</v>
      </c>
      <c r="E134" s="553">
        <f t="shared" si="55"/>
        <v>0</v>
      </c>
      <c r="F134" s="553">
        <f t="shared" si="55"/>
        <v>0</v>
      </c>
      <c r="G134" s="553">
        <f t="shared" si="55"/>
        <v>0</v>
      </c>
      <c r="H134" s="553">
        <f t="shared" si="55"/>
        <v>0</v>
      </c>
      <c r="I134" s="553">
        <f t="shared" si="55"/>
        <v>137.80784683709999</v>
      </c>
      <c r="J134" s="553">
        <f t="shared" si="55"/>
        <v>291.24654870169803</v>
      </c>
      <c r="K134" s="553">
        <f t="shared" si="55"/>
        <v>334.36074612783926</v>
      </c>
      <c r="L134" s="553">
        <f t="shared" si="55"/>
        <v>345.47155372166742</v>
      </c>
      <c r="M134" s="553">
        <f t="shared" si="55"/>
        <v>356.95157345183833</v>
      </c>
      <c r="N134" s="553">
        <f t="shared" si="55"/>
        <v>368.81307423764304</v>
      </c>
      <c r="O134" s="553">
        <f t="shared" si="55"/>
        <v>381.06873269455969</v>
      </c>
      <c r="P134" s="553">
        <f t="shared" si="55"/>
        <v>393.73164668199996</v>
      </c>
      <c r="Q134" s="553">
        <f t="shared" si="55"/>
        <v>406.8153493012428</v>
      </c>
      <c r="R134" s="553">
        <f t="shared" si="55"/>
        <v>420.33382335852309</v>
      </c>
      <c r="S134" s="553">
        <f t="shared" si="55"/>
        <v>434.30151630872672</v>
      </c>
      <c r="T134" s="553">
        <f t="shared" si="55"/>
        <v>448.73335569566564</v>
      </c>
      <c r="U134" s="553">
        <f t="shared" si="55"/>
        <v>463.64476510543267</v>
      </c>
      <c r="V134" s="553">
        <f t="shared" si="55"/>
        <v>479.05168064988612</v>
      </c>
      <c r="W134" s="553">
        <f t="shared" si="55"/>
        <v>494.97056799788169</v>
      </c>
      <c r="X134" s="553">
        <f t="shared" si="55"/>
        <v>511.41843997245132</v>
      </c>
      <c r="Y134" s="814"/>
      <c r="Z134" s="553"/>
      <c r="AA134" s="553"/>
      <c r="AB134" s="553"/>
      <c r="AC134" s="553"/>
      <c r="AD134" s="553"/>
    </row>
    <row r="135" spans="2:30" x14ac:dyDescent="0.2">
      <c r="C135" s="713" t="s">
        <v>45</v>
      </c>
      <c r="D135" s="553">
        <f t="shared" ref="D135:X135" si="56">D99*$AB$69*D130</f>
        <v>0</v>
      </c>
      <c r="E135" s="553">
        <f t="shared" si="56"/>
        <v>0</v>
      </c>
      <c r="F135" s="553">
        <f t="shared" si="56"/>
        <v>0</v>
      </c>
      <c r="G135" s="553">
        <f t="shared" si="56"/>
        <v>0</v>
      </c>
      <c r="H135" s="553">
        <f t="shared" si="56"/>
        <v>0</v>
      </c>
      <c r="I135" s="553">
        <f t="shared" si="56"/>
        <v>67.091523624386426</v>
      </c>
      <c r="J135" s="553">
        <f t="shared" si="56"/>
        <v>141.79290331586887</v>
      </c>
      <c r="K135" s="553">
        <f t="shared" si="56"/>
        <v>162.78297943672797</v>
      </c>
      <c r="L135" s="553">
        <f t="shared" si="56"/>
        <v>168.19225784341043</v>
      </c>
      <c r="M135" s="553">
        <f t="shared" si="56"/>
        <v>173.78128657154693</v>
      </c>
      <c r="N135" s="553">
        <f t="shared" si="56"/>
        <v>179.55603872431945</v>
      </c>
      <c r="O135" s="553">
        <f t="shared" si="56"/>
        <v>185.52268589112853</v>
      </c>
      <c r="P135" s="553">
        <f t="shared" si="56"/>
        <v>191.68760474329076</v>
      </c>
      <c r="Q135" s="553">
        <f t="shared" si="56"/>
        <v>198.05738384891032</v>
      </c>
      <c r="R135" s="553">
        <f t="shared" si="56"/>
        <v>204.63883071420958</v>
      </c>
      <c r="S135" s="553">
        <f t="shared" si="56"/>
        <v>211.4389790588427</v>
      </c>
      <c r="T135" s="553">
        <f t="shared" si="56"/>
        <v>218.46509633296802</v>
      </c>
      <c r="U135" s="553">
        <f t="shared" si="56"/>
        <v>225.72469148411255</v>
      </c>
      <c r="V135" s="553">
        <f t="shared" si="56"/>
        <v>233.22552298212963</v>
      </c>
      <c r="W135" s="553">
        <f t="shared" si="56"/>
        <v>240.97560711082562</v>
      </c>
      <c r="X135" s="553">
        <f t="shared" si="56"/>
        <v>248.98322653511846</v>
      </c>
      <c r="Y135" s="814"/>
      <c r="Z135" s="553"/>
      <c r="AA135" s="553"/>
      <c r="AB135" s="553"/>
      <c r="AC135" s="553"/>
      <c r="AD135" s="553"/>
    </row>
    <row r="136" spans="2:30"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814"/>
      <c r="Z136" s="553"/>
      <c r="AA136" s="553"/>
      <c r="AB136" s="553"/>
      <c r="AC136" s="553"/>
      <c r="AD136" s="553"/>
    </row>
    <row r="137" spans="2:30" x14ac:dyDescent="0.2">
      <c r="C137" s="723" t="s">
        <v>86</v>
      </c>
      <c r="D137" s="554">
        <f t="shared" ref="D137:X137" si="57">SUM(D133:D135)*0.001</f>
        <v>0</v>
      </c>
      <c r="E137" s="554">
        <f>SUM(E133:E135)*0.001</f>
        <v>0</v>
      </c>
      <c r="F137" s="554">
        <f t="shared" si="57"/>
        <v>0</v>
      </c>
      <c r="G137" s="554">
        <f t="shared" si="57"/>
        <v>0</v>
      </c>
      <c r="H137" s="554">
        <f t="shared" si="57"/>
        <v>0</v>
      </c>
      <c r="I137" s="554">
        <f t="shared" si="57"/>
        <v>0.46921613614148638</v>
      </c>
      <c r="J137" s="554">
        <f t="shared" si="57"/>
        <v>0.99165311252482091</v>
      </c>
      <c r="K137" s="554">
        <f t="shared" si="57"/>
        <v>1.1384508282822452</v>
      </c>
      <c r="L137" s="554">
        <f t="shared" si="57"/>
        <v>1.1762815493060639</v>
      </c>
      <c r="M137" s="554">
        <f t="shared" si="57"/>
        <v>1.2153693851895042</v>
      </c>
      <c r="N137" s="554">
        <f t="shared" si="57"/>
        <v>1.2557561098593517</v>
      </c>
      <c r="O137" s="554">
        <f t="shared" si="57"/>
        <v>1.2974848853899774</v>
      </c>
      <c r="P137" s="554">
        <f t="shared" si="57"/>
        <v>1.3406003081314861</v>
      </c>
      <c r="Q137" s="554">
        <f t="shared" si="57"/>
        <v>1.3851484563706959</v>
      </c>
      <c r="R137" s="554">
        <f t="shared" si="57"/>
        <v>1.4311769395758938</v>
      </c>
      <c r="S137" s="554">
        <f t="shared" si="57"/>
        <v>1.4787349492780006</v>
      </c>
      <c r="T137" s="554">
        <f t="shared" si="57"/>
        <v>1.5278733116425085</v>
      </c>
      <c r="U137" s="554">
        <f t="shared" si="57"/>
        <v>1.578644541788389</v>
      </c>
      <c r="V137" s="554">
        <f t="shared" si="57"/>
        <v>1.631102899912017</v>
      </c>
      <c r="W137" s="554">
        <f t="shared" si="57"/>
        <v>1.6853044492760927</v>
      </c>
      <c r="X137" s="554">
        <f t="shared" si="57"/>
        <v>1.7413071161255373</v>
      </c>
      <c r="Y137" s="816"/>
      <c r="Z137" s="554"/>
      <c r="AA137" s="554"/>
      <c r="AB137" s="554"/>
      <c r="AC137" s="554"/>
      <c r="AD137" s="554"/>
    </row>
    <row r="138" spans="2:30" x14ac:dyDescent="0.2">
      <c r="C138" s="551"/>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row>
    <row r="139" spans="2:30" x14ac:dyDescent="0.2">
      <c r="C139" s="723" t="s">
        <v>71</v>
      </c>
      <c r="D139" s="553"/>
      <c r="E139" s="553"/>
      <c r="F139" s="553"/>
      <c r="G139" s="553"/>
      <c r="H139" s="554"/>
      <c r="I139" s="554"/>
      <c r="J139" s="554"/>
      <c r="K139" s="554"/>
      <c r="L139" s="554"/>
      <c r="M139" s="554"/>
      <c r="N139" s="554"/>
      <c r="O139" s="554"/>
      <c r="P139" s="554"/>
      <c r="Q139" s="554"/>
      <c r="R139" s="554"/>
      <c r="S139" s="554"/>
      <c r="T139" s="554"/>
      <c r="U139" s="554"/>
      <c r="V139" s="554"/>
      <c r="W139" s="554"/>
      <c r="X139" s="554"/>
      <c r="Y139" s="816"/>
      <c r="Z139" s="554"/>
      <c r="AA139" s="554"/>
      <c r="AB139" s="554"/>
      <c r="AC139" s="554"/>
      <c r="AD139" s="554"/>
    </row>
    <row r="140" spans="2:30" x14ac:dyDescent="0.2">
      <c r="C140" s="72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0.3553274999999988</v>
      </c>
      <c r="J140" s="711">
        <f>IF(J23=1,(Assumptions!$C$51*J115),0)</f>
        <v>0.71420827499999773</v>
      </c>
      <c r="K140" s="711">
        <f>IF(K23=1,(Assumptions!$C$51*K115),0)</f>
        <v>1.076677857749996</v>
      </c>
      <c r="L140" s="711">
        <f>IF(L23=1,(Assumptions!$C$51*L115),0)</f>
        <v>1.4427721363274955</v>
      </c>
      <c r="M140" s="711">
        <f>IF(M23=1,(Assumptions!$C$51*M115),0)</f>
        <v>1.812527357690769</v>
      </c>
      <c r="N140" s="711">
        <f>IF(N23=1,(Assumptions!$C$51*N115),0)</f>
        <v>2.1859801312676757</v>
      </c>
      <c r="O140" s="711">
        <f>IF(O23=1,(Assumptions!$C$51*O115),0)</f>
        <v>2.5631674325803551</v>
      </c>
      <c r="P140" s="711">
        <f>IF(P23=1,(Assumptions!$C$51*P115),0)</f>
        <v>2.9441266069061562</v>
      </c>
      <c r="Q140" s="711">
        <f>IF(Q23=1,(Assumptions!$C$51*Q115),0)</f>
        <v>3.3288953729752184</v>
      </c>
      <c r="R140" s="711">
        <f>IF(R23=1,(Assumptions!$C$51*R115),0)</f>
        <v>3.7175118267049743</v>
      </c>
      <c r="S140" s="711">
        <f>IF(S23=1,(Assumptions!$C$51*S115),0)</f>
        <v>4.1100144449720215</v>
      </c>
      <c r="T140" s="711">
        <f>IF(T23=1,(Assumptions!$C$51*T115),0)</f>
        <v>4.5064420894217418</v>
      </c>
      <c r="U140" s="711">
        <f>IF(U23=1,(Assumptions!$C$51*U115),0)</f>
        <v>4.9068340103159569</v>
      </c>
      <c r="V140" s="711">
        <f>IF(V23=1,(Assumptions!$C$51*V115),0)</f>
        <v>5.3112298504191191</v>
      </c>
      <c r="W140" s="711">
        <f>IF(W23=1,(Assumptions!$C$51*W115),0)</f>
        <v>5.7196696489233121</v>
      </c>
      <c r="X140" s="711">
        <f>IF(X23=1,(Assumptions!$C$51*X115),0)</f>
        <v>6.132193845412548</v>
      </c>
      <c r="Y140" s="815"/>
      <c r="Z140" s="711"/>
      <c r="AA140" s="711"/>
      <c r="AB140" s="711"/>
      <c r="AC140" s="711"/>
      <c r="AD140" s="711"/>
    </row>
    <row r="141" spans="2:30" x14ac:dyDescent="0.2">
      <c r="C141" s="723" t="s">
        <v>87</v>
      </c>
      <c r="D141" s="554">
        <f t="shared" ref="D141:X141" si="58">D137+D140</f>
        <v>0</v>
      </c>
      <c r="E141" s="554">
        <f t="shared" si="58"/>
        <v>0</v>
      </c>
      <c r="F141" s="554">
        <f t="shared" si="58"/>
        <v>0</v>
      </c>
      <c r="G141" s="554">
        <f t="shared" si="58"/>
        <v>0</v>
      </c>
      <c r="H141" s="554">
        <f t="shared" si="58"/>
        <v>0</v>
      </c>
      <c r="I141" s="554">
        <f t="shared" si="58"/>
        <v>0.82454363614148518</v>
      </c>
      <c r="J141" s="554">
        <f t="shared" si="58"/>
        <v>1.7058613875248185</v>
      </c>
      <c r="K141" s="554">
        <f t="shared" si="58"/>
        <v>2.2151286860322412</v>
      </c>
      <c r="L141" s="554">
        <f t="shared" si="58"/>
        <v>2.6190536856335593</v>
      </c>
      <c r="M141" s="554">
        <f t="shared" si="58"/>
        <v>3.027896742880273</v>
      </c>
      <c r="N141" s="554">
        <f t="shared" si="58"/>
        <v>3.4417362411270274</v>
      </c>
      <c r="O141" s="554">
        <f t="shared" si="58"/>
        <v>3.8606523179703327</v>
      </c>
      <c r="P141" s="554">
        <f t="shared" si="58"/>
        <v>4.2847269150376421</v>
      </c>
      <c r="Q141" s="554">
        <f t="shared" si="58"/>
        <v>4.7140438293459148</v>
      </c>
      <c r="R141" s="554">
        <f t="shared" si="58"/>
        <v>5.148688766280868</v>
      </c>
      <c r="S141" s="554">
        <f t="shared" si="58"/>
        <v>5.5887493942500219</v>
      </c>
      <c r="T141" s="554">
        <f t="shared" si="58"/>
        <v>6.0343154010642506</v>
      </c>
      <c r="U141" s="554">
        <f t="shared" si="58"/>
        <v>6.4854785521043459</v>
      </c>
      <c r="V141" s="554">
        <f t="shared" si="58"/>
        <v>6.9423327503311363</v>
      </c>
      <c r="W141" s="554">
        <f t="shared" si="58"/>
        <v>7.4049740981994052</v>
      </c>
      <c r="X141" s="554">
        <f t="shared" si="58"/>
        <v>7.8735009615380855</v>
      </c>
      <c r="Y141" s="816"/>
      <c r="Z141" s="554"/>
      <c r="AA141" s="554"/>
      <c r="AB141" s="554"/>
      <c r="AC141" s="554"/>
      <c r="AD141" s="554"/>
    </row>
    <row r="142" spans="2:30" x14ac:dyDescent="0.2">
      <c r="C142" s="723"/>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row>
    <row r="143" spans="2:30"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816"/>
      <c r="Z143" s="554"/>
      <c r="AA143" s="554"/>
      <c r="AB143" s="554"/>
      <c r="AC143" s="554"/>
      <c r="AD143" s="554"/>
    </row>
    <row r="144" spans="2:30" x14ac:dyDescent="0.2">
      <c r="C144" s="536" t="s">
        <v>556</v>
      </c>
      <c r="D144" s="711">
        <f>D116*Assumptions!$C$51</f>
        <v>0</v>
      </c>
      <c r="E144" s="711">
        <f>E116*Assumptions!$C$51</f>
        <v>0</v>
      </c>
      <c r="F144" s="711">
        <f>F116*Assumptions!$C$51</f>
        <v>0</v>
      </c>
      <c r="G144" s="711">
        <f>G116*Assumptions!$C$51</f>
        <v>0</v>
      </c>
      <c r="H144" s="711">
        <f>H116*Assumptions!$C$51</f>
        <v>0</v>
      </c>
      <c r="I144" s="711">
        <f>I116*Assumptions!$C$51</f>
        <v>4.2639299999999852E-3</v>
      </c>
      <c r="J144" s="711">
        <f>J116*Assumptions!$C$51</f>
        <v>8.5704992999999716E-3</v>
      </c>
      <c r="K144" s="711">
        <f>K116*Assumptions!$C$51</f>
        <v>1.2920134292999952E-2</v>
      </c>
      <c r="L144" s="711">
        <f>L116*Assumptions!$C$51</f>
        <v>1.7313265635929945E-2</v>
      </c>
      <c r="M144" s="711">
        <f>M116*Assumptions!$C$51</f>
        <v>2.175032829228923E-2</v>
      </c>
      <c r="N144" s="711">
        <f>N116*Assumptions!$C$51</f>
        <v>2.6231761575212106E-2</v>
      </c>
      <c r="O144" s="711">
        <f>O116*Assumptions!$C$51</f>
        <v>3.0758009190964261E-2</v>
      </c>
      <c r="P144" s="711">
        <f>P116*Assumptions!$C$51</f>
        <v>3.5329519282873874E-2</v>
      </c>
      <c r="Q144" s="711">
        <f>Q116*Assumptions!$C$51</f>
        <v>3.9946744475702622E-2</v>
      </c>
      <c r="R144" s="711">
        <f>R116*Assumptions!$C$51</f>
        <v>4.4610141920459687E-2</v>
      </c>
      <c r="S144" s="711">
        <f>S116*Assumptions!$C$51</f>
        <v>4.9320173339664264E-2</v>
      </c>
      <c r="T144" s="711">
        <f>T116*Assumptions!$C$51</f>
        <v>5.4077305073060911E-2</v>
      </c>
      <c r="U144" s="711">
        <f>U116*Assumptions!$C$51</f>
        <v>5.8882008123791484E-2</v>
      </c>
      <c r="V144" s="711">
        <f>V116*Assumptions!$C$51</f>
        <v>6.3734758205029426E-2</v>
      </c>
      <c r="W144" s="711">
        <f>W116*Assumptions!$C$51</f>
        <v>6.8636035787079747E-2</v>
      </c>
      <c r="X144" s="711">
        <f>X116*Assumptions!$C$51</f>
        <v>7.3586326144950587E-2</v>
      </c>
      <c r="Y144" s="816"/>
      <c r="Z144" s="554"/>
      <c r="AA144" s="554"/>
      <c r="AB144" s="554"/>
      <c r="AC144" s="554"/>
      <c r="AD144" s="554"/>
    </row>
    <row r="145" spans="2:30" x14ac:dyDescent="0.2">
      <c r="C145" s="536"/>
      <c r="D145" s="811"/>
      <c r="Y145" s="549"/>
    </row>
    <row r="146" spans="2:30" x14ac:dyDescent="0.2">
      <c r="C146" s="536" t="s">
        <v>89</v>
      </c>
      <c r="D146" s="554">
        <f>D141*'ERR &amp; Sensitivity Analysis'!$G$10</f>
        <v>0</v>
      </c>
      <c r="E146" s="554">
        <f>E141*'ERR &amp; Sensitivity Analysis'!$G$10</f>
        <v>0</v>
      </c>
      <c r="F146" s="554">
        <f>F141*'ERR &amp; Sensitivity Analysis'!$G$10</f>
        <v>0</v>
      </c>
      <c r="G146" s="554">
        <f>G141*'ERR &amp; Sensitivity Analysis'!$G$10</f>
        <v>0</v>
      </c>
      <c r="H146" s="554">
        <f>H141*'ERR &amp; Sensitivity Analysis'!$G$10</f>
        <v>0</v>
      </c>
      <c r="I146" s="554">
        <f>I141*'ERR &amp; Sensitivity Analysis'!$G$10</f>
        <v>0.82454363614148518</v>
      </c>
      <c r="J146" s="554">
        <f>J141*'ERR &amp; Sensitivity Analysis'!$G$10</f>
        <v>1.7058613875248185</v>
      </c>
      <c r="K146" s="554">
        <f>K141*'ERR &amp; Sensitivity Analysis'!$G$10</f>
        <v>2.2151286860322412</v>
      </c>
      <c r="L146" s="554">
        <f>L141*'ERR &amp; Sensitivity Analysis'!$G$10</f>
        <v>2.6190536856335593</v>
      </c>
      <c r="M146" s="554">
        <f>M141*'ERR &amp; Sensitivity Analysis'!$G$10</f>
        <v>3.027896742880273</v>
      </c>
      <c r="N146" s="554">
        <f>N141*'ERR &amp; Sensitivity Analysis'!$G$10</f>
        <v>3.4417362411270274</v>
      </c>
      <c r="O146" s="554">
        <f>O141*'ERR &amp; Sensitivity Analysis'!$G$10</f>
        <v>3.8606523179703327</v>
      </c>
      <c r="P146" s="554">
        <f>P141*'ERR &amp; Sensitivity Analysis'!$G$10</f>
        <v>4.2847269150376421</v>
      </c>
      <c r="Q146" s="554">
        <f>Q141*'ERR &amp; Sensitivity Analysis'!$G$10</f>
        <v>4.7140438293459148</v>
      </c>
      <c r="R146" s="554">
        <f>R141*'ERR &amp; Sensitivity Analysis'!$G$10</f>
        <v>5.148688766280868</v>
      </c>
      <c r="S146" s="554">
        <f>S141*'ERR &amp; Sensitivity Analysis'!$G$10</f>
        <v>5.5887493942500219</v>
      </c>
      <c r="T146" s="554">
        <f>T141*'ERR &amp; Sensitivity Analysis'!$G$10</f>
        <v>6.0343154010642506</v>
      </c>
      <c r="U146" s="554">
        <f>U141*'ERR &amp; Sensitivity Analysis'!$G$10</f>
        <v>6.4854785521043459</v>
      </c>
      <c r="V146" s="554">
        <f>V141*'ERR &amp; Sensitivity Analysis'!$G$10</f>
        <v>6.9423327503311363</v>
      </c>
      <c r="W146" s="554">
        <f>W141*'ERR &amp; Sensitivity Analysis'!$G$10</f>
        <v>7.4049740981994052</v>
      </c>
      <c r="X146" s="554">
        <f>X141*'ERR &amp; Sensitivity Analysis'!$G$10</f>
        <v>7.8735009615380855</v>
      </c>
      <c r="Y146" s="816"/>
      <c r="Z146" s="554"/>
      <c r="AA146" s="554"/>
      <c r="AB146" s="554"/>
      <c r="AC146" s="554"/>
      <c r="AD146" s="554"/>
    </row>
    <row r="147" spans="2:30" x14ac:dyDescent="0.2">
      <c r="C147" s="536" t="s">
        <v>99</v>
      </c>
      <c r="D147" s="554">
        <f t="shared" ref="D147:X147" si="59">D146-D62</f>
        <v>0</v>
      </c>
      <c r="E147" s="554">
        <f t="shared" si="59"/>
        <v>-0.15335253846168104</v>
      </c>
      <c r="F147" s="554">
        <f t="shared" si="59"/>
        <v>-0.35467915106184622</v>
      </c>
      <c r="G147" s="554">
        <f t="shared" si="59"/>
        <v>-3.486497720850918</v>
      </c>
      <c r="H147" s="554">
        <f t="shared" si="59"/>
        <v>-3.3608259442748274</v>
      </c>
      <c r="I147" s="554">
        <f t="shared" si="59"/>
        <v>-4.4226399046825318</v>
      </c>
      <c r="J147" s="554">
        <f t="shared" si="59"/>
        <v>0.91487075755484226</v>
      </c>
      <c r="K147" s="554">
        <f t="shared" si="59"/>
        <v>1.7538331928546547</v>
      </c>
      <c r="L147" s="554">
        <f t="shared" si="59"/>
        <v>2.1712462278328024</v>
      </c>
      <c r="M147" s="554">
        <f t="shared" si="59"/>
        <v>2.5654180472086296</v>
      </c>
      <c r="N147" s="554">
        <f t="shared" si="59"/>
        <v>2.964103598640945</v>
      </c>
      <c r="O147" s="554">
        <f t="shared" si="59"/>
        <v>3.3673670900827521</v>
      </c>
      <c r="P147" s="554">
        <f t="shared" si="59"/>
        <v>3.7752740067237625</v>
      </c>
      <c r="Q147" s="554">
        <f t="shared" si="59"/>
        <v>4.1878911449021814</v>
      </c>
      <c r="R147" s="554">
        <f t="shared" si="59"/>
        <v>4.6052866470588016</v>
      </c>
      <c r="S147" s="554">
        <f t="shared" si="59"/>
        <v>5.0275300377672316</v>
      </c>
      <c r="T147" s="554">
        <f t="shared" si="59"/>
        <v>5.454692260875257</v>
      </c>
      <c r="U147" s="554">
        <f t="shared" si="59"/>
        <v>5.8868457177933209</v>
      </c>
      <c r="V147" s="554">
        <f t="shared" si="59"/>
        <v>6.3240643069674194</v>
      </c>
      <c r="W147" s="554">
        <f t="shared" si="59"/>
        <v>6.7664234645748849</v>
      </c>
      <c r="X147" s="554">
        <f t="shared" si="59"/>
        <v>7.2140002064829902</v>
      </c>
      <c r="Y147" s="816"/>
      <c r="Z147" s="554"/>
      <c r="AA147" s="554"/>
      <c r="AB147" s="554"/>
      <c r="AC147" s="554"/>
      <c r="AD147" s="554"/>
    </row>
    <row r="148" spans="2:30" ht="13.5" thickBot="1" x14ac:dyDescent="0.25">
      <c r="C148" s="81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828"/>
      <c r="Z148" s="553"/>
      <c r="AA148" s="553"/>
      <c r="AB148" s="553"/>
      <c r="AC148" s="553"/>
      <c r="AD148" s="553"/>
    </row>
    <row r="149" spans="2:30" x14ac:dyDescent="0.2">
      <c r="C149" s="747"/>
      <c r="D149" s="553"/>
      <c r="E149" s="553"/>
      <c r="F149" s="553"/>
      <c r="G149" s="553"/>
      <c r="H149" s="553"/>
      <c r="I149" s="553"/>
      <c r="J149" s="553"/>
      <c r="K149" s="553"/>
      <c r="L149" s="553"/>
      <c r="M149" s="553"/>
      <c r="N149" s="553"/>
      <c r="O149" s="553"/>
      <c r="P149" s="553"/>
      <c r="Q149" s="553"/>
      <c r="R149" s="553"/>
      <c r="S149" s="553"/>
      <c r="T149" s="553"/>
      <c r="U149" s="553"/>
      <c r="V149" s="553"/>
      <c r="W149" s="553"/>
      <c r="X149" s="553"/>
      <c r="Y149" s="553"/>
      <c r="Z149" s="553"/>
      <c r="AA149" s="553"/>
      <c r="AB149" s="553"/>
      <c r="AC149" s="553"/>
      <c r="AD149" s="553"/>
    </row>
    <row r="150" spans="2:30" x14ac:dyDescent="0.2">
      <c r="M150" s="740"/>
      <c r="AA150" s="553"/>
      <c r="AB150" s="553"/>
      <c r="AC150" s="553"/>
      <c r="AD150" s="553"/>
    </row>
    <row r="151" spans="2:30" x14ac:dyDescent="0.2">
      <c r="C151" s="618" t="s">
        <v>585</v>
      </c>
      <c r="M151" s="740"/>
      <c r="AA151" s="553"/>
      <c r="AB151" s="553"/>
      <c r="AC151" s="553"/>
      <c r="AD151" s="553"/>
    </row>
    <row r="152" spans="2:30" x14ac:dyDescent="0.2">
      <c r="B152" s="543">
        <v>1</v>
      </c>
      <c r="C152" s="543" t="s">
        <v>607</v>
      </c>
    </row>
    <row r="153" spans="2:30" x14ac:dyDescent="0.2">
      <c r="B153" s="543">
        <v>2</v>
      </c>
      <c r="C153" s="543" t="s">
        <v>608</v>
      </c>
    </row>
    <row r="154" spans="2:30" x14ac:dyDescent="0.2">
      <c r="B154" s="543">
        <v>3</v>
      </c>
      <c r="C154" s="543" t="s">
        <v>609</v>
      </c>
    </row>
    <row r="155" spans="2:30" x14ac:dyDescent="0.2">
      <c r="B155" s="543">
        <v>4</v>
      </c>
      <c r="C155" s="543" t="s">
        <v>610</v>
      </c>
    </row>
    <row r="156" spans="2:30" x14ac:dyDescent="0.2">
      <c r="B156" s="543">
        <v>5</v>
      </c>
      <c r="C156" s="543" t="s">
        <v>606</v>
      </c>
    </row>
  </sheetData>
  <mergeCells count="8">
    <mergeCell ref="P67:R67"/>
    <mergeCell ref="AB67:AC67"/>
    <mergeCell ref="C4:D4"/>
    <mergeCell ref="C7:D7"/>
    <mergeCell ref="D67:F67"/>
    <mergeCell ref="G67:I67"/>
    <mergeCell ref="J67:L67"/>
    <mergeCell ref="M67:O67"/>
  </mergeCells>
  <phoneticPr fontId="2"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E151"/>
  <sheetViews>
    <sheetView showGridLines="0" zoomScale="70" zoomScaleNormal="70" workbookViewId="0">
      <selection activeCell="H27" sqref="H27"/>
    </sheetView>
  </sheetViews>
  <sheetFormatPr defaultColWidth="9.140625" defaultRowHeight="12.75" x14ac:dyDescent="0.2"/>
  <cols>
    <col min="1" max="1" width="4.140625" style="542" customWidth="1"/>
    <col min="2" max="2" width="5" style="542" customWidth="1"/>
    <col min="3" max="3" width="49.5703125" style="542" customWidth="1"/>
    <col min="4" max="4" width="12.7109375" style="542" customWidth="1"/>
    <col min="5" max="5" width="13.7109375" style="542" customWidth="1"/>
    <col min="6" max="7" width="13.28515625" style="542" customWidth="1"/>
    <col min="8" max="9" width="12.85546875" style="542" customWidth="1"/>
    <col min="10" max="10" width="12.28515625" style="542" customWidth="1"/>
    <col min="11" max="12" width="12.28515625" style="542" bestFit="1" customWidth="1"/>
    <col min="13" max="13" width="12.85546875" style="542" customWidth="1"/>
    <col min="14" max="15" width="12.28515625" style="542" bestFit="1" customWidth="1"/>
    <col min="16" max="16" width="13" style="542" customWidth="1"/>
    <col min="17" max="17" width="13.42578125" style="542" bestFit="1" customWidth="1"/>
    <col min="18" max="18" width="12.28515625" style="542" bestFit="1" customWidth="1"/>
    <col min="19" max="19" width="15" style="542" customWidth="1"/>
    <col min="20" max="20" width="12.28515625" style="542" customWidth="1"/>
    <col min="21" max="21" width="12.28515625" style="542" bestFit="1" customWidth="1"/>
    <col min="22" max="22" width="13.28515625" style="542" customWidth="1"/>
    <col min="23" max="24" width="12.28515625" style="542" bestFit="1" customWidth="1"/>
    <col min="25" max="25" width="11.5703125" style="542" customWidth="1"/>
    <col min="26" max="27" width="12.28515625" style="542" bestFit="1" customWidth="1"/>
    <col min="28" max="28" width="11.7109375" style="542" customWidth="1"/>
    <col min="29" max="30" width="12.28515625" style="542" bestFit="1" customWidth="1"/>
    <col min="31" max="16384" width="9.140625" style="542"/>
  </cols>
  <sheetData>
    <row r="1" spans="1:10" s="831" customFormat="1" ht="20.25" x14ac:dyDescent="0.3">
      <c r="B1" s="567" t="s">
        <v>370</v>
      </c>
      <c r="C1" s="832"/>
      <c r="I1" s="833" t="s">
        <v>668</v>
      </c>
    </row>
    <row r="2" spans="1:10" s="835" customFormat="1" ht="18" x14ac:dyDescent="0.25">
      <c r="A2" s="832"/>
      <c r="B2" s="834" t="s">
        <v>547</v>
      </c>
      <c r="D2" s="832"/>
      <c r="E2" s="832"/>
      <c r="F2" s="832"/>
      <c r="G2" s="836"/>
    </row>
    <row r="3" spans="1:10" ht="13.5" thickBot="1" x14ac:dyDescent="0.25"/>
    <row r="4" spans="1:10" x14ac:dyDescent="0.2">
      <c r="C4" s="941" t="s">
        <v>137</v>
      </c>
      <c r="D4" s="942"/>
      <c r="E4" s="519"/>
      <c r="F4" s="520"/>
    </row>
    <row r="5" spans="1:10" x14ac:dyDescent="0.2">
      <c r="C5" s="561"/>
      <c r="D5" s="562"/>
      <c r="E5" s="563"/>
      <c r="F5" s="564"/>
      <c r="G5" s="691"/>
      <c r="H5" s="690"/>
      <c r="I5" s="690"/>
      <c r="J5" s="690"/>
    </row>
    <row r="6" spans="1:10" x14ac:dyDescent="0.2">
      <c r="C6" s="688" t="s">
        <v>138</v>
      </c>
      <c r="D6" s="689"/>
      <c r="F6" s="549"/>
    </row>
    <row r="7" spans="1:10" x14ac:dyDescent="0.2">
      <c r="C7" s="943" t="s">
        <v>336</v>
      </c>
      <c r="D7" s="944"/>
      <c r="E7" s="761">
        <f>IRR(E147:X147,-0.9)</f>
        <v>1.1632780148073341E-2</v>
      </c>
      <c r="F7" s="549"/>
    </row>
    <row r="8" spans="1:10" x14ac:dyDescent="0.2">
      <c r="C8" s="688" t="s">
        <v>373</v>
      </c>
      <c r="D8" s="236"/>
      <c r="E8" s="692"/>
      <c r="F8" s="549"/>
    </row>
    <row r="9" spans="1:10" x14ac:dyDescent="0.2">
      <c r="C9" s="693" t="s">
        <v>128</v>
      </c>
      <c r="D9" s="236"/>
      <c r="E9" s="694">
        <f>NPV(0.1,E147:X147)</f>
        <v>-1.2063423307723447</v>
      </c>
      <c r="F9" s="549"/>
    </row>
    <row r="10" spans="1:10" x14ac:dyDescent="0.2">
      <c r="C10" s="693" t="s">
        <v>367</v>
      </c>
      <c r="D10" s="236"/>
      <c r="E10" s="695">
        <f>NPV(0.1,E63:I63)</f>
        <v>2.2595470885842106</v>
      </c>
      <c r="F10" s="549"/>
    </row>
    <row r="11" spans="1:10" x14ac:dyDescent="0.2">
      <c r="C11" s="693" t="s">
        <v>384</v>
      </c>
      <c r="D11" s="236"/>
      <c r="E11" s="694">
        <f>E9+E10</f>
        <v>1.053204757811866</v>
      </c>
      <c r="F11" s="696"/>
    </row>
    <row r="12" spans="1:10" x14ac:dyDescent="0.2">
      <c r="C12" s="693" t="s">
        <v>368</v>
      </c>
      <c r="D12" s="236"/>
      <c r="E12" s="694">
        <f>NPV(0.1,E62:X62)</f>
        <v>3.0908902549459012</v>
      </c>
      <c r="F12" s="549"/>
    </row>
    <row r="13" spans="1:10" x14ac:dyDescent="0.2">
      <c r="C13" s="693" t="s">
        <v>369</v>
      </c>
      <c r="D13" s="236"/>
      <c r="E13" s="694">
        <f>NPV(0.1,E146:X146)</f>
        <v>1.8845479241735579</v>
      </c>
      <c r="F13" s="549"/>
    </row>
    <row r="14" spans="1:10" ht="13.5" thickBot="1" x14ac:dyDescent="0.25">
      <c r="C14" s="697" t="s">
        <v>136</v>
      </c>
      <c r="D14" s="698"/>
      <c r="E14" s="699">
        <f>E13/E12</f>
        <v>0.60971039691816642</v>
      </c>
      <c r="F14" s="700"/>
    </row>
    <row r="16" spans="1:10" ht="13.5" thickBot="1" x14ac:dyDescent="0.25"/>
    <row r="17" spans="3:30" s="543" customFormat="1"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30" s="543" customFormat="1" x14ac:dyDescent="0.2">
      <c r="C18" s="565" t="s">
        <v>616</v>
      </c>
      <c r="D18" s="524" t="s">
        <v>130</v>
      </c>
      <c r="E18" s="525"/>
      <c r="F18" s="526"/>
      <c r="G18" s="526"/>
      <c r="H18" s="526"/>
      <c r="I18" s="527"/>
      <c r="J18" s="526"/>
      <c r="K18" s="526"/>
      <c r="L18" s="526"/>
      <c r="M18" s="526"/>
      <c r="N18" s="526"/>
      <c r="O18" s="526"/>
      <c r="P18" s="526"/>
      <c r="Q18" s="526"/>
      <c r="R18" s="526"/>
      <c r="S18" s="526"/>
      <c r="T18" s="526"/>
      <c r="U18" s="526"/>
      <c r="V18" s="526"/>
      <c r="W18" s="526"/>
      <c r="X18" s="526"/>
      <c r="Y18" s="528"/>
    </row>
    <row r="19" spans="3:30" x14ac:dyDescent="0.2">
      <c r="C19" s="703"/>
      <c r="D19" s="704"/>
      <c r="Y19" s="549"/>
    </row>
    <row r="20" spans="3:30" s="111"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30" x14ac:dyDescent="0.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30" x14ac:dyDescent="0.2">
      <c r="C22" s="548"/>
      <c r="D22" s="704">
        <v>2008</v>
      </c>
      <c r="E22" s="704">
        <f t="shared" ref="E22:U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ref="V22:X22" si="2">U22+1</f>
        <v>2026</v>
      </c>
      <c r="W22" s="704">
        <f t="shared" si="2"/>
        <v>2027</v>
      </c>
      <c r="X22" s="704">
        <f t="shared" si="2"/>
        <v>2028</v>
      </c>
      <c r="Y22" s="813"/>
      <c r="Z22" s="704"/>
      <c r="AA22" s="704"/>
      <c r="AB22" s="704"/>
      <c r="AC22" s="704"/>
      <c r="AD22" s="704"/>
    </row>
    <row r="23" spans="3:30"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row>
    <row r="24" spans="3:30"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P24" s="557"/>
      <c r="Y24" s="549"/>
    </row>
    <row r="25" spans="3:30" x14ac:dyDescent="0.2">
      <c r="C25" s="703"/>
      <c r="Y25" s="549"/>
    </row>
    <row r="26" spans="3:30" x14ac:dyDescent="0.2">
      <c r="C26" s="708" t="s">
        <v>55</v>
      </c>
      <c r="Y26" s="549"/>
    </row>
    <row r="27" spans="3:30"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Y27" s="549"/>
    </row>
    <row r="28" spans="3:30" x14ac:dyDescent="0.2">
      <c r="C28" s="709" t="s">
        <v>57</v>
      </c>
      <c r="D28" s="542">
        <v>0</v>
      </c>
      <c r="E28" s="710">
        <f>E27*$AA$69/E24</f>
        <v>1.3173171162528025E-2</v>
      </c>
      <c r="F28" s="710">
        <f t="shared" ref="F28:J28" si="3">F27*$AA$69/F24</f>
        <v>7.4263752428751745E-2</v>
      </c>
      <c r="G28" s="710">
        <f t="shared" si="3"/>
        <v>0.71273002590941059</v>
      </c>
      <c r="H28" s="710">
        <f t="shared" si="3"/>
        <v>0.66946784922394686</v>
      </c>
      <c r="I28" s="710">
        <f t="shared" si="3"/>
        <v>0.84802000000000011</v>
      </c>
      <c r="J28" s="710">
        <f t="shared" si="3"/>
        <v>7.7431693989071043E-2</v>
      </c>
      <c r="Y28" s="549"/>
    </row>
    <row r="29" spans="3:30"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815"/>
      <c r="Z29" s="711"/>
      <c r="AA29" s="711"/>
      <c r="AB29" s="711"/>
      <c r="AC29" s="711"/>
      <c r="AD29" s="711"/>
    </row>
    <row r="30" spans="3:30" x14ac:dyDescent="0.2">
      <c r="C30" s="806"/>
      <c r="Y30" s="549"/>
    </row>
    <row r="31" spans="3:30" x14ac:dyDescent="0.2">
      <c r="C31" s="708" t="s">
        <v>360</v>
      </c>
      <c r="D31" s="711">
        <v>0</v>
      </c>
      <c r="E31" s="711">
        <f>E$27*Assumptions!$F$25/10^6</f>
        <v>3.1882561600000002E-3</v>
      </c>
      <c r="F31" s="711">
        <f>F$27*Assumptions!$F$25/10^6</f>
        <v>1.9926601000000002E-2</v>
      </c>
      <c r="G31" s="711">
        <f>G$27*Assumptions!$F$25/10^6</f>
        <v>0.21201903464000002</v>
      </c>
      <c r="H31" s="711">
        <f>H$27*Assumptions!$F$25/10^6</f>
        <v>0.22078673908000002</v>
      </c>
      <c r="I31" s="711">
        <f>I$27*Assumptions!$F$25/10^6</f>
        <v>0.31005791156000001</v>
      </c>
      <c r="J31" s="711"/>
      <c r="K31" s="711"/>
      <c r="L31" s="711"/>
      <c r="M31" s="711"/>
      <c r="N31" s="711"/>
      <c r="O31" s="711"/>
      <c r="P31" s="711"/>
      <c r="Q31" s="711"/>
      <c r="R31" s="711"/>
      <c r="S31" s="711"/>
      <c r="T31" s="711"/>
      <c r="U31" s="711"/>
      <c r="V31" s="711"/>
      <c r="W31" s="711"/>
      <c r="X31" s="711"/>
      <c r="Y31" s="815"/>
      <c r="Z31" s="711"/>
      <c r="AA31" s="711"/>
      <c r="AB31" s="711"/>
      <c r="AC31" s="711"/>
      <c r="AD31" s="711"/>
    </row>
    <row r="32" spans="3:30" x14ac:dyDescent="0.2">
      <c r="C32" s="708" t="s">
        <v>361</v>
      </c>
      <c r="D32" s="711">
        <v>0</v>
      </c>
      <c r="E32" s="711">
        <f>E$27*Assumptions!$G$25/10^6</f>
        <v>5.52E-5</v>
      </c>
      <c r="F32" s="711">
        <f>F$27*Assumptions!$G$25/10^6</f>
        <v>3.4499999999999998E-4</v>
      </c>
      <c r="G32" s="711">
        <f>G$27*Assumptions!$G$25/10^6</f>
        <v>3.6708000000000001E-3</v>
      </c>
      <c r="H32" s="711">
        <f>H$27*Assumptions!$G$25/10^6</f>
        <v>3.8226000000000002E-3</v>
      </c>
      <c r="I32" s="711">
        <f>I$27*Assumptions!$G$25/10^6</f>
        <v>5.3682000000000001E-3</v>
      </c>
      <c r="J32" s="711"/>
      <c r="K32" s="711"/>
      <c r="L32" s="711"/>
      <c r="M32" s="711"/>
      <c r="N32" s="711"/>
      <c r="O32" s="711"/>
      <c r="P32" s="711"/>
      <c r="Q32" s="711"/>
      <c r="R32" s="711"/>
      <c r="S32" s="711"/>
      <c r="T32" s="711"/>
      <c r="U32" s="711"/>
      <c r="V32" s="711"/>
      <c r="W32" s="711"/>
      <c r="X32" s="711"/>
      <c r="Y32" s="815"/>
      <c r="Z32" s="711"/>
      <c r="AA32" s="711"/>
      <c r="AB32" s="711"/>
      <c r="AC32" s="711"/>
      <c r="AD32" s="711"/>
    </row>
    <row r="33" spans="3:30" x14ac:dyDescent="0.2">
      <c r="C33" s="708" t="s">
        <v>362</v>
      </c>
      <c r="D33" s="711">
        <v>0</v>
      </c>
      <c r="E33" s="711">
        <f>Assumptions!$H$25/10^6</f>
        <v>0</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row>
    <row r="34" spans="3:30"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815"/>
      <c r="Z34" s="711"/>
      <c r="AA34" s="711"/>
      <c r="AB34" s="711"/>
      <c r="AC34" s="711"/>
      <c r="AD34" s="711"/>
    </row>
    <row r="35" spans="3:30" x14ac:dyDescent="0.2">
      <c r="C35" s="708" t="s">
        <v>31</v>
      </c>
      <c r="D35" s="553"/>
      <c r="E35" s="553"/>
      <c r="Y35" s="549"/>
    </row>
    <row r="36" spans="3:30" x14ac:dyDescent="0.2">
      <c r="C36" s="709" t="s">
        <v>10</v>
      </c>
      <c r="D36" s="553">
        <f>Assumptions!F48</f>
        <v>655.42500000000007</v>
      </c>
      <c r="E36" s="553">
        <f>D36</f>
        <v>655.42500000000007</v>
      </c>
      <c r="F36" s="553">
        <f t="shared" ref="F36:U39" si="4">E36</f>
        <v>655.42500000000007</v>
      </c>
      <c r="G36" s="553">
        <f t="shared" si="4"/>
        <v>655.42500000000007</v>
      </c>
      <c r="H36" s="553">
        <f t="shared" si="4"/>
        <v>655.42500000000007</v>
      </c>
      <c r="I36" s="553">
        <f t="shared" si="4"/>
        <v>655.42500000000007</v>
      </c>
      <c r="J36" s="553">
        <f t="shared" si="4"/>
        <v>655.42500000000007</v>
      </c>
      <c r="K36" s="553">
        <f t="shared" si="4"/>
        <v>655.42500000000007</v>
      </c>
      <c r="L36" s="553">
        <f t="shared" si="4"/>
        <v>655.42500000000007</v>
      </c>
      <c r="M36" s="553">
        <f t="shared" si="4"/>
        <v>655.42500000000007</v>
      </c>
      <c r="N36" s="553">
        <f t="shared" si="4"/>
        <v>655.42500000000007</v>
      </c>
      <c r="O36" s="553">
        <f t="shared" si="4"/>
        <v>655.42500000000007</v>
      </c>
      <c r="P36" s="553">
        <f t="shared" si="4"/>
        <v>655.42500000000007</v>
      </c>
      <c r="Q36" s="553">
        <f t="shared" si="4"/>
        <v>655.42500000000007</v>
      </c>
      <c r="R36" s="553">
        <f t="shared" si="4"/>
        <v>655.42500000000007</v>
      </c>
      <c r="S36" s="553">
        <f t="shared" si="4"/>
        <v>655.42500000000007</v>
      </c>
      <c r="T36" s="553">
        <f t="shared" si="4"/>
        <v>655.42500000000007</v>
      </c>
      <c r="U36" s="553">
        <f t="shared" si="4"/>
        <v>655.42500000000007</v>
      </c>
      <c r="V36" s="553">
        <f t="shared" ref="V36:X39" si="5">U36</f>
        <v>655.42500000000007</v>
      </c>
      <c r="W36" s="553">
        <f t="shared" si="5"/>
        <v>655.42500000000007</v>
      </c>
      <c r="X36" s="553">
        <f t="shared" si="5"/>
        <v>655.42500000000007</v>
      </c>
      <c r="Y36" s="814"/>
      <c r="Z36" s="553"/>
      <c r="AA36" s="553"/>
      <c r="AB36" s="553"/>
      <c r="AC36" s="553"/>
      <c r="AD36" s="553"/>
    </row>
    <row r="37" spans="3:30" x14ac:dyDescent="0.2">
      <c r="C37" s="709" t="s">
        <v>44</v>
      </c>
      <c r="D37" s="553">
        <f>Assumptions!F49</f>
        <v>296.7</v>
      </c>
      <c r="E37" s="553">
        <f>D37</f>
        <v>296.7</v>
      </c>
      <c r="F37" s="553">
        <f t="shared" si="4"/>
        <v>296.7</v>
      </c>
      <c r="G37" s="553">
        <f t="shared" si="4"/>
        <v>296.7</v>
      </c>
      <c r="H37" s="553">
        <f t="shared" si="4"/>
        <v>296.7</v>
      </c>
      <c r="I37" s="553">
        <f t="shared" si="4"/>
        <v>296.7</v>
      </c>
      <c r="J37" s="553">
        <f t="shared" si="4"/>
        <v>296.7</v>
      </c>
      <c r="K37" s="553">
        <f t="shared" si="4"/>
        <v>296.7</v>
      </c>
      <c r="L37" s="553">
        <f t="shared" si="4"/>
        <v>296.7</v>
      </c>
      <c r="M37" s="553">
        <f t="shared" si="4"/>
        <v>296.7</v>
      </c>
      <c r="N37" s="553">
        <f t="shared" si="4"/>
        <v>296.7</v>
      </c>
      <c r="O37" s="553">
        <f t="shared" si="4"/>
        <v>296.7</v>
      </c>
      <c r="P37" s="553">
        <f t="shared" si="4"/>
        <v>296.7</v>
      </c>
      <c r="Q37" s="553">
        <f t="shared" si="4"/>
        <v>296.7</v>
      </c>
      <c r="R37" s="553">
        <f t="shared" si="4"/>
        <v>296.7</v>
      </c>
      <c r="S37" s="553">
        <f t="shared" si="4"/>
        <v>296.7</v>
      </c>
      <c r="T37" s="553">
        <f t="shared" si="4"/>
        <v>296.7</v>
      </c>
      <c r="U37" s="553">
        <f t="shared" si="4"/>
        <v>296.7</v>
      </c>
      <c r="V37" s="553">
        <f t="shared" si="5"/>
        <v>296.7</v>
      </c>
      <c r="W37" s="553">
        <f t="shared" si="5"/>
        <v>296.7</v>
      </c>
      <c r="X37" s="553">
        <f t="shared" si="5"/>
        <v>296.7</v>
      </c>
      <c r="Y37" s="814"/>
      <c r="Z37" s="553"/>
      <c r="AA37" s="553"/>
      <c r="AB37" s="553"/>
      <c r="AC37" s="553"/>
      <c r="AD37" s="553"/>
    </row>
    <row r="38" spans="3:30" x14ac:dyDescent="0.2">
      <c r="C38" s="709" t="s">
        <v>45</v>
      </c>
      <c r="D38" s="553">
        <f>Assumptions!F50</f>
        <v>407.25</v>
      </c>
      <c r="E38" s="553">
        <f>D38</f>
        <v>407.25</v>
      </c>
      <c r="F38" s="553">
        <f t="shared" si="4"/>
        <v>407.25</v>
      </c>
      <c r="G38" s="553">
        <f t="shared" si="4"/>
        <v>407.25</v>
      </c>
      <c r="H38" s="553">
        <f t="shared" si="4"/>
        <v>407.25</v>
      </c>
      <c r="I38" s="553">
        <f t="shared" si="4"/>
        <v>407.25</v>
      </c>
      <c r="J38" s="553">
        <f t="shared" si="4"/>
        <v>407.25</v>
      </c>
      <c r="K38" s="553">
        <f t="shared" si="4"/>
        <v>407.25</v>
      </c>
      <c r="L38" s="553">
        <f t="shared" si="4"/>
        <v>407.25</v>
      </c>
      <c r="M38" s="553">
        <f t="shared" si="4"/>
        <v>407.25</v>
      </c>
      <c r="N38" s="553">
        <f t="shared" si="4"/>
        <v>407.25</v>
      </c>
      <c r="O38" s="553">
        <f t="shared" si="4"/>
        <v>407.25</v>
      </c>
      <c r="P38" s="553">
        <f t="shared" si="4"/>
        <v>407.25</v>
      </c>
      <c r="Q38" s="553">
        <f t="shared" si="4"/>
        <v>407.25</v>
      </c>
      <c r="R38" s="553">
        <f t="shared" si="4"/>
        <v>407.25</v>
      </c>
      <c r="S38" s="553">
        <f t="shared" si="4"/>
        <v>407.25</v>
      </c>
      <c r="T38" s="553">
        <f t="shared" si="4"/>
        <v>407.25</v>
      </c>
      <c r="U38" s="553">
        <f t="shared" si="4"/>
        <v>407.25</v>
      </c>
      <c r="V38" s="553">
        <f t="shared" si="5"/>
        <v>407.25</v>
      </c>
      <c r="W38" s="553">
        <f t="shared" si="5"/>
        <v>407.25</v>
      </c>
      <c r="X38" s="553">
        <f t="shared" si="5"/>
        <v>407.25</v>
      </c>
      <c r="Y38" s="814"/>
      <c r="Z38" s="553"/>
      <c r="AA38" s="553"/>
      <c r="AB38" s="553"/>
      <c r="AC38" s="553"/>
      <c r="AD38" s="553"/>
    </row>
    <row r="39" spans="3:30" x14ac:dyDescent="0.2">
      <c r="C39" s="712" t="s">
        <v>162</v>
      </c>
      <c r="D39" s="553">
        <f>Assumptions!F51</f>
        <v>400</v>
      </c>
      <c r="E39" s="553">
        <f>D39</f>
        <v>400</v>
      </c>
      <c r="F39" s="553">
        <f t="shared" si="4"/>
        <v>400</v>
      </c>
      <c r="G39" s="553">
        <f t="shared" si="4"/>
        <v>400</v>
      </c>
      <c r="H39" s="553">
        <f t="shared" si="4"/>
        <v>400</v>
      </c>
      <c r="I39" s="553">
        <f t="shared" si="4"/>
        <v>400</v>
      </c>
      <c r="J39" s="553">
        <f t="shared" si="4"/>
        <v>400</v>
      </c>
      <c r="K39" s="553">
        <f t="shared" si="4"/>
        <v>400</v>
      </c>
      <c r="L39" s="553">
        <f t="shared" si="4"/>
        <v>400</v>
      </c>
      <c r="M39" s="553">
        <f t="shared" si="4"/>
        <v>400</v>
      </c>
      <c r="N39" s="553">
        <f t="shared" si="4"/>
        <v>400</v>
      </c>
      <c r="O39" s="553">
        <f t="shared" si="4"/>
        <v>400</v>
      </c>
      <c r="P39" s="553">
        <f t="shared" si="4"/>
        <v>400</v>
      </c>
      <c r="Q39" s="553">
        <f t="shared" si="4"/>
        <v>400</v>
      </c>
      <c r="R39" s="553">
        <f t="shared" si="4"/>
        <v>400</v>
      </c>
      <c r="S39" s="553">
        <f t="shared" si="4"/>
        <v>400</v>
      </c>
      <c r="T39" s="553">
        <f t="shared" si="4"/>
        <v>400</v>
      </c>
      <c r="U39" s="553">
        <f t="shared" si="4"/>
        <v>400</v>
      </c>
      <c r="V39" s="553">
        <f t="shared" si="5"/>
        <v>400</v>
      </c>
      <c r="W39" s="553">
        <f t="shared" si="5"/>
        <v>400</v>
      </c>
      <c r="X39" s="553">
        <f t="shared" si="5"/>
        <v>400</v>
      </c>
      <c r="Y39" s="814"/>
      <c r="Z39" s="553"/>
      <c r="AA39" s="553"/>
      <c r="AB39" s="553"/>
      <c r="AC39" s="553"/>
      <c r="AD39" s="553"/>
    </row>
    <row r="40" spans="3:30"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row>
    <row r="41" spans="3:30" x14ac:dyDescent="0.2">
      <c r="C41" s="708" t="s">
        <v>28</v>
      </c>
      <c r="D41" s="553"/>
      <c r="E41" s="553"/>
      <c r="F41" s="553"/>
      <c r="G41" s="553"/>
      <c r="H41" s="553"/>
      <c r="I41" s="553"/>
      <c r="Y41" s="549"/>
    </row>
    <row r="42" spans="3:30" x14ac:dyDescent="0.2">
      <c r="C42" s="709" t="s">
        <v>10</v>
      </c>
      <c r="D42" s="553">
        <f>D77*D36*0.001</f>
        <v>0</v>
      </c>
      <c r="E42" s="553">
        <f t="shared" ref="E42:E44" si="6">(E77-D77)*E36*0.001</f>
        <v>0</v>
      </c>
      <c r="F42" s="553">
        <f t="shared" ref="F42:F44" si="7">(F77-E77)*F36*0.001</f>
        <v>0</v>
      </c>
      <c r="G42" s="553">
        <f t="shared" ref="G42:G44" si="8">(G77-F77)*G36*0.001</f>
        <v>0</v>
      </c>
      <c r="H42" s="553">
        <f t="shared" ref="H42:H44" si="9">(H77-G77)*H36*0.001</f>
        <v>0</v>
      </c>
      <c r="I42" s="553">
        <f t="shared" ref="I42:X42" si="10">(I77-H77)*I36*0.001</f>
        <v>3.5402388120000006</v>
      </c>
      <c r="J42" s="553">
        <f t="shared" si="10"/>
        <v>3.8677109021100007</v>
      </c>
      <c r="K42" s="553">
        <f t="shared" si="10"/>
        <v>1.0124197942616977</v>
      </c>
      <c r="L42" s="553">
        <f t="shared" si="10"/>
        <v>0.19366849869254851</v>
      </c>
      <c r="M42" s="553">
        <f t="shared" si="10"/>
        <v>0.19812287416247676</v>
      </c>
      <c r="N42" s="553">
        <f t="shared" si="10"/>
        <v>0.20267970026821389</v>
      </c>
      <c r="O42" s="553">
        <f t="shared" si="10"/>
        <v>0.20734133337438193</v>
      </c>
      <c r="P42" s="553">
        <f t="shared" si="10"/>
        <v>0.21211018404199333</v>
      </c>
      <c r="Q42" s="553">
        <f t="shared" si="10"/>
        <v>0.21698871827496022</v>
      </c>
      <c r="R42" s="553">
        <f t="shared" si="10"/>
        <v>0.22197945879528266</v>
      </c>
      <c r="S42" s="553">
        <f t="shared" si="10"/>
        <v>0.22708498634757479</v>
      </c>
      <c r="T42" s="553">
        <f t="shared" si="10"/>
        <v>0.23230794103356922</v>
      </c>
      <c r="U42" s="553">
        <f t="shared" si="10"/>
        <v>0.23765102367734078</v>
      </c>
      <c r="V42" s="553">
        <f t="shared" si="10"/>
        <v>0.24311699722192023</v>
      </c>
      <c r="W42" s="553">
        <f t="shared" si="10"/>
        <v>0.24870868815802422</v>
      </c>
      <c r="X42" s="553">
        <f t="shared" si="10"/>
        <v>0.25442898798565838</v>
      </c>
      <c r="Y42" s="814"/>
      <c r="Z42" s="553"/>
      <c r="AA42" s="553"/>
      <c r="AB42" s="553"/>
      <c r="AC42" s="553"/>
      <c r="AD42" s="553"/>
    </row>
    <row r="43" spans="3:30" x14ac:dyDescent="0.2">
      <c r="C43" s="709" t="s">
        <v>44</v>
      </c>
      <c r="D43" s="553">
        <v>0</v>
      </c>
      <c r="E43" s="553">
        <f t="shared" si="6"/>
        <v>0</v>
      </c>
      <c r="F43" s="553">
        <f t="shared" si="7"/>
        <v>0</v>
      </c>
      <c r="G43" s="553">
        <f t="shared" si="8"/>
        <v>0</v>
      </c>
      <c r="H43" s="553">
        <f t="shared" si="9"/>
        <v>0</v>
      </c>
      <c r="I43" s="553">
        <f t="shared" ref="I43:X43" si="11">(I78-H78)*I37*0.001</f>
        <v>20.032590599999999</v>
      </c>
      <c r="J43" s="553">
        <f t="shared" si="11"/>
        <v>21.885605230499994</v>
      </c>
      <c r="K43" s="553">
        <f t="shared" si="11"/>
        <v>5.728820096834994</v>
      </c>
      <c r="L43" s="553">
        <f t="shared" si="11"/>
        <v>1.0958813663287008</v>
      </c>
      <c r="M43" s="553">
        <f t="shared" si="11"/>
        <v>1.1210866377542577</v>
      </c>
      <c r="N43" s="553">
        <f t="shared" si="11"/>
        <v>1.1468716304226132</v>
      </c>
      <c r="O43" s="553">
        <f t="shared" si="11"/>
        <v>1.1732496779223218</v>
      </c>
      <c r="P43" s="553">
        <f t="shared" si="11"/>
        <v>1.200234420514541</v>
      </c>
      <c r="Q43" s="553">
        <f t="shared" si="11"/>
        <v>1.2278398121863696</v>
      </c>
      <c r="R43" s="553">
        <f t="shared" si="11"/>
        <v>1.2560801278666684</v>
      </c>
      <c r="S43" s="553">
        <f t="shared" si="11"/>
        <v>1.2849699708075926</v>
      </c>
      <c r="T43" s="553">
        <f t="shared" si="11"/>
        <v>1.3145242801361772</v>
      </c>
      <c r="U43" s="553">
        <f t="shared" si="11"/>
        <v>1.3447583385793003</v>
      </c>
      <c r="V43" s="553">
        <f t="shared" si="11"/>
        <v>1.3756877803666272</v>
      </c>
      <c r="W43" s="553">
        <f t="shared" si="11"/>
        <v>1.4073285993150426</v>
      </c>
      <c r="X43" s="553">
        <f t="shared" si="11"/>
        <v>1.4396971570993045</v>
      </c>
      <c r="Y43" s="814"/>
      <c r="Z43" s="553"/>
      <c r="AA43" s="553"/>
      <c r="AB43" s="553"/>
      <c r="AC43" s="553"/>
      <c r="AD43" s="553"/>
    </row>
    <row r="44" spans="3:30" x14ac:dyDescent="0.2">
      <c r="C44" s="709" t="s">
        <v>45</v>
      </c>
      <c r="D44" s="553">
        <v>0</v>
      </c>
      <c r="E44" s="553">
        <f t="shared" si="6"/>
        <v>0</v>
      </c>
      <c r="F44" s="553">
        <f t="shared" si="7"/>
        <v>0</v>
      </c>
      <c r="G44" s="553">
        <f t="shared" si="8"/>
        <v>0</v>
      </c>
      <c r="H44" s="553">
        <f t="shared" si="9"/>
        <v>0</v>
      </c>
      <c r="I44" s="553">
        <f t="shared" ref="I44:X44" si="12">(I79-H79)*I38*0.001</f>
        <v>49.543728950133001</v>
      </c>
      <c r="J44" s="553">
        <f t="shared" si="12"/>
        <v>54.126523878020286</v>
      </c>
      <c r="K44" s="553">
        <f t="shared" si="12"/>
        <v>14.168267886514286</v>
      </c>
      <c r="L44" s="553">
        <f t="shared" si="12"/>
        <v>2.7102859764373259</v>
      </c>
      <c r="M44" s="553">
        <f t="shared" si="12"/>
        <v>2.7726225538954101</v>
      </c>
      <c r="N44" s="553">
        <f t="shared" si="12"/>
        <v>2.8363928726350123</v>
      </c>
      <c r="O44" s="553">
        <f t="shared" si="12"/>
        <v>2.9016299087055661</v>
      </c>
      <c r="P44" s="553">
        <f t="shared" si="12"/>
        <v>2.9683673966058413</v>
      </c>
      <c r="Q44" s="553">
        <f t="shared" si="12"/>
        <v>3.0366398467277524</v>
      </c>
      <c r="R44" s="553">
        <f t="shared" si="12"/>
        <v>3.1064825632024999</v>
      </c>
      <c r="S44" s="553">
        <f t="shared" si="12"/>
        <v>3.1779316621561611</v>
      </c>
      <c r="T44" s="553">
        <f t="shared" si="12"/>
        <v>3.2510240903857675</v>
      </c>
      <c r="U44" s="553">
        <f t="shared" si="12"/>
        <v>3.3257976444646169</v>
      </c>
      <c r="V44" s="553">
        <f t="shared" si="12"/>
        <v>3.4022909902873129</v>
      </c>
      <c r="W44" s="553">
        <f t="shared" si="12"/>
        <v>3.4805436830638801</v>
      </c>
      <c r="X44" s="553">
        <f t="shared" si="12"/>
        <v>3.5605961877743919</v>
      </c>
      <c r="Y44" s="814"/>
      <c r="Z44" s="553"/>
      <c r="AA44" s="553"/>
      <c r="AB44" s="553"/>
      <c r="AC44" s="553"/>
      <c r="AD44" s="553"/>
    </row>
    <row r="45" spans="3:30" x14ac:dyDescent="0.2">
      <c r="C45" s="712" t="s">
        <v>162</v>
      </c>
      <c r="D45" s="553">
        <v>0</v>
      </c>
      <c r="E45" s="553">
        <f t="shared" ref="E45" si="13">(E81-D81)*E39*0.001</f>
        <v>0</v>
      </c>
      <c r="F45" s="553">
        <f t="shared" ref="F45" si="14">(F81-E81)*F39*0.001</f>
        <v>0</v>
      </c>
      <c r="G45" s="553">
        <f t="shared" ref="G45" si="15">(G81-F81)*G39*0.001</f>
        <v>0</v>
      </c>
      <c r="H45" s="553">
        <f t="shared" ref="H45" si="16">(H81-G81)*H39*0.001</f>
        <v>0</v>
      </c>
      <c r="I45" s="553">
        <f t="shared" ref="I45:X45" si="17">(I81-H81)*I39*0.001</f>
        <v>0</v>
      </c>
      <c r="J45" s="553">
        <f t="shared" si="17"/>
        <v>0</v>
      </c>
      <c r="K45" s="553">
        <f t="shared" si="17"/>
        <v>0</v>
      </c>
      <c r="L45" s="553">
        <f t="shared" si="17"/>
        <v>0</v>
      </c>
      <c r="M45" s="553">
        <f t="shared" si="17"/>
        <v>0</v>
      </c>
      <c r="N45" s="553">
        <f t="shared" si="17"/>
        <v>0</v>
      </c>
      <c r="O45" s="553">
        <f t="shared" si="17"/>
        <v>0</v>
      </c>
      <c r="P45" s="553">
        <f t="shared" si="17"/>
        <v>0</v>
      </c>
      <c r="Q45" s="553">
        <f t="shared" si="17"/>
        <v>0</v>
      </c>
      <c r="R45" s="553">
        <f t="shared" si="17"/>
        <v>0</v>
      </c>
      <c r="S45" s="553">
        <f t="shared" si="17"/>
        <v>0</v>
      </c>
      <c r="T45" s="553">
        <f t="shared" si="17"/>
        <v>0</v>
      </c>
      <c r="U45" s="553">
        <f t="shared" si="17"/>
        <v>0</v>
      </c>
      <c r="V45" s="553">
        <f t="shared" si="17"/>
        <v>0</v>
      </c>
      <c r="W45" s="553">
        <f t="shared" si="17"/>
        <v>0</v>
      </c>
      <c r="X45" s="553">
        <f t="shared" si="17"/>
        <v>0</v>
      </c>
      <c r="Y45" s="814"/>
      <c r="Z45" s="553"/>
      <c r="AA45" s="553"/>
      <c r="AB45" s="553"/>
      <c r="AC45" s="553"/>
      <c r="AD45" s="553"/>
    </row>
    <row r="46" spans="3:30" x14ac:dyDescent="0.2">
      <c r="C46" s="713" t="s">
        <v>32</v>
      </c>
      <c r="D46" s="554">
        <f>SUM(D42:D44)*0.001</f>
        <v>0</v>
      </c>
      <c r="E46" s="554">
        <f>SUM(E42:E44)*0.001</f>
        <v>0</v>
      </c>
      <c r="F46" s="554">
        <f>SUM(F42:F44)*0.001</f>
        <v>0</v>
      </c>
      <c r="G46" s="554">
        <f>SUM(G42:G44)*0.001</f>
        <v>0</v>
      </c>
      <c r="H46" s="554">
        <f>SUM(H42:H44)*0.001</f>
        <v>0</v>
      </c>
      <c r="I46" s="554">
        <f>SUM(I42:I45)*0.001</f>
        <v>7.3116558362133002E-2</v>
      </c>
      <c r="J46" s="554">
        <f t="shared" ref="J46:X46" si="18">SUM(J42:J45)*0.001</f>
        <v>7.9879840010630296E-2</v>
      </c>
      <c r="K46" s="554">
        <f t="shared" si="18"/>
        <v>2.0909507777610976E-2</v>
      </c>
      <c r="L46" s="554">
        <f t="shared" si="18"/>
        <v>3.9998358414585758E-3</v>
      </c>
      <c r="M46" s="554">
        <f t="shared" si="18"/>
        <v>4.091832065812144E-3</v>
      </c>
      <c r="N46" s="554">
        <f t="shared" si="18"/>
        <v>4.1859442033258393E-3</v>
      </c>
      <c r="O46" s="554">
        <f t="shared" si="18"/>
        <v>4.2822209200022695E-3</v>
      </c>
      <c r="P46" s="554">
        <f t="shared" si="18"/>
        <v>4.3807120011623759E-3</v>
      </c>
      <c r="Q46" s="554">
        <f t="shared" si="18"/>
        <v>4.4814683771890827E-3</v>
      </c>
      <c r="R46" s="554">
        <f t="shared" si="18"/>
        <v>4.5845421498644503E-3</v>
      </c>
      <c r="S46" s="554">
        <f t="shared" si="18"/>
        <v>4.6899866193113289E-3</v>
      </c>
      <c r="T46" s="554">
        <f t="shared" si="18"/>
        <v>4.7978563115555137E-3</v>
      </c>
      <c r="U46" s="554">
        <f t="shared" si="18"/>
        <v>4.9082070067212585E-3</v>
      </c>
      <c r="V46" s="554">
        <f t="shared" si="18"/>
        <v>5.0210957678758607E-3</v>
      </c>
      <c r="W46" s="554">
        <f t="shared" si="18"/>
        <v>5.1365809705369476E-3</v>
      </c>
      <c r="X46" s="554">
        <f t="shared" si="18"/>
        <v>5.2547223328593554E-3</v>
      </c>
      <c r="Y46" s="816"/>
      <c r="Z46" s="554"/>
      <c r="AA46" s="554"/>
      <c r="AB46" s="554"/>
      <c r="AC46" s="554"/>
      <c r="AD46" s="554"/>
    </row>
    <row r="47" spans="3:30" x14ac:dyDescent="0.2">
      <c r="C47" s="807"/>
      <c r="Y47" s="549"/>
    </row>
    <row r="48" spans="3:30" x14ac:dyDescent="0.2">
      <c r="C48" s="708" t="s">
        <v>58</v>
      </c>
      <c r="Y48" s="549"/>
    </row>
    <row r="49" spans="3:31" x14ac:dyDescent="0.2">
      <c r="C49" s="709" t="s">
        <v>59</v>
      </c>
      <c r="D49" s="707">
        <f>LRMC_energy</f>
        <v>0.21552001999999995</v>
      </c>
      <c r="E49" s="707">
        <f>D49</f>
        <v>0.21552001999999995</v>
      </c>
      <c r="F49" s="707">
        <f t="shared" ref="F49:U49" si="19">E49</f>
        <v>0.21552001999999995</v>
      </c>
      <c r="G49" s="707">
        <f t="shared" si="19"/>
        <v>0.21552001999999995</v>
      </c>
      <c r="H49" s="707">
        <f t="shared" si="19"/>
        <v>0.21552001999999995</v>
      </c>
      <c r="I49" s="707">
        <f t="shared" si="19"/>
        <v>0.21552001999999995</v>
      </c>
      <c r="J49" s="707">
        <f t="shared" si="19"/>
        <v>0.21552001999999995</v>
      </c>
      <c r="K49" s="707">
        <f t="shared" si="19"/>
        <v>0.21552001999999995</v>
      </c>
      <c r="L49" s="707">
        <f t="shared" si="19"/>
        <v>0.21552001999999995</v>
      </c>
      <c r="M49" s="707">
        <f t="shared" si="19"/>
        <v>0.21552001999999995</v>
      </c>
      <c r="N49" s="707">
        <f t="shared" si="19"/>
        <v>0.21552001999999995</v>
      </c>
      <c r="O49" s="707">
        <f t="shared" si="19"/>
        <v>0.21552001999999995</v>
      </c>
      <c r="P49" s="707">
        <f t="shared" si="19"/>
        <v>0.21552001999999995</v>
      </c>
      <c r="Q49" s="707">
        <f t="shared" si="19"/>
        <v>0.21552001999999995</v>
      </c>
      <c r="R49" s="707">
        <f t="shared" si="19"/>
        <v>0.21552001999999995</v>
      </c>
      <c r="S49" s="707">
        <f t="shared" si="19"/>
        <v>0.21552001999999995</v>
      </c>
      <c r="T49" s="707">
        <f t="shared" si="19"/>
        <v>0.21552001999999995</v>
      </c>
      <c r="U49" s="707">
        <f t="shared" si="19"/>
        <v>0.21552001999999995</v>
      </c>
      <c r="V49" s="707">
        <f t="shared" ref="V49:X49" si="20">U49</f>
        <v>0.21552001999999995</v>
      </c>
      <c r="W49" s="707">
        <f t="shared" si="20"/>
        <v>0.21552001999999995</v>
      </c>
      <c r="X49" s="707">
        <f t="shared" si="20"/>
        <v>0.21552001999999995</v>
      </c>
      <c r="Y49" s="817"/>
      <c r="Z49" s="707"/>
      <c r="AA49" s="707"/>
      <c r="AB49" s="707"/>
      <c r="AC49" s="707"/>
      <c r="AD49" s="707"/>
    </row>
    <row r="50" spans="3:31" x14ac:dyDescent="0.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row>
    <row r="51" spans="3:31" x14ac:dyDescent="0.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row>
    <row r="52" spans="3:31" x14ac:dyDescent="0.2">
      <c r="C52" s="713" t="s">
        <v>60</v>
      </c>
      <c r="D52" s="558">
        <f t="shared" ref="D52:X52" si="21">IF(D23=1,(D49*D117*(1+D50)*(1+D51)),0)</f>
        <v>0</v>
      </c>
      <c r="E52" s="558">
        <f t="shared" si="21"/>
        <v>0</v>
      </c>
      <c r="F52" s="558">
        <f t="shared" si="21"/>
        <v>0</v>
      </c>
      <c r="G52" s="558">
        <f t="shared" si="21"/>
        <v>0</v>
      </c>
      <c r="H52" s="558">
        <f t="shared" si="21"/>
        <v>0</v>
      </c>
      <c r="I52" s="558">
        <f t="shared" si="21"/>
        <v>4.8597557151601245E-2</v>
      </c>
      <c r="J52" s="558">
        <f t="shared" si="21"/>
        <v>0.10270729222312283</v>
      </c>
      <c r="K52" s="558">
        <f t="shared" si="21"/>
        <v>0.11791139504855244</v>
      </c>
      <c r="L52" s="558">
        <f t="shared" si="21"/>
        <v>0.12182959070601583</v>
      </c>
      <c r="M52" s="558">
        <f t="shared" si="21"/>
        <v>0.12587798800517672</v>
      </c>
      <c r="N52" s="558">
        <f t="shared" si="21"/>
        <v>0.13006091354658877</v>
      </c>
      <c r="O52" s="558">
        <f t="shared" si="21"/>
        <v>0.13438283770374182</v>
      </c>
      <c r="P52" s="558">
        <f t="shared" si="21"/>
        <v>0.13884837940063718</v>
      </c>
      <c r="Q52" s="558">
        <f t="shared" si="21"/>
        <v>0.14346231104812038</v>
      </c>
      <c r="R52" s="558">
        <f t="shared" si="21"/>
        <v>0.14822956364424938</v>
      </c>
      <c r="S52" s="558">
        <f t="shared" si="21"/>
        <v>0.15315523204414774</v>
      </c>
      <c r="T52" s="558">
        <f t="shared" si="21"/>
        <v>0.1582445804049748</v>
      </c>
      <c r="U52" s="558">
        <f t="shared" si="21"/>
        <v>0.16350304781183211</v>
      </c>
      <c r="V52" s="558">
        <f t="shared" si="21"/>
        <v>0.1689362540906193</v>
      </c>
      <c r="W52" s="558">
        <f t="shared" si="21"/>
        <v>0.17455000581405047</v>
      </c>
      <c r="X52" s="558">
        <f t="shared" si="21"/>
        <v>0.1803503025072514</v>
      </c>
      <c r="Y52" s="808"/>
      <c r="Z52" s="558"/>
      <c r="AA52" s="558"/>
      <c r="AB52" s="558"/>
      <c r="AC52" s="558"/>
      <c r="AD52" s="558"/>
      <c r="AE52" s="558"/>
    </row>
    <row r="53" spans="3:31" x14ac:dyDescent="0.2">
      <c r="C53" s="703"/>
      <c r="H53" s="714"/>
      <c r="Y53" s="549"/>
    </row>
    <row r="54" spans="3:31" x14ac:dyDescent="0.2">
      <c r="C54" s="708" t="s">
        <v>77</v>
      </c>
      <c r="D54" s="553"/>
      <c r="E54" s="553"/>
      <c r="Y54" s="549"/>
    </row>
    <row r="55" spans="3:31" x14ac:dyDescent="0.2">
      <c r="C55" s="713" t="s">
        <v>352</v>
      </c>
      <c r="D55" s="711">
        <v>0</v>
      </c>
      <c r="E55" s="711">
        <f>Assumptions!I25/10^6</f>
        <v>0</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row>
    <row r="56" spans="3:31" x14ac:dyDescent="0.2">
      <c r="C56" s="713" t="s">
        <v>29</v>
      </c>
      <c r="D56" s="711">
        <v>0</v>
      </c>
      <c r="E56" s="711">
        <f>E27*Assumptions!$J$25/10^6</f>
        <v>8.1881320000000006E-5</v>
      </c>
      <c r="F56" s="711">
        <f>F27*Assumptions!$J$25/10^6</f>
        <v>5.1175825000000005E-4</v>
      </c>
      <c r="G56" s="711">
        <f>G27*Assumptions!$J$25/10^6</f>
        <v>5.4451077800000015E-3</v>
      </c>
      <c r="H56" s="711">
        <f>H27*Assumptions!$J$25/10^6</f>
        <v>5.6702814100000011E-3</v>
      </c>
      <c r="I56" s="711">
        <f>I27*Assumptions!$J$25/10^6</f>
        <v>7.962958370000002E-3</v>
      </c>
      <c r="J56" s="711"/>
      <c r="K56" s="711"/>
      <c r="L56" s="711"/>
      <c r="M56" s="711"/>
      <c r="N56" s="711"/>
      <c r="O56" s="711"/>
      <c r="P56" s="711"/>
      <c r="Q56" s="711"/>
      <c r="R56" s="711"/>
      <c r="S56" s="711"/>
      <c r="T56" s="711"/>
      <c r="U56" s="711"/>
      <c r="V56" s="711"/>
      <c r="W56" s="711"/>
      <c r="X56" s="711"/>
      <c r="Y56" s="815"/>
      <c r="Z56" s="711"/>
      <c r="AA56" s="711"/>
      <c r="AB56" s="711"/>
      <c r="AC56" s="711"/>
      <c r="AD56" s="711"/>
    </row>
    <row r="57" spans="3:31" x14ac:dyDescent="0.2">
      <c r="C57" s="709" t="s">
        <v>79</v>
      </c>
      <c r="D57" s="711">
        <f>SUM(D55:D56)</f>
        <v>0</v>
      </c>
      <c r="E57" s="711">
        <f>SUM(E55:E56)</f>
        <v>8.1881320000000006E-5</v>
      </c>
      <c r="F57" s="711">
        <f t="shared" ref="F57:I57" si="22">SUM(F55:F56)</f>
        <v>5.1175825000000005E-4</v>
      </c>
      <c r="G57" s="711">
        <f t="shared" si="22"/>
        <v>5.4451077800000015E-3</v>
      </c>
      <c r="H57" s="711">
        <f t="shared" si="22"/>
        <v>5.6702814100000011E-3</v>
      </c>
      <c r="I57" s="711">
        <f t="shared" si="22"/>
        <v>7.962958370000002E-3</v>
      </c>
      <c r="J57" s="711"/>
      <c r="K57" s="711"/>
      <c r="L57" s="711"/>
      <c r="M57" s="711"/>
      <c r="N57" s="711"/>
      <c r="O57" s="711"/>
      <c r="P57" s="711"/>
      <c r="Q57" s="711"/>
      <c r="R57" s="711"/>
      <c r="S57" s="711"/>
      <c r="T57" s="711"/>
      <c r="U57" s="711"/>
      <c r="V57" s="711"/>
      <c r="W57" s="711"/>
      <c r="X57" s="711"/>
      <c r="Y57" s="815"/>
      <c r="Z57" s="711"/>
      <c r="AA57" s="711"/>
      <c r="AB57" s="711"/>
      <c r="AC57" s="711"/>
      <c r="AD57" s="711"/>
    </row>
    <row r="58" spans="3:31"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row>
    <row r="59" spans="3:31" x14ac:dyDescent="0.2">
      <c r="C59" s="708" t="s">
        <v>363</v>
      </c>
      <c r="D59" s="711">
        <v>0</v>
      </c>
      <c r="E59" s="711">
        <f>E$27*Assumptions!$K$25/10^6</f>
        <v>5.148016702432209E-4</v>
      </c>
      <c r="F59" s="711">
        <f>F$27*Assumptions!$K$25/10^6</f>
        <v>3.2175104390201308E-3</v>
      </c>
      <c r="G59" s="711">
        <f>G$27*Assumptions!$K$25/10^6</f>
        <v>3.4234311071174188E-2</v>
      </c>
      <c r="H59" s="711">
        <f>H$27*Assumptions!$K$25/10^6</f>
        <v>3.5650015664343053E-2</v>
      </c>
      <c r="I59" s="711">
        <f>I$27*Assumptions!$K$25/10^6</f>
        <v>5.0064462431153242E-2</v>
      </c>
      <c r="J59" s="711"/>
      <c r="K59" s="711"/>
      <c r="L59" s="711"/>
      <c r="M59" s="711"/>
      <c r="N59" s="711"/>
      <c r="O59" s="711"/>
      <c r="P59" s="711"/>
      <c r="Q59" s="711"/>
      <c r="R59" s="711"/>
      <c r="S59" s="711"/>
      <c r="T59" s="711"/>
      <c r="U59" s="711"/>
      <c r="V59" s="711"/>
      <c r="W59" s="711"/>
      <c r="X59" s="711"/>
      <c r="Y59" s="815"/>
      <c r="Z59" s="711"/>
      <c r="AA59" s="711"/>
      <c r="AB59" s="711"/>
      <c r="AC59" s="711"/>
      <c r="AD59" s="711"/>
    </row>
    <row r="60" spans="3:31" x14ac:dyDescent="0.2">
      <c r="C60" s="708" t="s">
        <v>364</v>
      </c>
      <c r="D60" s="711">
        <v>0</v>
      </c>
      <c r="E60" s="711">
        <f>E$27*Assumptions!$L$25/10^6</f>
        <v>2.3329245925811574E-4</v>
      </c>
      <c r="F60" s="711">
        <f>F$27*Assumptions!$L$25/10^6</f>
        <v>1.4580778703632234E-3</v>
      </c>
      <c r="G60" s="711">
        <f>G$27*Assumptions!$L$25/10^6</f>
        <v>1.5513948540664697E-2</v>
      </c>
      <c r="H60" s="711">
        <f>H$27*Assumptions!$L$25/10^6</f>
        <v>1.6155502803624516E-2</v>
      </c>
      <c r="I60" s="711">
        <f>I$27*Assumptions!$L$25/10^6</f>
        <v>2.2687691662851759E-2</v>
      </c>
      <c r="J60" s="711"/>
      <c r="K60" s="711"/>
      <c r="L60" s="711"/>
      <c r="M60" s="711"/>
      <c r="N60" s="711"/>
      <c r="O60" s="711"/>
      <c r="P60" s="711"/>
      <c r="Q60" s="711"/>
      <c r="R60" s="711"/>
      <c r="S60" s="711"/>
      <c r="T60" s="711"/>
      <c r="U60" s="711"/>
      <c r="V60" s="711"/>
      <c r="W60" s="711"/>
      <c r="X60" s="711"/>
      <c r="Y60" s="815"/>
      <c r="Z60" s="711"/>
      <c r="AA60" s="711"/>
      <c r="AB60" s="711"/>
      <c r="AC60" s="711"/>
      <c r="AD60" s="711"/>
    </row>
    <row r="61" spans="3:31"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row>
    <row r="62" spans="3:31" x14ac:dyDescent="0.2">
      <c r="C62" s="716" t="s">
        <v>100</v>
      </c>
      <c r="D62" s="711">
        <f>SUM(D28:D29,D31:D33,D46,D52,D57,D59:D60)*'ERR &amp; Sensitivity Analysis'!$G$9</f>
        <v>0</v>
      </c>
      <c r="E62" s="711">
        <f>SUM(E28:E29,E31:E33,E46,E52,E57,E59:E60)*'ERR &amp; Sensitivity Analysis'!$G$9</f>
        <v>1.7246602772029364E-2</v>
      </c>
      <c r="F62" s="711">
        <f>SUM(F28:F29,F31:F33,F46,F52,F57,F59:F60)*'ERR &amp; Sensitivity Analysis'!$G$9</f>
        <v>9.97226999881351E-2</v>
      </c>
      <c r="G62" s="711">
        <f>SUM(G28:G29,G31:G33,G46,G52,G57,G59:G60)*'ERR &amp; Sensitivity Analysis'!$G$9</f>
        <v>0.98361322794124939</v>
      </c>
      <c r="H62" s="711">
        <f>SUM(H28:H29,H31:H33,H46,H52,H57,H59:H60)*'ERR &amp; Sensitivity Analysis'!$G$9</f>
        <v>0.95155298818191447</v>
      </c>
      <c r="I62" s="711">
        <f>SUM(I28:I29,I31:I33,I46,I52,I57,I59:I60)*'ERR &amp; Sensitivity Analysis'!$G$9</f>
        <v>1.3658753395377394</v>
      </c>
      <c r="J62" s="711">
        <f>SUM(J28:J29,J31:J33,J46,J52,J57,J59:J60)*'ERR &amp; Sensitivity Analysis'!$G$9</f>
        <v>0.26001882622282413</v>
      </c>
      <c r="K62" s="711">
        <f>SUM(K28:K29,K31:K33,K46,K52,K57,K59:K60)*'ERR &amp; Sensitivity Analysis'!$G$9</f>
        <v>0.13882090282616341</v>
      </c>
      <c r="L62" s="711">
        <f>SUM(L28:L29,L31:L33,L46,L52,L57,L59:L60)*'ERR &amp; Sensitivity Analysis'!$G$9</f>
        <v>0.12582942654747439</v>
      </c>
      <c r="M62" s="711">
        <f>SUM(M28:M29,M31:M33,M46,M52,M57,M59:M60)*'ERR &amp; Sensitivity Analysis'!$G$9</f>
        <v>0.12996982007098887</v>
      </c>
      <c r="N62" s="711">
        <f>SUM(N28:N29,N31:N33,N46,N52,N57,N59:N60)*'ERR &amp; Sensitivity Analysis'!$G$9</f>
        <v>0.13424685774991463</v>
      </c>
      <c r="O62" s="711">
        <f>SUM(O28:O29,O31:O33,O46,O52,O57,O59:O60)*'ERR &amp; Sensitivity Analysis'!$G$9</f>
        <v>0.13866505862374409</v>
      </c>
      <c r="P62" s="711">
        <f>SUM(P28:P29,P31:P33,P46,P52,P57,P59:P60)*'ERR &amp; Sensitivity Analysis'!$G$9</f>
        <v>0.14322909140179957</v>
      </c>
      <c r="Q62" s="711">
        <f>SUM(Q28:Q29,Q31:Q33,Q46,Q52,Q57,Q59:Q60)*'ERR &amp; Sensitivity Analysis'!$G$9</f>
        <v>0.14794377942530945</v>
      </c>
      <c r="R62" s="711">
        <f>SUM(R28:R29,R31:R33,R46,R52,R57,R59:R60)*'ERR &amp; Sensitivity Analysis'!$G$9</f>
        <v>0.15281410579411384</v>
      </c>
      <c r="S62" s="711">
        <f>SUM(S28:S29,S31:S33,S46,S52,S57,S59:S60)*'ERR &amp; Sensitivity Analysis'!$G$9</f>
        <v>0.15784521866345907</v>
      </c>
      <c r="T62" s="711">
        <f>SUM(T28:T29,T31:T33,T46,T52,T57,T59:T60)*'ERR &amp; Sensitivity Analysis'!$G$9</f>
        <v>0.16304243671653032</v>
      </c>
      <c r="U62" s="711">
        <f>SUM(U28:U29,U31:U33,U46,U52,U57,U59:U60)*'ERR &amp; Sensitivity Analysis'!$G$9</f>
        <v>0.16841125481855337</v>
      </c>
      <c r="V62" s="711">
        <f>SUM(V28:V29,V31:V33,V46,V52,V57,V59:V60)*'ERR &amp; Sensitivity Analysis'!$G$9</f>
        <v>0.17395734985849515</v>
      </c>
      <c r="W62" s="711">
        <f>SUM(W28:W29,W31:W33,W46,W52,W57,W59:W60)*'ERR &amp; Sensitivity Analysis'!$G$9</f>
        <v>0.17968658678458743</v>
      </c>
      <c r="X62" s="711">
        <f>SUM(X28:X29,X31:X33,X46,X52,X57,X59:X60)*'ERR &amp; Sensitivity Analysis'!$G$9</f>
        <v>0.18560502484011077</v>
      </c>
      <c r="Y62" s="815"/>
      <c r="Z62" s="711"/>
      <c r="AA62" s="711"/>
      <c r="AB62" s="711"/>
      <c r="AC62" s="711"/>
      <c r="AD62" s="711"/>
    </row>
    <row r="63" spans="3:31" x14ac:dyDescent="0.2">
      <c r="C63" s="708" t="s">
        <v>367</v>
      </c>
      <c r="D63" s="711">
        <f>SUM(D28,D31:D33,D57,D59:D60)</f>
        <v>0</v>
      </c>
      <c r="E63" s="711">
        <f t="shared" ref="E63:I63" si="23">SUM(E28,E31:E33,E57,E59:E60)</f>
        <v>1.7246602772029364E-2</v>
      </c>
      <c r="F63" s="711">
        <f t="shared" si="23"/>
        <v>9.97226999881351E-2</v>
      </c>
      <c r="G63" s="711">
        <f t="shared" si="23"/>
        <v>0.98361322794124939</v>
      </c>
      <c r="H63" s="711">
        <f t="shared" si="23"/>
        <v>0.95155298818191447</v>
      </c>
      <c r="I63" s="711">
        <f t="shared" si="23"/>
        <v>1.2441612240240052</v>
      </c>
      <c r="J63" s="711"/>
      <c r="K63" s="711"/>
      <c r="L63" s="711"/>
      <c r="M63" s="711"/>
      <c r="N63" s="711"/>
      <c r="O63" s="711"/>
      <c r="P63" s="711"/>
      <c r="Q63" s="711"/>
      <c r="R63" s="711"/>
      <c r="S63" s="711"/>
      <c r="T63" s="711"/>
      <c r="U63" s="711"/>
      <c r="V63" s="711"/>
      <c r="W63" s="711"/>
      <c r="X63" s="711"/>
      <c r="Y63" s="815"/>
      <c r="Z63" s="711"/>
      <c r="AA63" s="711"/>
      <c r="AB63" s="711"/>
      <c r="AC63" s="711"/>
      <c r="AD63" s="711"/>
    </row>
    <row r="64" spans="3:31" ht="13.5" thickBot="1" x14ac:dyDescent="0.25">
      <c r="C64" s="540"/>
      <c r="D64" s="724"/>
      <c r="E64" s="724"/>
      <c r="F64" s="724"/>
      <c r="G64" s="724"/>
      <c r="H64" s="724"/>
      <c r="I64" s="724"/>
      <c r="J64" s="724"/>
      <c r="K64" s="724"/>
      <c r="L64" s="724"/>
      <c r="M64" s="724"/>
      <c r="N64" s="724"/>
      <c r="O64" s="724"/>
      <c r="P64" s="724"/>
      <c r="Q64" s="733"/>
      <c r="R64" s="724"/>
      <c r="S64" s="724"/>
      <c r="T64" s="724"/>
      <c r="U64" s="724"/>
      <c r="V64" s="724"/>
      <c r="W64" s="724"/>
      <c r="X64" s="724"/>
      <c r="Y64" s="700"/>
    </row>
    <row r="65" spans="3:31" x14ac:dyDescent="0.2">
      <c r="Q65" s="553"/>
    </row>
    <row r="66" spans="3:31" ht="13.5" thickBot="1" x14ac:dyDescent="0.25"/>
    <row r="67" spans="3:31" s="543" customFormat="1" ht="28.5" customHeight="1" x14ac:dyDescent="0.2">
      <c r="C67" s="530" t="s">
        <v>614</v>
      </c>
      <c r="D67" s="947" t="s">
        <v>173</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31" s="543" customFormat="1"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31" x14ac:dyDescent="0.2">
      <c r="C69" s="536"/>
      <c r="D69" s="537">
        <v>12</v>
      </c>
      <c r="E69" s="537">
        <v>150</v>
      </c>
      <c r="F69" s="537">
        <f>E70-D69-E69</f>
        <v>270.27090000000004</v>
      </c>
      <c r="G69" s="542">
        <v>15000</v>
      </c>
      <c r="H69" s="542">
        <v>1968</v>
      </c>
      <c r="I69" s="542">
        <v>700</v>
      </c>
      <c r="J69" s="539">
        <f>custnopa</f>
        <v>2.3E-2</v>
      </c>
      <c r="K69" s="539">
        <f>Assumptions!D62</f>
        <v>2.3E-2</v>
      </c>
      <c r="L69" s="539">
        <f>Assumptions!E62</f>
        <v>2.3E-2</v>
      </c>
      <c r="M69" s="539">
        <f>unitconspa</f>
        <v>0.01</v>
      </c>
      <c r="N69" s="539">
        <f>Assumptions!D61</f>
        <v>0.01</v>
      </c>
      <c r="O69" s="539">
        <f>Assumptions!E61</f>
        <v>0.01</v>
      </c>
      <c r="P69" s="743">
        <f>G69*D69*0.001</f>
        <v>180</v>
      </c>
      <c r="Q69" s="743">
        <f>H69*E69*0.001*Assumptions!$C14</f>
        <v>221.39999999999998</v>
      </c>
      <c r="R69" s="743">
        <f>I69*F69*0.001*Assumptions!$C13</f>
        <v>94.594815000000025</v>
      </c>
      <c r="S69" s="538">
        <f>(SUM(P69:R69)/8.76)/T69</f>
        <v>109.66729809268195</v>
      </c>
      <c r="T69" s="684">
        <f>SUMPRODUCT(P69:R69,P70:R70)/SUM(P69:R69)</f>
        <v>0.51629258362307673</v>
      </c>
      <c r="U69" s="118" t="str">
        <f>IF(S69/X69&gt;1,"Constrained"," ")</f>
        <v xml:space="preserve"> </v>
      </c>
      <c r="V69" s="538">
        <v>1600</v>
      </c>
      <c r="W69" s="538">
        <v>1</v>
      </c>
      <c r="X69" s="538">
        <f>W69*V69</f>
        <v>1600</v>
      </c>
      <c r="Y69" s="710">
        <v>2.1800000000000002</v>
      </c>
      <c r="Z69" s="710">
        <v>0</v>
      </c>
      <c r="AA69" s="710">
        <f>SUMPRODUCT(Y69:Z69,AB69:AC69)</f>
        <v>2.1800000000000002</v>
      </c>
      <c r="AB69" s="111">
        <f>Assumptions!F8</f>
        <v>1</v>
      </c>
      <c r="AC69" s="550">
        <f>Assumptions!G8</f>
        <v>1</v>
      </c>
    </row>
    <row r="70" spans="3:31" x14ac:dyDescent="0.2">
      <c r="C70" s="703"/>
      <c r="D70" s="684">
        <f>E69/(E69+F69)</f>
        <v>0.35691264848458454</v>
      </c>
      <c r="E70" s="537">
        <f>Summary!D55</f>
        <v>432.27090000000004</v>
      </c>
      <c r="F70" s="537">
        <f>SUM(D69:F69)</f>
        <v>432.27090000000004</v>
      </c>
      <c r="G70" s="538"/>
      <c r="H70" s="538"/>
      <c r="I70" s="538"/>
      <c r="J70" s="539"/>
      <c r="K70" s="539"/>
      <c r="L70" s="539"/>
      <c r="M70" s="539"/>
      <c r="N70" s="539"/>
      <c r="O70" s="539"/>
      <c r="P70" s="684">
        <f>Assumptions!F55</f>
        <v>0.65</v>
      </c>
      <c r="Q70" s="684">
        <f>Assumptions!F56</f>
        <v>0.5</v>
      </c>
      <c r="R70" s="684">
        <f>Assumptions!F57</f>
        <v>0.3</v>
      </c>
      <c r="S70" s="744">
        <f>S69/E70</f>
        <v>0.25370039503626529</v>
      </c>
      <c r="T70" s="684"/>
      <c r="U70" s="111"/>
      <c r="X70" s="558">
        <f>X69/S69</f>
        <v>14.589581651294164</v>
      </c>
      <c r="Y70" s="710"/>
      <c r="Z70" s="710"/>
      <c r="AA70" s="710"/>
      <c r="AC70" s="549"/>
    </row>
    <row r="71" spans="3:31" x14ac:dyDescent="0.2">
      <c r="C71" s="703"/>
      <c r="Q71" s="542" t="s">
        <v>64</v>
      </c>
      <c r="R71" s="538">
        <f>IF(R69=0,0,(SUM(P69:R69)/SUM(D69:F69))*1000)</f>
        <v>1147.416619994545</v>
      </c>
      <c r="AC71" s="549"/>
    </row>
    <row r="72" spans="3:31" x14ac:dyDescent="0.2">
      <c r="C72" s="703"/>
      <c r="H72" s="542" t="s">
        <v>94</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684"/>
      <c r="Z72" s="684"/>
      <c r="AA72" s="684"/>
      <c r="AB72" s="684"/>
      <c r="AC72" s="820"/>
      <c r="AD72" s="684"/>
    </row>
    <row r="73" spans="3:31" x14ac:dyDescent="0.2">
      <c r="C73" s="548"/>
      <c r="AC73" s="549"/>
    </row>
    <row r="74" spans="3:31" x14ac:dyDescent="0.2">
      <c r="C74" s="548"/>
      <c r="D74" s="542">
        <f t="shared" ref="D74:X74" si="24">D22</f>
        <v>2008</v>
      </c>
      <c r="E74" s="542">
        <f t="shared" si="24"/>
        <v>2009</v>
      </c>
      <c r="F74" s="542">
        <f t="shared" si="24"/>
        <v>2010</v>
      </c>
      <c r="G74" s="542">
        <f t="shared" si="24"/>
        <v>2011</v>
      </c>
      <c r="H74" s="542">
        <f t="shared" si="24"/>
        <v>2012</v>
      </c>
      <c r="I74" s="542">
        <f t="shared" si="24"/>
        <v>2013</v>
      </c>
      <c r="J74" s="542">
        <f t="shared" si="24"/>
        <v>2014</v>
      </c>
      <c r="K74" s="542">
        <f t="shared" si="24"/>
        <v>2015</v>
      </c>
      <c r="L74" s="542">
        <f t="shared" si="24"/>
        <v>2016</v>
      </c>
      <c r="M74" s="542">
        <f t="shared" si="24"/>
        <v>2017</v>
      </c>
      <c r="N74" s="542">
        <f t="shared" si="24"/>
        <v>2018</v>
      </c>
      <c r="O74" s="542">
        <f t="shared" si="24"/>
        <v>2019</v>
      </c>
      <c r="P74" s="542">
        <f t="shared" si="24"/>
        <v>2020</v>
      </c>
      <c r="Q74" s="542">
        <f t="shared" si="24"/>
        <v>2021</v>
      </c>
      <c r="R74" s="542">
        <f t="shared" si="24"/>
        <v>2022</v>
      </c>
      <c r="S74" s="542">
        <f t="shared" si="24"/>
        <v>2023</v>
      </c>
      <c r="T74" s="542">
        <f t="shared" si="24"/>
        <v>2024</v>
      </c>
      <c r="U74" s="542">
        <f t="shared" si="24"/>
        <v>2025</v>
      </c>
      <c r="V74" s="542">
        <f t="shared" si="24"/>
        <v>2026</v>
      </c>
      <c r="W74" s="542">
        <f t="shared" si="24"/>
        <v>2027</v>
      </c>
      <c r="X74" s="542">
        <f t="shared" si="24"/>
        <v>2028</v>
      </c>
      <c r="AC74" s="549"/>
    </row>
    <row r="75" spans="3:31" x14ac:dyDescent="0.2">
      <c r="C75" s="551" t="s">
        <v>33</v>
      </c>
      <c r="AC75" s="549"/>
    </row>
    <row r="76" spans="3:31" x14ac:dyDescent="0.2">
      <c r="C76" s="551"/>
      <c r="AC76" s="549"/>
    </row>
    <row r="77" spans="3:31" x14ac:dyDescent="0.2">
      <c r="C77" s="552" t="s">
        <v>10</v>
      </c>
      <c r="D77" s="553">
        <f>$D$69*(1+$J$69)^D$21*(D$23=1)</f>
        <v>0</v>
      </c>
      <c r="E77" s="553">
        <f>$D$69*(1+$J$69)^E$21*(E$23=1)</f>
        <v>0</v>
      </c>
      <c r="F77" s="553">
        <f>$D$69*(1+$J$69)^F$21*(F$23=1)</f>
        <v>0</v>
      </c>
      <c r="G77" s="553">
        <f>$D$69*(1+$J$69)^G$21*(G$23=1)</f>
        <v>0</v>
      </c>
      <c r="H77" s="553">
        <f>$D$69*(1+$J$69)^H$21*(H$23=1)</f>
        <v>0</v>
      </c>
      <c r="I77" s="553">
        <f t="shared" ref="I77:X77" si="25">IF(H96=0,$D$69*(1+$J$69)^I$21*(I$23)*I72,H77)*$AB$69</f>
        <v>5.40144</v>
      </c>
      <c r="J77" s="553">
        <f t="shared" si="25"/>
        <v>11.3025132</v>
      </c>
      <c r="K77" s="553">
        <f t="shared" si="25"/>
        <v>12.847190003999996</v>
      </c>
      <c r="L77" s="553">
        <f t="shared" si="25"/>
        <v>13.142675374091995</v>
      </c>
      <c r="M77" s="553">
        <f t="shared" si="25"/>
        <v>13.44495690769611</v>
      </c>
      <c r="N77" s="553">
        <f t="shared" si="25"/>
        <v>13.754190916573119</v>
      </c>
      <c r="O77" s="553">
        <f t="shared" si="25"/>
        <v>14.070537307654298</v>
      </c>
      <c r="P77" s="553">
        <f t="shared" si="25"/>
        <v>14.394159665730346</v>
      </c>
      <c r="Q77" s="553">
        <f t="shared" si="25"/>
        <v>14.725225338042144</v>
      </c>
      <c r="R77" s="553">
        <f t="shared" si="25"/>
        <v>15.06390552081711</v>
      </c>
      <c r="S77" s="553">
        <f t="shared" si="25"/>
        <v>15.410375347795902</v>
      </c>
      <c r="T77" s="553">
        <f t="shared" si="25"/>
        <v>15.764813980795207</v>
      </c>
      <c r="U77" s="553">
        <f t="shared" si="25"/>
        <v>16.127404702353495</v>
      </c>
      <c r="V77" s="553">
        <f t="shared" si="25"/>
        <v>16.498335010507624</v>
      </c>
      <c r="W77" s="553">
        <f t="shared" si="25"/>
        <v>16.877796715749298</v>
      </c>
      <c r="X77" s="553">
        <f t="shared" si="25"/>
        <v>17.26598604021153</v>
      </c>
      <c r="Y77" s="553"/>
      <c r="Z77" s="553"/>
      <c r="AA77" s="553"/>
      <c r="AB77" s="553"/>
      <c r="AC77" s="814"/>
      <c r="AD77" s="553"/>
    </row>
    <row r="78" spans="3:31" x14ac:dyDescent="0.2">
      <c r="C78" s="552" t="s">
        <v>44</v>
      </c>
      <c r="D78" s="553">
        <f>$E$69*(1+$K$69)^D$21*(D$23=1)</f>
        <v>0</v>
      </c>
      <c r="E78" s="553">
        <f>$E$69*(1+$K$69)^E$21*(E$23=1)</f>
        <v>0</v>
      </c>
      <c r="F78" s="553">
        <f>$E$69*(1+$K$69)^F$21*(F$23=1)</f>
        <v>0</v>
      </c>
      <c r="G78" s="553">
        <f>$E$69*(1+$K$69)^G$21*(G$23=1)</f>
        <v>0</v>
      </c>
      <c r="H78" s="553">
        <f>$E$69*(1+$K$69)^H$21*(H$23=1)</f>
        <v>0</v>
      </c>
      <c r="I78" s="553">
        <f t="shared" ref="I78:X78" si="26">IF(H96=0,$E$69*(1+$K$69)^I$21*(I$23)*I72,H78)*$AB$69</f>
        <v>67.518000000000001</v>
      </c>
      <c r="J78" s="553">
        <f t="shared" si="26"/>
        <v>141.28141499999998</v>
      </c>
      <c r="K78" s="553">
        <f t="shared" si="26"/>
        <v>160.58987504999996</v>
      </c>
      <c r="L78" s="553">
        <f t="shared" si="26"/>
        <v>164.28344217614995</v>
      </c>
      <c r="M78" s="553">
        <f t="shared" si="26"/>
        <v>168.06196134620137</v>
      </c>
      <c r="N78" s="553">
        <f t="shared" si="26"/>
        <v>171.927386457164</v>
      </c>
      <c r="O78" s="553">
        <f t="shared" si="26"/>
        <v>175.88171634567874</v>
      </c>
      <c r="P78" s="553">
        <f t="shared" si="26"/>
        <v>179.92699582162933</v>
      </c>
      <c r="Q78" s="553">
        <f t="shared" si="26"/>
        <v>184.06531672552677</v>
      </c>
      <c r="R78" s="553">
        <f t="shared" si="26"/>
        <v>188.29881901021389</v>
      </c>
      <c r="S78" s="553">
        <f t="shared" si="26"/>
        <v>192.62969184744878</v>
      </c>
      <c r="T78" s="553">
        <f t="shared" si="26"/>
        <v>197.06017475994011</v>
      </c>
      <c r="U78" s="553">
        <f t="shared" si="26"/>
        <v>201.59255877941871</v>
      </c>
      <c r="V78" s="553">
        <f t="shared" si="26"/>
        <v>206.22918763134533</v>
      </c>
      <c r="W78" s="553">
        <f t="shared" si="26"/>
        <v>210.9724589468662</v>
      </c>
      <c r="X78" s="553">
        <f t="shared" si="26"/>
        <v>215.8248255026441</v>
      </c>
      <c r="Y78" s="553"/>
      <c r="Z78" s="553"/>
      <c r="AA78" s="553"/>
      <c r="AB78" s="553"/>
      <c r="AC78" s="814"/>
      <c r="AD78" s="553"/>
    </row>
    <row r="79" spans="3:31" x14ac:dyDescent="0.2">
      <c r="C79" s="552" t="s">
        <v>45</v>
      </c>
      <c r="D79" s="553">
        <f>$F$69*(1+$L$69)^D$21*(D$23=1)</f>
        <v>0</v>
      </c>
      <c r="E79" s="553">
        <f>$F$69*(1+$L$69)^E$21*(E$23=1)</f>
        <v>0</v>
      </c>
      <c r="F79" s="553">
        <f>$F$69*(1+$L$69)^F$21*(F$23=1)</f>
        <v>0</v>
      </c>
      <c r="G79" s="553">
        <f>$F$69*(1+$L$69)^G$21*(G$23=1)</f>
        <v>0</v>
      </c>
      <c r="H79" s="553">
        <f>$F$69*(1+$L$69)^H$21*(H$23=1)</f>
        <v>0</v>
      </c>
      <c r="I79" s="553">
        <f t="shared" ref="I79:X79" si="27">IF(H96=0,$F$69*(1+$L$69)^I$21*(I$23)*I72,H79)*$AB$69</f>
        <v>121.65433750800001</v>
      </c>
      <c r="J79" s="553">
        <f t="shared" si="27"/>
        <v>254.56170123548998</v>
      </c>
      <c r="K79" s="553">
        <f t="shared" si="27"/>
        <v>289.35180040434028</v>
      </c>
      <c r="L79" s="553">
        <f t="shared" si="27"/>
        <v>296.00689181364004</v>
      </c>
      <c r="M79" s="553">
        <f t="shared" si="27"/>
        <v>302.81505032535375</v>
      </c>
      <c r="N79" s="553">
        <f t="shared" si="27"/>
        <v>309.7797964828369</v>
      </c>
      <c r="O79" s="553">
        <f t="shared" si="27"/>
        <v>316.90473180194203</v>
      </c>
      <c r="P79" s="553">
        <f t="shared" si="27"/>
        <v>324.1935406333867</v>
      </c>
      <c r="Q79" s="553">
        <f t="shared" si="27"/>
        <v>331.64999206795454</v>
      </c>
      <c r="R79" s="553">
        <f t="shared" si="27"/>
        <v>339.27794188551746</v>
      </c>
      <c r="S79" s="553">
        <f t="shared" si="27"/>
        <v>347.08133454888434</v>
      </c>
      <c r="T79" s="553">
        <f t="shared" si="27"/>
        <v>355.0642052435087</v>
      </c>
      <c r="U79" s="553">
        <f t="shared" si="27"/>
        <v>363.23068196410935</v>
      </c>
      <c r="V79" s="553">
        <f t="shared" si="27"/>
        <v>371.58498764928385</v>
      </c>
      <c r="W79" s="553">
        <f t="shared" si="27"/>
        <v>380.13144236521725</v>
      </c>
      <c r="X79" s="553">
        <f t="shared" si="27"/>
        <v>388.87446553961723</v>
      </c>
      <c r="Y79" s="553"/>
      <c r="Z79" s="553"/>
      <c r="AA79" s="553"/>
      <c r="AB79" s="553"/>
      <c r="AC79" s="814"/>
      <c r="AD79" s="553"/>
    </row>
    <row r="80" spans="3:31" x14ac:dyDescent="0.2">
      <c r="C80" s="552" t="s">
        <v>163</v>
      </c>
      <c r="D80" s="554"/>
      <c r="E80" s="554"/>
      <c r="F80" s="554"/>
      <c r="G80" s="554"/>
      <c r="H80" s="554"/>
      <c r="I80" s="553">
        <f>SUM(I77:I79)</f>
        <v>194.57377750800001</v>
      </c>
      <c r="J80" s="553">
        <f t="shared" ref="J80:X80" si="28">SUM(J77:J79)</f>
        <v>407.14562943548992</v>
      </c>
      <c r="K80" s="553">
        <f t="shared" si="28"/>
        <v>462.78886545834024</v>
      </c>
      <c r="L80" s="553">
        <f t="shared" si="28"/>
        <v>473.43300936388198</v>
      </c>
      <c r="M80" s="553">
        <f t="shared" si="28"/>
        <v>484.32196857925123</v>
      </c>
      <c r="N80" s="553">
        <f t="shared" si="28"/>
        <v>495.46137385657403</v>
      </c>
      <c r="O80" s="553">
        <f t="shared" si="28"/>
        <v>506.85698545527509</v>
      </c>
      <c r="P80" s="553">
        <f t="shared" si="28"/>
        <v>518.51469612074641</v>
      </c>
      <c r="Q80" s="553">
        <f t="shared" si="28"/>
        <v>530.44053413152346</v>
      </c>
      <c r="R80" s="553">
        <f t="shared" si="28"/>
        <v>542.64066641654847</v>
      </c>
      <c r="S80" s="553">
        <f t="shared" si="28"/>
        <v>555.121401744129</v>
      </c>
      <c r="T80" s="553">
        <f t="shared" si="28"/>
        <v>567.889193984244</v>
      </c>
      <c r="U80" s="553">
        <f t="shared" si="28"/>
        <v>580.95064544588149</v>
      </c>
      <c r="V80" s="553">
        <f t="shared" si="28"/>
        <v>594.31251029113673</v>
      </c>
      <c r="W80" s="553">
        <f t="shared" si="28"/>
        <v>607.98169802783275</v>
      </c>
      <c r="X80" s="553">
        <f t="shared" si="28"/>
        <v>621.96527708247288</v>
      </c>
      <c r="Y80" s="553"/>
      <c r="Z80" s="553"/>
      <c r="AA80" s="553"/>
      <c r="AB80" s="553"/>
      <c r="AC80" s="814"/>
      <c r="AD80" s="553"/>
      <c r="AE80" s="557"/>
    </row>
    <row r="81" spans="2:31" x14ac:dyDescent="0.2">
      <c r="C81" s="552" t="s">
        <v>168</v>
      </c>
      <c r="I81" s="553">
        <f t="shared" ref="I81:X81" si="29">IF(I104=" ",I112-H112,H81)</f>
        <v>0</v>
      </c>
      <c r="J81" s="553">
        <f t="shared" si="29"/>
        <v>0</v>
      </c>
      <c r="K81" s="553">
        <f t="shared" si="29"/>
        <v>0</v>
      </c>
      <c r="L81" s="553">
        <f t="shared" si="29"/>
        <v>0</v>
      </c>
      <c r="M81" s="553">
        <f t="shared" si="29"/>
        <v>0</v>
      </c>
      <c r="N81" s="553">
        <f t="shared" si="29"/>
        <v>0</v>
      </c>
      <c r="O81" s="553">
        <f t="shared" si="29"/>
        <v>0</v>
      </c>
      <c r="P81" s="553">
        <f t="shared" si="29"/>
        <v>0</v>
      </c>
      <c r="Q81" s="553">
        <f t="shared" si="29"/>
        <v>0</v>
      </c>
      <c r="R81" s="553">
        <f t="shared" si="29"/>
        <v>0</v>
      </c>
      <c r="S81" s="553">
        <f t="shared" si="29"/>
        <v>0</v>
      </c>
      <c r="T81" s="553">
        <f t="shared" si="29"/>
        <v>0</v>
      </c>
      <c r="U81" s="553">
        <f t="shared" si="29"/>
        <v>0</v>
      </c>
      <c r="V81" s="553">
        <f t="shared" si="29"/>
        <v>0</v>
      </c>
      <c r="W81" s="553">
        <f t="shared" si="29"/>
        <v>0</v>
      </c>
      <c r="X81" s="553">
        <f t="shared" si="29"/>
        <v>0</v>
      </c>
      <c r="Y81" s="553"/>
      <c r="Z81" s="553"/>
      <c r="AA81" s="553"/>
      <c r="AB81" s="553"/>
      <c r="AC81" s="814"/>
      <c r="AD81" s="553"/>
      <c r="AE81" s="557"/>
    </row>
    <row r="82" spans="2:31" x14ac:dyDescent="0.2">
      <c r="C82" s="551"/>
      <c r="AC82" s="549"/>
    </row>
    <row r="83" spans="2:31" x14ac:dyDescent="0.2">
      <c r="B83" s="702"/>
      <c r="C83" s="551" t="s">
        <v>46</v>
      </c>
      <c r="J83" s="553"/>
      <c r="K83" s="553"/>
      <c r="L83" s="553"/>
      <c r="M83" s="553"/>
      <c r="N83" s="553"/>
      <c r="O83" s="553"/>
      <c r="P83" s="553"/>
      <c r="Q83" s="553"/>
      <c r="R83" s="553"/>
      <c r="S83" s="553"/>
      <c r="T83" s="553"/>
      <c r="U83" s="553"/>
      <c r="V83" s="553"/>
      <c r="W83" s="553"/>
      <c r="X83" s="553"/>
      <c r="Y83" s="553"/>
      <c r="Z83" s="553"/>
      <c r="AA83" s="553"/>
      <c r="AB83" s="553"/>
      <c r="AC83" s="814"/>
      <c r="AD83" s="553"/>
    </row>
    <row r="84" spans="2:31" x14ac:dyDescent="0.2">
      <c r="B84" s="702"/>
      <c r="C84" s="552" t="s">
        <v>10</v>
      </c>
      <c r="D84" s="553">
        <f t="shared" ref="D84:X84" si="30">$G$69*(1+$M$69)^D$21*(D$23=1)</f>
        <v>0</v>
      </c>
      <c r="E84" s="553">
        <f t="shared" si="30"/>
        <v>0</v>
      </c>
      <c r="F84" s="553">
        <f t="shared" si="30"/>
        <v>0</v>
      </c>
      <c r="G84" s="553">
        <f t="shared" si="30"/>
        <v>0</v>
      </c>
      <c r="H84" s="553">
        <f t="shared" si="30"/>
        <v>0</v>
      </c>
      <c r="I84" s="553">
        <f t="shared" si="30"/>
        <v>15150</v>
      </c>
      <c r="J84" s="553">
        <f t="shared" si="30"/>
        <v>15301.5</v>
      </c>
      <c r="K84" s="553">
        <f t="shared" si="30"/>
        <v>15454.514999999999</v>
      </c>
      <c r="L84" s="553">
        <f t="shared" si="30"/>
        <v>15609.060150000001</v>
      </c>
      <c r="M84" s="553">
        <f t="shared" si="30"/>
        <v>15765.150751499999</v>
      </c>
      <c r="N84" s="553">
        <f t="shared" si="30"/>
        <v>15922.802259015001</v>
      </c>
      <c r="O84" s="553">
        <f t="shared" si="30"/>
        <v>16082.030281605148</v>
      </c>
      <c r="P84" s="553">
        <f t="shared" si="30"/>
        <v>16242.850584421203</v>
      </c>
      <c r="Q84" s="553">
        <f t="shared" si="30"/>
        <v>16405.279090265416</v>
      </c>
      <c r="R84" s="553">
        <f t="shared" si="30"/>
        <v>16569.331881168073</v>
      </c>
      <c r="S84" s="553">
        <f t="shared" si="30"/>
        <v>16735.025199979747</v>
      </c>
      <c r="T84" s="553">
        <f t="shared" si="30"/>
        <v>16902.375451979548</v>
      </c>
      <c r="U84" s="553">
        <f t="shared" si="30"/>
        <v>17071.399206499344</v>
      </c>
      <c r="V84" s="553">
        <f t="shared" si="30"/>
        <v>17242.113198564337</v>
      </c>
      <c r="W84" s="553">
        <f t="shared" si="30"/>
        <v>17414.534330549977</v>
      </c>
      <c r="X84" s="553">
        <f t="shared" si="30"/>
        <v>17588.67967385548</v>
      </c>
      <c r="Y84" s="553"/>
      <c r="Z84" s="553"/>
      <c r="AA84" s="553"/>
      <c r="AB84" s="553"/>
      <c r="AC84" s="814"/>
      <c r="AD84" s="553"/>
    </row>
    <row r="85" spans="2:31" x14ac:dyDescent="0.2">
      <c r="C85" s="552" t="s">
        <v>44</v>
      </c>
      <c r="D85" s="553">
        <f>$H$69*(1+$N$69)^D$21*(D$23=1)</f>
        <v>0</v>
      </c>
      <c r="E85" s="553">
        <f>$H$69*(1+$N$69)^E$21*(E$23=1)</f>
        <v>0</v>
      </c>
      <c r="F85" s="553">
        <f>$H$69*(1+$N$69)^F$21*(F$23=1)</f>
        <v>0</v>
      </c>
      <c r="G85" s="553">
        <f>$H$69*(1+$N$69)^G$21*(G$23=1)</f>
        <v>0</v>
      </c>
      <c r="H85" s="553">
        <f>$H$69*(1+$N$69)^H$21*(H$23=1)</f>
        <v>0</v>
      </c>
      <c r="I85" s="553">
        <f>$H$69*(1+$N$69)^I$21*(I$23=1)*Assumptions!$C$14</f>
        <v>1490.76</v>
      </c>
      <c r="J85" s="553">
        <f>$H$69*(1+$N$69)^J$21*(J$23=1)*Assumptions!$C$14</f>
        <v>1505.6676</v>
      </c>
      <c r="K85" s="553">
        <f>$H$69*(1+$N$69)^K$21*(K$23=1)*Assumptions!$C$14</f>
        <v>1520.7242759999999</v>
      </c>
      <c r="L85" s="553">
        <f>$H$69*(1+$N$69)^L$21*(L$23=1)*Assumptions!$C$14</f>
        <v>1535.93151876</v>
      </c>
      <c r="M85" s="553">
        <f>$H$69*(1+$N$69)^M$21*(M$23=1)*Assumptions!$C$14</f>
        <v>1551.2908339475998</v>
      </c>
      <c r="N85" s="553">
        <f>$H$69*(1+$N$69)^N$21*(N$23=1)*Assumptions!$C$14</f>
        <v>1566.8037422870761</v>
      </c>
      <c r="O85" s="553">
        <f>$H$69*(1+$N$69)^O$21*(O$23=1)*Assumptions!$C$14</f>
        <v>1582.4717797099465</v>
      </c>
      <c r="P85" s="553">
        <f>$H$69*(1+$N$69)^P$21*(P$23=1)*Assumptions!$C$14</f>
        <v>1598.2964975070463</v>
      </c>
      <c r="Q85" s="553">
        <f>$H$69*(1+$N$69)^Q$21*(Q$23=1)*Assumptions!$C$14</f>
        <v>1614.2794624821172</v>
      </c>
      <c r="R85" s="553">
        <f>$H$69*(1+$N$69)^R$21*(R$23=1)*Assumptions!$C$14</f>
        <v>1630.4222571069383</v>
      </c>
      <c r="S85" s="553">
        <f>$H$69*(1+$N$69)^S$21*(S$23=1)*Assumptions!$C$14</f>
        <v>1646.7264796780071</v>
      </c>
      <c r="T85" s="553">
        <f>$H$69*(1+$N$69)^T$21*(T$23=1)*Assumptions!$C$14</f>
        <v>1663.1937444747873</v>
      </c>
      <c r="U85" s="553">
        <f>$H$69*(1+$N$69)^U$21*(U$23=1)*Assumptions!$C$14</f>
        <v>1679.8256819195353</v>
      </c>
      <c r="V85" s="553">
        <f>$H$69*(1+$N$69)^V$21*(V$23=1)*Assumptions!$C$14</f>
        <v>1696.6239387387309</v>
      </c>
      <c r="W85" s="553">
        <f>$H$69*(1+$N$69)^W$21*(W$23=1)*Assumptions!$C$14</f>
        <v>1713.5901781261177</v>
      </c>
      <c r="X85" s="553">
        <f>$H$69*(1+$N$69)^X$21*(X$23=1)*Assumptions!$C$14</f>
        <v>1730.7260799073795</v>
      </c>
      <c r="Y85" s="553"/>
      <c r="Z85" s="553"/>
      <c r="AA85" s="553"/>
      <c r="AB85" s="553"/>
      <c r="AC85" s="814"/>
      <c r="AD85" s="553"/>
    </row>
    <row r="86" spans="2:31" x14ac:dyDescent="0.2">
      <c r="C86" s="552" t="s">
        <v>45</v>
      </c>
      <c r="D86" s="553">
        <f>$I$69*(1+$O$69)^D$21*(D$23=1)</f>
        <v>0</v>
      </c>
      <c r="E86" s="553">
        <f>$I$69*(1+$O$69)^E$21*(E$23=1)</f>
        <v>0</v>
      </c>
      <c r="F86" s="553">
        <f>$I$69*(1+$O$69)^F$21*(F$23=1)</f>
        <v>0</v>
      </c>
      <c r="G86" s="553">
        <f>$I$69*(1+$O$69)^G$21*(G$23=1)</f>
        <v>0</v>
      </c>
      <c r="H86" s="553">
        <f>$I$69*(1+$O$69)^H$21*(H$23=1)</f>
        <v>0</v>
      </c>
      <c r="I86" s="553">
        <f t="shared" ref="I86:X86" si="31">$I$69*(1+$O$69)^I$21*(I$23=1)*Demand_scalar</f>
        <v>353.5</v>
      </c>
      <c r="J86" s="553">
        <f t="shared" si="31"/>
        <v>357.03500000000003</v>
      </c>
      <c r="K86" s="553">
        <f t="shared" si="31"/>
        <v>360.60534999999999</v>
      </c>
      <c r="L86" s="553">
        <f t="shared" si="31"/>
        <v>364.21140350000002</v>
      </c>
      <c r="M86" s="553">
        <f t="shared" si="31"/>
        <v>367.85351753499998</v>
      </c>
      <c r="N86" s="553">
        <f t="shared" si="31"/>
        <v>371.53205271035006</v>
      </c>
      <c r="O86" s="553">
        <f t="shared" si="31"/>
        <v>375.24737323745342</v>
      </c>
      <c r="P86" s="553">
        <f t="shared" si="31"/>
        <v>378.99984696982807</v>
      </c>
      <c r="Q86" s="553">
        <f t="shared" si="31"/>
        <v>382.7898454395264</v>
      </c>
      <c r="R86" s="553">
        <f t="shared" si="31"/>
        <v>386.61774389392167</v>
      </c>
      <c r="S86" s="553">
        <f t="shared" si="31"/>
        <v>390.4839213328608</v>
      </c>
      <c r="T86" s="553">
        <f t="shared" si="31"/>
        <v>394.38876054618942</v>
      </c>
      <c r="U86" s="553">
        <f t="shared" si="31"/>
        <v>398.33264815165131</v>
      </c>
      <c r="V86" s="553">
        <f t="shared" si="31"/>
        <v>402.31597463316791</v>
      </c>
      <c r="W86" s="553">
        <f t="shared" si="31"/>
        <v>406.33913437949946</v>
      </c>
      <c r="X86" s="553">
        <f t="shared" si="31"/>
        <v>410.40252572329456</v>
      </c>
      <c r="Y86" s="553"/>
      <c r="Z86" s="553"/>
      <c r="AA86" s="553"/>
      <c r="AB86" s="553"/>
      <c r="AC86" s="814"/>
      <c r="AD86" s="553"/>
    </row>
    <row r="87" spans="2:31" x14ac:dyDescent="0.2">
      <c r="C87" s="551"/>
      <c r="AC87" s="549"/>
    </row>
    <row r="88" spans="2:31" x14ac:dyDescent="0.2">
      <c r="C88" s="551" t="s">
        <v>50</v>
      </c>
      <c r="AC88" s="549"/>
    </row>
    <row r="89" spans="2:31" x14ac:dyDescent="0.2">
      <c r="C89" s="552" t="s">
        <v>10</v>
      </c>
      <c r="D89" s="555">
        <f t="shared" ref="D89:X89" si="32">D77*D84*0.001</f>
        <v>0</v>
      </c>
      <c r="E89" s="555">
        <f t="shared" si="32"/>
        <v>0</v>
      </c>
      <c r="F89" s="555">
        <f t="shared" si="32"/>
        <v>0</v>
      </c>
      <c r="G89" s="555">
        <f t="shared" si="32"/>
        <v>0</v>
      </c>
      <c r="H89" s="555">
        <f t="shared" si="32"/>
        <v>0</v>
      </c>
      <c r="I89" s="555">
        <f t="shared" si="32"/>
        <v>81.831816000000003</v>
      </c>
      <c r="J89" s="555">
        <f t="shared" si="32"/>
        <v>172.9454057298</v>
      </c>
      <c r="K89" s="555">
        <f t="shared" si="32"/>
        <v>198.54709062466799</v>
      </c>
      <c r="L89" s="555">
        <f t="shared" si="32"/>
        <v>205.14481044612572</v>
      </c>
      <c r="M89" s="555">
        <f t="shared" si="32"/>
        <v>211.96177249725045</v>
      </c>
      <c r="N89" s="555">
        <f t="shared" si="32"/>
        <v>219.00526219733405</v>
      </c>
      <c r="O89" s="555">
        <f t="shared" si="32"/>
        <v>226.28280706015138</v>
      </c>
      <c r="P89" s="555">
        <f t="shared" si="32"/>
        <v>233.80218473876027</v>
      </c>
      <c r="Q89" s="555">
        <f t="shared" si="32"/>
        <v>241.57143133762926</v>
      </c>
      <c r="R89" s="555">
        <f t="shared" si="32"/>
        <v>249.59885000097867</v>
      </c>
      <c r="S89" s="555">
        <f t="shared" si="32"/>
        <v>257.8930197865111</v>
      </c>
      <c r="T89" s="555">
        <f t="shared" si="32"/>
        <v>266.46280483401688</v>
      </c>
      <c r="U89" s="555">
        <f t="shared" si="32"/>
        <v>275.3173638386512</v>
      </c>
      <c r="V89" s="555">
        <f t="shared" si="32"/>
        <v>284.46615983900961</v>
      </c>
      <c r="W89" s="555">
        <f t="shared" si="32"/>
        <v>293.91897033045984</v>
      </c>
      <c r="X89" s="555">
        <f t="shared" si="32"/>
        <v>303.685897714541</v>
      </c>
      <c r="Y89" s="555"/>
      <c r="Z89" s="555"/>
      <c r="AA89" s="555"/>
      <c r="AB89" s="555"/>
      <c r="AC89" s="821"/>
      <c r="AD89" s="555"/>
    </row>
    <row r="90" spans="2:31" x14ac:dyDescent="0.2">
      <c r="C90" s="552" t="s">
        <v>44</v>
      </c>
      <c r="D90" s="555">
        <f t="shared" ref="D90:X90" si="33">D78*D85*0.001</f>
        <v>0</v>
      </c>
      <c r="E90" s="555">
        <f t="shared" si="33"/>
        <v>0</v>
      </c>
      <c r="F90" s="555">
        <f t="shared" si="33"/>
        <v>0</v>
      </c>
      <c r="G90" s="555">
        <f t="shared" si="33"/>
        <v>0</v>
      </c>
      <c r="H90" s="555">
        <f t="shared" si="33"/>
        <v>0</v>
      </c>
      <c r="I90" s="555">
        <f t="shared" si="33"/>
        <v>100.65313368</v>
      </c>
      <c r="J90" s="555">
        <f t="shared" si="33"/>
        <v>212.72284904765397</v>
      </c>
      <c r="K90" s="555">
        <f t="shared" si="33"/>
        <v>244.21292146834165</v>
      </c>
      <c r="L90" s="555">
        <f t="shared" si="33"/>
        <v>252.32811684873465</v>
      </c>
      <c r="M90" s="555">
        <f t="shared" si="33"/>
        <v>260.71298017161803</v>
      </c>
      <c r="N90" s="555">
        <f t="shared" si="33"/>
        <v>269.37647250272096</v>
      </c>
      <c r="O90" s="555">
        <f t="shared" si="33"/>
        <v>278.32785268398624</v>
      </c>
      <c r="P90" s="555">
        <f t="shared" si="33"/>
        <v>287.5766872286751</v>
      </c>
      <c r="Q90" s="555">
        <f t="shared" si="33"/>
        <v>297.13286054528402</v>
      </c>
      <c r="R90" s="555">
        <f t="shared" si="33"/>
        <v>307.0065855012038</v>
      </c>
      <c r="S90" s="555">
        <f t="shared" si="33"/>
        <v>317.20841433740861</v>
      </c>
      <c r="T90" s="555">
        <f t="shared" si="33"/>
        <v>327.74924994584075</v>
      </c>
      <c r="U90" s="555">
        <f t="shared" si="33"/>
        <v>338.64035752154109</v>
      </c>
      <c r="V90" s="555">
        <f t="shared" si="33"/>
        <v>349.89337660198186</v>
      </c>
      <c r="W90" s="555">
        <f t="shared" si="33"/>
        <v>361.52033350646548</v>
      </c>
      <c r="X90" s="555">
        <f t="shared" si="33"/>
        <v>373.53365418888546</v>
      </c>
      <c r="Y90" s="555"/>
      <c r="Z90" s="555"/>
      <c r="AA90" s="555"/>
      <c r="AB90" s="555"/>
      <c r="AC90" s="821"/>
      <c r="AD90" s="555"/>
    </row>
    <row r="91" spans="2:31" x14ac:dyDescent="0.2">
      <c r="C91" s="552" t="s">
        <v>45</v>
      </c>
      <c r="D91" s="555">
        <f t="shared" ref="D91:X91" si="34">D79*D86*0.001</f>
        <v>0</v>
      </c>
      <c r="E91" s="555">
        <f t="shared" si="34"/>
        <v>0</v>
      </c>
      <c r="F91" s="555">
        <f t="shared" si="34"/>
        <v>0</v>
      </c>
      <c r="G91" s="555">
        <f t="shared" si="34"/>
        <v>0</v>
      </c>
      <c r="H91" s="555">
        <f t="shared" si="34"/>
        <v>0</v>
      </c>
      <c r="I91" s="555">
        <f t="shared" si="34"/>
        <v>43.004808309078008</v>
      </c>
      <c r="J91" s="555">
        <f t="shared" si="34"/>
        <v>90.887437000613161</v>
      </c>
      <c r="K91" s="555">
        <f t="shared" si="34"/>
        <v>104.34180725793728</v>
      </c>
      <c r="L91" s="555">
        <f t="shared" si="34"/>
        <v>107.80908551311852</v>
      </c>
      <c r="M91" s="555">
        <f t="shared" si="34"/>
        <v>111.39158142471942</v>
      </c>
      <c r="N91" s="555">
        <f t="shared" si="34"/>
        <v>115.09312367546288</v>
      </c>
      <c r="O91" s="555">
        <f t="shared" si="34"/>
        <v>118.91766817519841</v>
      </c>
      <c r="P91" s="555">
        <f t="shared" si="34"/>
        <v>122.86930228866031</v>
      </c>
      <c r="Q91" s="555">
        <f t="shared" si="34"/>
        <v>126.95224920371248</v>
      </c>
      <c r="R91" s="555">
        <f t="shared" si="34"/>
        <v>131.17087244475181</v>
      </c>
      <c r="S91" s="555">
        <f t="shared" si="34"/>
        <v>135.52968053609089</v>
      </c>
      <c r="T91" s="555">
        <f t="shared" si="34"/>
        <v>140.03333182030519</v>
      </c>
      <c r="U91" s="555">
        <f t="shared" si="34"/>
        <v>144.68663943669392</v>
      </c>
      <c r="V91" s="555">
        <f t="shared" si="34"/>
        <v>149.4945764651753</v>
      </c>
      <c r="W91" s="555">
        <f t="shared" si="34"/>
        <v>154.46228124111298</v>
      </c>
      <c r="X91" s="555">
        <f t="shared" si="34"/>
        <v>159.59506284675518</v>
      </c>
      <c r="Y91" s="555"/>
      <c r="Z91" s="555"/>
      <c r="AA91" s="555"/>
      <c r="AB91" s="555"/>
      <c r="AC91" s="821"/>
      <c r="AD91" s="555"/>
    </row>
    <row r="92" spans="2:31" x14ac:dyDescent="0.2">
      <c r="C92" s="551"/>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821"/>
      <c r="AD92" s="555"/>
    </row>
    <row r="93" spans="2:31" x14ac:dyDescent="0.2">
      <c r="C93" s="551" t="s">
        <v>47</v>
      </c>
      <c r="D93" s="553">
        <f t="shared" ref="D93:X93" si="35">SUM(D89:D91)</f>
        <v>0</v>
      </c>
      <c r="E93" s="553">
        <f t="shared" si="35"/>
        <v>0</v>
      </c>
      <c r="F93" s="553">
        <f t="shared" si="35"/>
        <v>0</v>
      </c>
      <c r="G93" s="553">
        <f t="shared" si="35"/>
        <v>0</v>
      </c>
      <c r="H93" s="553">
        <f t="shared" si="35"/>
        <v>0</v>
      </c>
      <c r="I93" s="553">
        <f t="shared" si="35"/>
        <v>225.48975798907802</v>
      </c>
      <c r="J93" s="553">
        <f t="shared" si="35"/>
        <v>476.55569177806711</v>
      </c>
      <c r="K93" s="553">
        <f t="shared" si="35"/>
        <v>547.10181935094693</v>
      </c>
      <c r="L93" s="553">
        <f t="shared" si="35"/>
        <v>565.28201280797884</v>
      </c>
      <c r="M93" s="553">
        <f t="shared" si="35"/>
        <v>584.0663340935879</v>
      </c>
      <c r="N93" s="553">
        <f t="shared" si="35"/>
        <v>603.4748583755179</v>
      </c>
      <c r="O93" s="553">
        <f t="shared" si="35"/>
        <v>623.52832791933599</v>
      </c>
      <c r="P93" s="553">
        <f t="shared" si="35"/>
        <v>644.24817425609558</v>
      </c>
      <c r="Q93" s="553">
        <f t="shared" si="35"/>
        <v>665.65654108662579</v>
      </c>
      <c r="R93" s="553">
        <f t="shared" si="35"/>
        <v>687.77630794693425</v>
      </c>
      <c r="S93" s="553">
        <f t="shared" si="35"/>
        <v>710.63111466001055</v>
      </c>
      <c r="T93" s="553">
        <f t="shared" si="35"/>
        <v>734.24538660016287</v>
      </c>
      <c r="U93" s="553">
        <f t="shared" si="35"/>
        <v>758.64436079688619</v>
      </c>
      <c r="V93" s="553">
        <f t="shared" si="35"/>
        <v>783.85411290616673</v>
      </c>
      <c r="W93" s="553">
        <f t="shared" si="35"/>
        <v>809.90158507803835</v>
      </c>
      <c r="X93" s="553">
        <f t="shared" si="35"/>
        <v>836.81461475018159</v>
      </c>
      <c r="Y93" s="553"/>
      <c r="Z93" s="553"/>
      <c r="AA93" s="553"/>
      <c r="AB93" s="553"/>
      <c r="AC93" s="814"/>
      <c r="AD93" s="553"/>
    </row>
    <row r="94" spans="2:31" x14ac:dyDescent="0.2">
      <c r="C94" s="551" t="s">
        <v>52</v>
      </c>
      <c r="D94" s="553"/>
      <c r="E94" s="553"/>
      <c r="F94" s="553"/>
      <c r="G94" s="553">
        <f t="shared" ref="G94:X94" si="36">(G93/8.76)/$T69</f>
        <v>0</v>
      </c>
      <c r="H94" s="553">
        <f t="shared" si="36"/>
        <v>0</v>
      </c>
      <c r="I94" s="553">
        <f t="shared" si="36"/>
        <v>49.857078659652778</v>
      </c>
      <c r="J94" s="553">
        <f t="shared" si="36"/>
        <v>105.36919646627666</v>
      </c>
      <c r="K94" s="553">
        <f t="shared" si="36"/>
        <v>120.96734984983446</v>
      </c>
      <c r="L94" s="553">
        <f t="shared" si="36"/>
        <v>124.98709488534446</v>
      </c>
      <c r="M94" s="553">
        <f t="shared" si="36"/>
        <v>129.14041604838442</v>
      </c>
      <c r="N94" s="553">
        <f t="shared" si="36"/>
        <v>133.43175207367227</v>
      </c>
      <c r="O94" s="553">
        <f t="shared" si="36"/>
        <v>137.86568919508031</v>
      </c>
      <c r="P94" s="553">
        <f t="shared" si="36"/>
        <v>142.44696604703284</v>
      </c>
      <c r="Q94" s="553">
        <f t="shared" si="36"/>
        <v>147.1804787287758</v>
      </c>
      <c r="R94" s="553">
        <f t="shared" si="36"/>
        <v>152.07128603693297</v>
      </c>
      <c r="S94" s="553">
        <f t="shared" si="36"/>
        <v>157.1246148719402</v>
      </c>
      <c r="T94" s="553">
        <f t="shared" si="36"/>
        <v>162.34586582413479</v>
      </c>
      <c r="U94" s="553">
        <f t="shared" si="36"/>
        <v>167.74061894547077</v>
      </c>
      <c r="V94" s="553">
        <f t="shared" si="36"/>
        <v>173.31463971302878</v>
      </c>
      <c r="W94" s="553">
        <f t="shared" si="36"/>
        <v>179.07388519069266</v>
      </c>
      <c r="X94" s="553">
        <f t="shared" si="36"/>
        <v>185.02451039557937</v>
      </c>
      <c r="Y94" s="553"/>
      <c r="Z94" s="553"/>
      <c r="AA94" s="553"/>
      <c r="AB94" s="553"/>
      <c r="AC94" s="814"/>
      <c r="AD94" s="553"/>
    </row>
    <row r="95" spans="2:31" x14ac:dyDescent="0.2">
      <c r="C95" s="551" t="s">
        <v>48</v>
      </c>
      <c r="D95" s="553"/>
      <c r="E95" s="553"/>
      <c r="F95" s="553"/>
      <c r="G95" s="555">
        <f t="shared" ref="G95:X95" si="37">IF(G94&lt;$X$69,G93,($X$69/G94)*G93)</f>
        <v>0</v>
      </c>
      <c r="H95" s="555">
        <f t="shared" si="37"/>
        <v>0</v>
      </c>
      <c r="I95" s="555">
        <f t="shared" si="37"/>
        <v>225.48975798907802</v>
      </c>
      <c r="J95" s="555">
        <f t="shared" si="37"/>
        <v>476.55569177806711</v>
      </c>
      <c r="K95" s="555">
        <f t="shared" si="37"/>
        <v>547.10181935094693</v>
      </c>
      <c r="L95" s="555">
        <f t="shared" si="37"/>
        <v>565.28201280797884</v>
      </c>
      <c r="M95" s="555">
        <f t="shared" si="37"/>
        <v>584.0663340935879</v>
      </c>
      <c r="N95" s="555">
        <f t="shared" si="37"/>
        <v>603.4748583755179</v>
      </c>
      <c r="O95" s="555">
        <f t="shared" si="37"/>
        <v>623.52832791933599</v>
      </c>
      <c r="P95" s="555">
        <f t="shared" si="37"/>
        <v>644.24817425609558</v>
      </c>
      <c r="Q95" s="555">
        <f t="shared" si="37"/>
        <v>665.65654108662579</v>
      </c>
      <c r="R95" s="555">
        <f t="shared" si="37"/>
        <v>687.77630794693425</v>
      </c>
      <c r="S95" s="555">
        <f t="shared" si="37"/>
        <v>710.63111466001055</v>
      </c>
      <c r="T95" s="555">
        <f t="shared" si="37"/>
        <v>734.24538660016287</v>
      </c>
      <c r="U95" s="555">
        <f t="shared" si="37"/>
        <v>758.64436079688619</v>
      </c>
      <c r="V95" s="555">
        <f t="shared" si="37"/>
        <v>783.85411290616673</v>
      </c>
      <c r="W95" s="555">
        <f t="shared" si="37"/>
        <v>809.90158507803835</v>
      </c>
      <c r="X95" s="555">
        <f t="shared" si="37"/>
        <v>836.81461475018159</v>
      </c>
      <c r="Y95" s="555"/>
      <c r="Z95" s="555"/>
      <c r="AA95" s="555"/>
      <c r="AB95" s="555"/>
      <c r="AC95" s="821"/>
      <c r="AD95" s="555"/>
    </row>
    <row r="96" spans="2:31" x14ac:dyDescent="0.2">
      <c r="C96" s="551" t="s">
        <v>95</v>
      </c>
      <c r="D96" s="553"/>
      <c r="E96" s="553"/>
      <c r="F96" s="553"/>
      <c r="G96" s="555"/>
      <c r="H96" s="555">
        <v>0</v>
      </c>
      <c r="I96" s="556">
        <f t="shared" ref="I96:X96" si="38">IF(I94&gt;$X$69,I22,0)</f>
        <v>0</v>
      </c>
      <c r="J96" s="556">
        <f t="shared" si="38"/>
        <v>0</v>
      </c>
      <c r="K96" s="556">
        <f t="shared" si="38"/>
        <v>0</v>
      </c>
      <c r="L96" s="556">
        <f t="shared" si="38"/>
        <v>0</v>
      </c>
      <c r="M96" s="556">
        <f t="shared" si="38"/>
        <v>0</v>
      </c>
      <c r="N96" s="556">
        <f t="shared" si="38"/>
        <v>0</v>
      </c>
      <c r="O96" s="556">
        <f t="shared" si="38"/>
        <v>0</v>
      </c>
      <c r="P96" s="556">
        <f t="shared" si="38"/>
        <v>0</v>
      </c>
      <c r="Q96" s="556">
        <f t="shared" si="38"/>
        <v>0</v>
      </c>
      <c r="R96" s="556">
        <f t="shared" si="38"/>
        <v>0</v>
      </c>
      <c r="S96" s="556">
        <f t="shared" si="38"/>
        <v>0</v>
      </c>
      <c r="T96" s="556">
        <f t="shared" si="38"/>
        <v>0</v>
      </c>
      <c r="U96" s="556">
        <f t="shared" si="38"/>
        <v>0</v>
      </c>
      <c r="V96" s="556">
        <f t="shared" si="38"/>
        <v>0</v>
      </c>
      <c r="W96" s="556">
        <f t="shared" si="38"/>
        <v>0</v>
      </c>
      <c r="X96" s="556">
        <f t="shared" si="38"/>
        <v>0</v>
      </c>
      <c r="Y96" s="556"/>
      <c r="Z96" s="556"/>
      <c r="AA96" s="556"/>
      <c r="AB96" s="556"/>
      <c r="AC96" s="822"/>
      <c r="AD96" s="556"/>
      <c r="AE96" s="819"/>
    </row>
    <row r="97" spans="2:30" x14ac:dyDescent="0.2">
      <c r="B97" s="702"/>
      <c r="C97" s="552" t="s">
        <v>10</v>
      </c>
      <c r="D97" s="553"/>
      <c r="E97" s="553"/>
      <c r="F97" s="553"/>
      <c r="G97" s="553">
        <f>IF(G23=1,(G95/G93)*G89,0)</f>
        <v>0</v>
      </c>
      <c r="H97" s="553">
        <f>IF(H23=1,(H95/H93)*H89,0)</f>
        <v>0</v>
      </c>
      <c r="I97" s="553">
        <f>IF($AB$69=1,(I$95/I$93)*I89,0)</f>
        <v>81.831816000000003</v>
      </c>
      <c r="J97" s="553">
        <f t="shared" ref="J97:X99" si="39">IF($AB$69=1,(J$95/J$93)*J89,0)</f>
        <v>172.9454057298</v>
      </c>
      <c r="K97" s="553">
        <f t="shared" si="39"/>
        <v>198.54709062466799</v>
      </c>
      <c r="L97" s="553">
        <f t="shared" si="39"/>
        <v>205.14481044612572</v>
      </c>
      <c r="M97" s="553">
        <f t="shared" si="39"/>
        <v>211.96177249725045</v>
      </c>
      <c r="N97" s="553">
        <f t="shared" si="39"/>
        <v>219.00526219733405</v>
      </c>
      <c r="O97" s="553">
        <f t="shared" si="39"/>
        <v>226.28280706015138</v>
      </c>
      <c r="P97" s="553">
        <f t="shared" si="39"/>
        <v>233.80218473876027</v>
      </c>
      <c r="Q97" s="553">
        <f t="shared" si="39"/>
        <v>241.57143133762926</v>
      </c>
      <c r="R97" s="553">
        <f t="shared" si="39"/>
        <v>249.59885000097867</v>
      </c>
      <c r="S97" s="553">
        <f t="shared" si="39"/>
        <v>257.8930197865111</v>
      </c>
      <c r="T97" s="553">
        <f t="shared" si="39"/>
        <v>266.46280483401688</v>
      </c>
      <c r="U97" s="553">
        <f t="shared" si="39"/>
        <v>275.3173638386512</v>
      </c>
      <c r="V97" s="553">
        <f t="shared" si="39"/>
        <v>284.46615983900961</v>
      </c>
      <c r="W97" s="553">
        <f t="shared" si="39"/>
        <v>293.91897033045984</v>
      </c>
      <c r="X97" s="553">
        <f t="shared" si="39"/>
        <v>303.685897714541</v>
      </c>
      <c r="Y97" s="553"/>
      <c r="Z97" s="553"/>
      <c r="AA97" s="553"/>
      <c r="AB97" s="553"/>
      <c r="AC97" s="814"/>
      <c r="AD97" s="553"/>
    </row>
    <row r="98" spans="2:30" x14ac:dyDescent="0.2">
      <c r="B98" s="702"/>
      <c r="C98" s="552" t="s">
        <v>44</v>
      </c>
      <c r="D98" s="553"/>
      <c r="E98" s="553"/>
      <c r="F98" s="553"/>
      <c r="G98" s="553">
        <f>IF(G23=1,(G95/G93)*G90,0)</f>
        <v>0</v>
      </c>
      <c r="H98" s="553">
        <f>IF(H23=1,(H95/H93)*H90,0)</f>
        <v>0</v>
      </c>
      <c r="I98" s="553">
        <f t="shared" ref="I98:X99" si="40">IF($AB$69=1,(I$95/I$93)*I90,0)</f>
        <v>100.65313368</v>
      </c>
      <c r="J98" s="553">
        <f t="shared" si="40"/>
        <v>212.72284904765397</v>
      </c>
      <c r="K98" s="553">
        <f t="shared" si="40"/>
        <v>244.21292146834165</v>
      </c>
      <c r="L98" s="553">
        <f t="shared" si="40"/>
        <v>252.32811684873465</v>
      </c>
      <c r="M98" s="553">
        <f t="shared" si="40"/>
        <v>260.71298017161803</v>
      </c>
      <c r="N98" s="553">
        <f t="shared" si="40"/>
        <v>269.37647250272096</v>
      </c>
      <c r="O98" s="553">
        <f t="shared" si="40"/>
        <v>278.32785268398624</v>
      </c>
      <c r="P98" s="553">
        <f t="shared" si="40"/>
        <v>287.5766872286751</v>
      </c>
      <c r="Q98" s="553">
        <f t="shared" si="40"/>
        <v>297.13286054528402</v>
      </c>
      <c r="R98" s="553">
        <f t="shared" si="40"/>
        <v>307.0065855012038</v>
      </c>
      <c r="S98" s="553">
        <f t="shared" si="40"/>
        <v>317.20841433740861</v>
      </c>
      <c r="T98" s="553">
        <f t="shared" si="40"/>
        <v>327.74924994584075</v>
      </c>
      <c r="U98" s="553">
        <f t="shared" si="40"/>
        <v>338.64035752154109</v>
      </c>
      <c r="V98" s="553">
        <f t="shared" si="40"/>
        <v>349.89337660198186</v>
      </c>
      <c r="W98" s="553">
        <f t="shared" si="40"/>
        <v>361.52033350646548</v>
      </c>
      <c r="X98" s="553">
        <f t="shared" si="40"/>
        <v>373.53365418888546</v>
      </c>
      <c r="Y98" s="553"/>
      <c r="Z98" s="553"/>
      <c r="AA98" s="553"/>
      <c r="AB98" s="553"/>
      <c r="AC98" s="814"/>
      <c r="AD98" s="553"/>
    </row>
    <row r="99" spans="2:30" x14ac:dyDescent="0.2">
      <c r="B99" s="702"/>
      <c r="C99" s="552" t="s">
        <v>45</v>
      </c>
      <c r="D99" s="553"/>
      <c r="E99" s="553"/>
      <c r="F99" s="553"/>
      <c r="G99" s="553">
        <f>IF(G23=1,(G95/G93)*G91,0)</f>
        <v>0</v>
      </c>
      <c r="H99" s="553">
        <f>IF(H23=1,(H95/H93)*H91,0)</f>
        <v>0</v>
      </c>
      <c r="I99" s="553">
        <f t="shared" si="40"/>
        <v>43.004808309078008</v>
      </c>
      <c r="J99" s="553">
        <f t="shared" si="39"/>
        <v>90.887437000613161</v>
      </c>
      <c r="K99" s="553">
        <f t="shared" si="39"/>
        <v>104.34180725793728</v>
      </c>
      <c r="L99" s="553">
        <f t="shared" si="39"/>
        <v>107.80908551311852</v>
      </c>
      <c r="M99" s="553">
        <f t="shared" si="39"/>
        <v>111.39158142471942</v>
      </c>
      <c r="N99" s="553">
        <f t="shared" si="39"/>
        <v>115.09312367546288</v>
      </c>
      <c r="O99" s="553">
        <f t="shared" si="39"/>
        <v>118.91766817519841</v>
      </c>
      <c r="P99" s="553">
        <f t="shared" si="39"/>
        <v>122.86930228866031</v>
      </c>
      <c r="Q99" s="553">
        <f t="shared" si="39"/>
        <v>126.95224920371248</v>
      </c>
      <c r="R99" s="553">
        <f t="shared" si="39"/>
        <v>131.17087244475181</v>
      </c>
      <c r="S99" s="553">
        <f t="shared" si="39"/>
        <v>135.52968053609089</v>
      </c>
      <c r="T99" s="553">
        <f t="shared" si="39"/>
        <v>140.03333182030519</v>
      </c>
      <c r="U99" s="553">
        <f t="shared" si="39"/>
        <v>144.68663943669392</v>
      </c>
      <c r="V99" s="553">
        <f t="shared" si="39"/>
        <v>149.4945764651753</v>
      </c>
      <c r="W99" s="553">
        <f t="shared" si="39"/>
        <v>154.46228124111298</v>
      </c>
      <c r="X99" s="553">
        <f t="shared" si="39"/>
        <v>159.59506284675518</v>
      </c>
      <c r="Y99" s="553"/>
      <c r="Z99" s="553"/>
      <c r="AA99" s="553"/>
      <c r="AB99" s="553"/>
      <c r="AC99" s="814"/>
      <c r="AD99" s="553"/>
    </row>
    <row r="100" spans="2:30" x14ac:dyDescent="0.2">
      <c r="B100" s="702"/>
      <c r="C100" s="552"/>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823"/>
      <c r="AD100" s="557"/>
    </row>
    <row r="101" spans="2:30" x14ac:dyDescent="0.2">
      <c r="B101" s="702"/>
      <c r="C101" s="536" t="s">
        <v>65</v>
      </c>
      <c r="D101" s="558">
        <f t="shared" ref="D101:X101" si="41">$AB$69*D$95*0.001</f>
        <v>0</v>
      </c>
      <c r="E101" s="558">
        <f t="shared" si="41"/>
        <v>0</v>
      </c>
      <c r="F101" s="558">
        <f t="shared" si="41"/>
        <v>0</v>
      </c>
      <c r="G101" s="558">
        <f t="shared" si="41"/>
        <v>0</v>
      </c>
      <c r="H101" s="558">
        <f t="shared" si="41"/>
        <v>0</v>
      </c>
      <c r="I101" s="558">
        <f t="shared" si="41"/>
        <v>0.22548975798907803</v>
      </c>
      <c r="J101" s="558">
        <f t="shared" si="41"/>
        <v>0.47655569177806711</v>
      </c>
      <c r="K101" s="558">
        <f t="shared" si="41"/>
        <v>0.54710181935094693</v>
      </c>
      <c r="L101" s="558">
        <f t="shared" si="41"/>
        <v>0.56528201280797885</v>
      </c>
      <c r="M101" s="558">
        <f t="shared" si="41"/>
        <v>0.58406633409358788</v>
      </c>
      <c r="N101" s="558">
        <f t="shared" si="41"/>
        <v>0.60347485837551795</v>
      </c>
      <c r="O101" s="558">
        <f t="shared" si="41"/>
        <v>0.62352832791933599</v>
      </c>
      <c r="P101" s="558">
        <f t="shared" si="41"/>
        <v>0.6442481742560956</v>
      </c>
      <c r="Q101" s="558">
        <f t="shared" si="41"/>
        <v>0.66565654108662575</v>
      </c>
      <c r="R101" s="558">
        <f t="shared" si="41"/>
        <v>0.68777630794693423</v>
      </c>
      <c r="S101" s="558">
        <f t="shared" si="41"/>
        <v>0.71063111466001061</v>
      </c>
      <c r="T101" s="558">
        <f t="shared" si="41"/>
        <v>0.73424538660016292</v>
      </c>
      <c r="U101" s="558">
        <f t="shared" si="41"/>
        <v>0.75864436079688624</v>
      </c>
      <c r="V101" s="558">
        <f t="shared" si="41"/>
        <v>0.7838541129061668</v>
      </c>
      <c r="W101" s="558">
        <f t="shared" si="41"/>
        <v>0.80990158507803833</v>
      </c>
      <c r="X101" s="558">
        <f t="shared" si="41"/>
        <v>0.8368146147501816</v>
      </c>
      <c r="Y101" s="558"/>
      <c r="Z101" s="558"/>
      <c r="AA101" s="558"/>
      <c r="AB101" s="558"/>
      <c r="AC101" s="808"/>
      <c r="AD101" s="558"/>
    </row>
    <row r="102" spans="2:30" ht="13.5" thickBot="1" x14ac:dyDescent="0.25">
      <c r="C102" s="540"/>
      <c r="D102" s="724"/>
      <c r="E102" s="724"/>
      <c r="F102" s="724"/>
      <c r="G102" s="724"/>
      <c r="H102" s="749"/>
      <c r="I102" s="749" t="str">
        <f>IF(I96=0," ",I96)</f>
        <v xml:space="preserve"> </v>
      </c>
      <c r="J102" s="749" t="str">
        <f t="shared" ref="J102:X102" si="42">IF(J96=0," ",J96)</f>
        <v xml:space="preserve"> </v>
      </c>
      <c r="K102" s="749" t="str">
        <f t="shared" si="42"/>
        <v xml:space="preserve"> </v>
      </c>
      <c r="L102" s="749" t="str">
        <f t="shared" si="42"/>
        <v xml:space="preserve"> </v>
      </c>
      <c r="M102" s="749" t="str">
        <f t="shared" si="42"/>
        <v xml:space="preserve"> </v>
      </c>
      <c r="N102" s="749" t="str">
        <f t="shared" si="42"/>
        <v xml:space="preserve"> </v>
      </c>
      <c r="O102" s="749" t="str">
        <f t="shared" si="42"/>
        <v xml:space="preserve"> </v>
      </c>
      <c r="P102" s="749" t="str">
        <f t="shared" si="42"/>
        <v xml:space="preserve"> </v>
      </c>
      <c r="Q102" s="749" t="str">
        <f t="shared" si="42"/>
        <v xml:space="preserve"> </v>
      </c>
      <c r="R102" s="749" t="str">
        <f t="shared" si="42"/>
        <v xml:space="preserve"> </v>
      </c>
      <c r="S102" s="749" t="str">
        <f t="shared" si="42"/>
        <v xml:space="preserve"> </v>
      </c>
      <c r="T102" s="749" t="str">
        <f t="shared" si="42"/>
        <v xml:space="preserve"> </v>
      </c>
      <c r="U102" s="749" t="str">
        <f t="shared" si="42"/>
        <v xml:space="preserve"> </v>
      </c>
      <c r="V102" s="749" t="str">
        <f t="shared" si="42"/>
        <v xml:space="preserve"> </v>
      </c>
      <c r="W102" s="749" t="str">
        <f t="shared" si="42"/>
        <v xml:space="preserve"> </v>
      </c>
      <c r="X102" s="749" t="str">
        <f t="shared" si="42"/>
        <v xml:space="preserve"> </v>
      </c>
      <c r="Y102" s="749"/>
      <c r="Z102" s="749"/>
      <c r="AA102" s="749"/>
      <c r="AB102" s="749"/>
      <c r="AC102" s="824"/>
      <c r="AD102" s="246"/>
    </row>
    <row r="103" spans="2:30" ht="13.5" thickBot="1" x14ac:dyDescent="0.25">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row>
    <row r="104" spans="2:30" s="543" customFormat="1" x14ac:dyDescent="0.2">
      <c r="C104" s="560"/>
      <c r="D104" s="752">
        <f>IF(D113=$D111,1,0)</f>
        <v>1</v>
      </c>
      <c r="E104" s="752">
        <f>IF(E113=$D111,1,0)</f>
        <v>1</v>
      </c>
      <c r="F104" s="752">
        <f>IF(F113=$D111,1,0)</f>
        <v>1</v>
      </c>
      <c r="G104" s="753" t="s">
        <v>140</v>
      </c>
      <c r="H104" s="754">
        <f t="shared" ref="H104:X104" si="43">IF(H113=$D111,H22," ")</f>
        <v>2012</v>
      </c>
      <c r="I104" s="754">
        <f t="shared" si="43"/>
        <v>2013</v>
      </c>
      <c r="J104" s="754">
        <f t="shared" si="43"/>
        <v>2014</v>
      </c>
      <c r="K104" s="754">
        <f t="shared" si="43"/>
        <v>2015</v>
      </c>
      <c r="L104" s="754">
        <f t="shared" si="43"/>
        <v>2016</v>
      </c>
      <c r="M104" s="754">
        <f t="shared" si="43"/>
        <v>2017</v>
      </c>
      <c r="N104" s="754">
        <f t="shared" si="43"/>
        <v>2018</v>
      </c>
      <c r="O104" s="754">
        <f t="shared" si="43"/>
        <v>2019</v>
      </c>
      <c r="P104" s="754">
        <f t="shared" si="43"/>
        <v>2020</v>
      </c>
      <c r="Q104" s="755">
        <f t="shared" si="43"/>
        <v>2021</v>
      </c>
      <c r="R104" s="755">
        <f t="shared" si="43"/>
        <v>2022</v>
      </c>
      <c r="S104" s="755">
        <f t="shared" si="43"/>
        <v>2023</v>
      </c>
      <c r="T104" s="755">
        <f t="shared" si="43"/>
        <v>2024</v>
      </c>
      <c r="U104" s="755">
        <f t="shared" si="43"/>
        <v>2025</v>
      </c>
      <c r="V104" s="755">
        <f t="shared" si="43"/>
        <v>2026</v>
      </c>
      <c r="W104" s="755">
        <f t="shared" si="43"/>
        <v>2027</v>
      </c>
      <c r="X104" s="755">
        <f t="shared" si="43"/>
        <v>2028</v>
      </c>
      <c r="Y104" s="532"/>
      <c r="Z104" s="542"/>
      <c r="AA104" s="542"/>
      <c r="AB104" s="542"/>
      <c r="AC104" s="542"/>
    </row>
    <row r="105" spans="2:30" s="543" customFormat="1"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30" s="240" customFormat="1" x14ac:dyDescent="0.2">
      <c r="C106" s="548"/>
      <c r="D106" s="111">
        <f>D74</f>
        <v>2008</v>
      </c>
      <c r="E106" s="111">
        <f t="shared" ref="E106:X106" si="44">E74</f>
        <v>2009</v>
      </c>
      <c r="F106" s="111">
        <f t="shared" si="44"/>
        <v>2010</v>
      </c>
      <c r="G106" s="111">
        <f t="shared" si="44"/>
        <v>2011</v>
      </c>
      <c r="H106" s="111">
        <f t="shared" si="44"/>
        <v>2012</v>
      </c>
      <c r="I106" s="111">
        <f t="shared" si="44"/>
        <v>2013</v>
      </c>
      <c r="J106" s="111">
        <f t="shared" si="44"/>
        <v>2014</v>
      </c>
      <c r="K106" s="111">
        <f t="shared" si="44"/>
        <v>2015</v>
      </c>
      <c r="L106" s="111">
        <f t="shared" si="44"/>
        <v>2016</v>
      </c>
      <c r="M106" s="111">
        <f t="shared" si="44"/>
        <v>2017</v>
      </c>
      <c r="N106" s="111">
        <f t="shared" si="44"/>
        <v>2018</v>
      </c>
      <c r="O106" s="111">
        <f t="shared" si="44"/>
        <v>2019</v>
      </c>
      <c r="P106" s="111">
        <f t="shared" si="44"/>
        <v>2020</v>
      </c>
      <c r="Q106" s="111">
        <f t="shared" si="44"/>
        <v>2021</v>
      </c>
      <c r="R106" s="111">
        <f t="shared" si="44"/>
        <v>2022</v>
      </c>
      <c r="S106" s="111">
        <f t="shared" si="44"/>
        <v>2023</v>
      </c>
      <c r="T106" s="111">
        <f t="shared" si="44"/>
        <v>2024</v>
      </c>
      <c r="U106" s="111">
        <f t="shared" si="44"/>
        <v>2025</v>
      </c>
      <c r="V106" s="111">
        <f t="shared" si="44"/>
        <v>2026</v>
      </c>
      <c r="W106" s="111">
        <f t="shared" si="44"/>
        <v>2027</v>
      </c>
      <c r="X106" s="111">
        <f t="shared" si="44"/>
        <v>2028</v>
      </c>
      <c r="Y106" s="550"/>
      <c r="Z106" s="111"/>
      <c r="AA106" s="111"/>
      <c r="AB106" s="111"/>
      <c r="AC106" s="111"/>
      <c r="AD106" s="111"/>
    </row>
    <row r="107" spans="2:30" s="240" customFormat="1" x14ac:dyDescent="0.2">
      <c r="C107" s="548"/>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550"/>
      <c r="Z107" s="111"/>
      <c r="AA107" s="111"/>
      <c r="AB107" s="111"/>
      <c r="AC107" s="111"/>
    </row>
    <row r="108" spans="2:30" x14ac:dyDescent="0.2">
      <c r="C108" s="721" t="s">
        <v>67</v>
      </c>
      <c r="D108" s="810">
        <v>0</v>
      </c>
      <c r="E108" s="710">
        <f t="shared" ref="E108:X108" si="45">IF(E$23=1,$D108*$AC69,0)</f>
        <v>0</v>
      </c>
      <c r="F108" s="710">
        <f t="shared" si="45"/>
        <v>0</v>
      </c>
      <c r="G108" s="710">
        <f t="shared" si="45"/>
        <v>0</v>
      </c>
      <c r="H108" s="710">
        <f t="shared" si="45"/>
        <v>0</v>
      </c>
      <c r="I108" s="710">
        <f t="shared" si="45"/>
        <v>0</v>
      </c>
      <c r="J108" s="710">
        <f t="shared" si="45"/>
        <v>0</v>
      </c>
      <c r="K108" s="710">
        <f t="shared" si="45"/>
        <v>0</v>
      </c>
      <c r="L108" s="710">
        <f t="shared" si="45"/>
        <v>0</v>
      </c>
      <c r="M108" s="710">
        <f t="shared" si="45"/>
        <v>0</v>
      </c>
      <c r="N108" s="710">
        <f t="shared" si="45"/>
        <v>0</v>
      </c>
      <c r="O108" s="710">
        <f t="shared" si="45"/>
        <v>0</v>
      </c>
      <c r="P108" s="710">
        <f t="shared" si="45"/>
        <v>0</v>
      </c>
      <c r="Q108" s="710">
        <f t="shared" si="45"/>
        <v>0</v>
      </c>
      <c r="R108" s="710">
        <f t="shared" si="45"/>
        <v>0</v>
      </c>
      <c r="S108" s="710">
        <f t="shared" si="45"/>
        <v>0</v>
      </c>
      <c r="T108" s="710">
        <f t="shared" si="45"/>
        <v>0</v>
      </c>
      <c r="U108" s="710">
        <f t="shared" si="45"/>
        <v>0</v>
      </c>
      <c r="V108" s="710">
        <f t="shared" si="45"/>
        <v>0</v>
      </c>
      <c r="W108" s="710">
        <f t="shared" si="45"/>
        <v>0</v>
      </c>
      <c r="X108" s="710">
        <f t="shared" si="45"/>
        <v>0</v>
      </c>
      <c r="Y108" s="696"/>
      <c r="Z108" s="710"/>
      <c r="AA108" s="710"/>
      <c r="AB108" s="710"/>
      <c r="AC108" s="710"/>
      <c r="AD108" s="710"/>
    </row>
    <row r="109" spans="2:30" x14ac:dyDescent="0.2">
      <c r="C109" s="721" t="s">
        <v>69</v>
      </c>
      <c r="D109" s="722">
        <f>D108*0.85*Assumptions!C57*8.76*$AC69</f>
        <v>0</v>
      </c>
      <c r="E109" s="722">
        <f>D109</f>
        <v>0</v>
      </c>
      <c r="F109" s="722">
        <f t="shared" ref="F109:X109" si="46">E109</f>
        <v>0</v>
      </c>
      <c r="G109" s="722">
        <f t="shared" si="46"/>
        <v>0</v>
      </c>
      <c r="H109" s="722">
        <f t="shared" si="46"/>
        <v>0</v>
      </c>
      <c r="I109" s="722">
        <f t="shared" si="46"/>
        <v>0</v>
      </c>
      <c r="J109" s="722">
        <f t="shared" si="46"/>
        <v>0</v>
      </c>
      <c r="K109" s="722">
        <f t="shared" si="46"/>
        <v>0</v>
      </c>
      <c r="L109" s="722">
        <f t="shared" si="46"/>
        <v>0</v>
      </c>
      <c r="M109" s="722">
        <f t="shared" si="46"/>
        <v>0</v>
      </c>
      <c r="N109" s="722">
        <f t="shared" si="46"/>
        <v>0</v>
      </c>
      <c r="O109" s="722">
        <f t="shared" si="46"/>
        <v>0</v>
      </c>
      <c r="P109" s="722">
        <f t="shared" si="46"/>
        <v>0</v>
      </c>
      <c r="Q109" s="722">
        <f t="shared" si="46"/>
        <v>0</v>
      </c>
      <c r="R109" s="722">
        <f t="shared" si="46"/>
        <v>0</v>
      </c>
      <c r="S109" s="722">
        <f t="shared" si="46"/>
        <v>0</v>
      </c>
      <c r="T109" s="722">
        <f t="shared" si="46"/>
        <v>0</v>
      </c>
      <c r="U109" s="722">
        <f t="shared" si="46"/>
        <v>0</v>
      </c>
      <c r="V109" s="722">
        <f t="shared" si="46"/>
        <v>0</v>
      </c>
      <c r="W109" s="722">
        <f t="shared" si="46"/>
        <v>0</v>
      </c>
      <c r="X109" s="722">
        <f t="shared" si="46"/>
        <v>0</v>
      </c>
      <c r="Y109" s="825"/>
      <c r="Z109" s="722"/>
      <c r="AA109" s="722"/>
      <c r="AB109" s="722"/>
      <c r="AC109" s="722"/>
      <c r="AD109" s="722"/>
    </row>
    <row r="110" spans="2:30" x14ac:dyDescent="0.2">
      <c r="C110" s="721" t="s">
        <v>68</v>
      </c>
      <c r="D110" s="810">
        <v>0</v>
      </c>
      <c r="E110" s="710">
        <f t="shared" ref="E110:X110" si="47">IF(E$23=1,$D110,0)</f>
        <v>0</v>
      </c>
      <c r="F110" s="710">
        <f t="shared" si="47"/>
        <v>0</v>
      </c>
      <c r="G110" s="710">
        <f t="shared" si="47"/>
        <v>0</v>
      </c>
      <c r="H110" s="710">
        <f t="shared" si="47"/>
        <v>0</v>
      </c>
      <c r="I110" s="710">
        <f t="shared" si="47"/>
        <v>0</v>
      </c>
      <c r="J110" s="710">
        <f t="shared" si="47"/>
        <v>0</v>
      </c>
      <c r="K110" s="710">
        <f t="shared" si="47"/>
        <v>0</v>
      </c>
      <c r="L110" s="710">
        <f t="shared" si="47"/>
        <v>0</v>
      </c>
      <c r="M110" s="710">
        <f t="shared" si="47"/>
        <v>0</v>
      </c>
      <c r="N110" s="710">
        <f t="shared" si="47"/>
        <v>0</v>
      </c>
      <c r="O110" s="710">
        <f t="shared" si="47"/>
        <v>0</v>
      </c>
      <c r="P110" s="710">
        <f t="shared" si="47"/>
        <v>0</v>
      </c>
      <c r="Q110" s="710">
        <f t="shared" si="47"/>
        <v>0</v>
      </c>
      <c r="R110" s="710">
        <f t="shared" si="47"/>
        <v>0</v>
      </c>
      <c r="S110" s="710">
        <f t="shared" si="47"/>
        <v>0</v>
      </c>
      <c r="T110" s="710">
        <f t="shared" si="47"/>
        <v>0</v>
      </c>
      <c r="U110" s="710">
        <f t="shared" si="47"/>
        <v>0</v>
      </c>
      <c r="V110" s="710">
        <f t="shared" si="47"/>
        <v>0</v>
      </c>
      <c r="W110" s="710">
        <f t="shared" si="47"/>
        <v>0</v>
      </c>
      <c r="X110" s="710">
        <f t="shared" si="47"/>
        <v>0</v>
      </c>
      <c r="Y110" s="696"/>
      <c r="Z110" s="710"/>
      <c r="AA110" s="710"/>
      <c r="AB110" s="710"/>
      <c r="AC110" s="710"/>
      <c r="AD110" s="710"/>
    </row>
    <row r="111" spans="2:30" x14ac:dyDescent="0.2">
      <c r="C111" s="721" t="s">
        <v>72</v>
      </c>
      <c r="D111" s="722">
        <f>D112+D109</f>
        <v>0</v>
      </c>
      <c r="E111" s="710"/>
      <c r="F111" s="710"/>
      <c r="G111" s="710"/>
      <c r="H111" s="710"/>
      <c r="I111" s="710"/>
      <c r="J111" s="710"/>
      <c r="K111" s="710"/>
      <c r="L111" s="710"/>
      <c r="M111" s="710"/>
      <c r="N111" s="710"/>
      <c r="O111" s="710"/>
      <c r="P111" s="710"/>
      <c r="Q111" s="710"/>
      <c r="R111" s="710"/>
      <c r="S111" s="710"/>
      <c r="T111" s="710"/>
      <c r="U111" s="710"/>
      <c r="V111" s="710"/>
      <c r="W111" s="710"/>
      <c r="X111" s="710"/>
      <c r="Y111" s="696"/>
      <c r="Z111" s="710"/>
      <c r="AA111" s="710"/>
      <c r="AB111" s="710"/>
      <c r="AC111" s="710"/>
      <c r="AD111" s="710"/>
    </row>
    <row r="112" spans="2:30" x14ac:dyDescent="0.2">
      <c r="B112" s="539"/>
      <c r="C112" s="721" t="s">
        <v>33</v>
      </c>
      <c r="D112" s="710"/>
      <c r="E112" s="710"/>
      <c r="F112" s="710"/>
      <c r="G112" s="710"/>
      <c r="H112" s="538">
        <v>0</v>
      </c>
      <c r="I112" s="538">
        <f>H112*(1+Assumptions!$C$56)</f>
        <v>0</v>
      </c>
      <c r="J112" s="538">
        <f>I112*(1+Assumptions!$C$56)</f>
        <v>0</v>
      </c>
      <c r="K112" s="538">
        <f>J112*(1+Assumptions!$C$56)</f>
        <v>0</v>
      </c>
      <c r="L112" s="538">
        <f>K112*(1+Assumptions!$C$56)</f>
        <v>0</v>
      </c>
      <c r="M112" s="538">
        <f>L112*(1+Assumptions!$C$56)</f>
        <v>0</v>
      </c>
      <c r="N112" s="538">
        <f>M112*(1+Assumptions!$C$56)</f>
        <v>0</v>
      </c>
      <c r="O112" s="538">
        <f>N112*(1+Assumptions!$C$56)</f>
        <v>0</v>
      </c>
      <c r="P112" s="538">
        <f>O112*(1+Assumptions!$C$56)</f>
        <v>0</v>
      </c>
      <c r="Q112" s="538">
        <f>P112*(1+Assumptions!$C$56)</f>
        <v>0</v>
      </c>
      <c r="R112" s="538">
        <f>Q112*(1+Assumptions!$C$56)</f>
        <v>0</v>
      </c>
      <c r="S112" s="538">
        <f>R112*(1+Assumptions!$C$56)</f>
        <v>0</v>
      </c>
      <c r="T112" s="538">
        <f>S112*(1+Assumptions!$C$56)</f>
        <v>0</v>
      </c>
      <c r="U112" s="538">
        <f>T112*(1+Assumptions!$C$56)</f>
        <v>0</v>
      </c>
      <c r="V112" s="538">
        <f>U112*(1+Assumptions!$C$56)</f>
        <v>0</v>
      </c>
      <c r="W112" s="538">
        <f>V112*(1+Assumptions!$C$56)</f>
        <v>0</v>
      </c>
      <c r="X112" s="538">
        <f>W112*(1+Assumptions!$C$56)</f>
        <v>0</v>
      </c>
      <c r="Y112" s="826"/>
      <c r="Z112" s="538"/>
      <c r="AA112" s="538"/>
      <c r="AB112" s="538"/>
      <c r="AC112" s="538"/>
      <c r="AD112" s="538"/>
    </row>
    <row r="113" spans="3:31" x14ac:dyDescent="0.2">
      <c r="C113" s="721" t="s">
        <v>96</v>
      </c>
      <c r="D113" s="722">
        <f>D110*Assumptions!C57*8760*0.001</f>
        <v>0</v>
      </c>
      <c r="E113" s="722">
        <f t="shared" ref="E113:X113" si="48">IF(E$23=0,D113,MIN((D113*(1+ss_growth)),$D111))</f>
        <v>0</v>
      </c>
      <c r="F113" s="722">
        <f t="shared" si="48"/>
        <v>0</v>
      </c>
      <c r="G113" s="722">
        <f t="shared" si="48"/>
        <v>0</v>
      </c>
      <c r="H113" s="722">
        <f t="shared" si="48"/>
        <v>0</v>
      </c>
      <c r="I113" s="722">
        <f t="shared" si="48"/>
        <v>0</v>
      </c>
      <c r="J113" s="722">
        <f t="shared" si="48"/>
        <v>0</v>
      </c>
      <c r="K113" s="722">
        <f t="shared" si="48"/>
        <v>0</v>
      </c>
      <c r="L113" s="722">
        <f t="shared" si="48"/>
        <v>0</v>
      </c>
      <c r="M113" s="722">
        <f t="shared" si="48"/>
        <v>0</v>
      </c>
      <c r="N113" s="722">
        <f t="shared" si="48"/>
        <v>0</v>
      </c>
      <c r="O113" s="722">
        <f t="shared" si="48"/>
        <v>0</v>
      </c>
      <c r="P113" s="722">
        <f t="shared" si="48"/>
        <v>0</v>
      </c>
      <c r="Q113" s="722">
        <f t="shared" si="48"/>
        <v>0</v>
      </c>
      <c r="R113" s="722">
        <f t="shared" si="48"/>
        <v>0</v>
      </c>
      <c r="S113" s="722">
        <f t="shared" si="48"/>
        <v>0</v>
      </c>
      <c r="T113" s="722">
        <f t="shared" si="48"/>
        <v>0</v>
      </c>
      <c r="U113" s="722">
        <f t="shared" si="48"/>
        <v>0</v>
      </c>
      <c r="V113" s="722">
        <f t="shared" si="48"/>
        <v>0</v>
      </c>
      <c r="W113" s="722">
        <f t="shared" si="48"/>
        <v>0</v>
      </c>
      <c r="X113" s="722">
        <f t="shared" si="48"/>
        <v>0</v>
      </c>
      <c r="Y113" s="825"/>
      <c r="Z113" s="722"/>
      <c r="AA113" s="722"/>
      <c r="AB113" s="722"/>
      <c r="AC113" s="722"/>
      <c r="AD113" s="722"/>
    </row>
    <row r="114" spans="3:31" x14ac:dyDescent="0.2">
      <c r="C114" s="721" t="s">
        <v>66</v>
      </c>
      <c r="D114" s="710">
        <v>0</v>
      </c>
      <c r="E114" s="710">
        <f t="shared" ref="E114:X114" si="49">E113-$D113</f>
        <v>0</v>
      </c>
      <c r="F114" s="710">
        <f t="shared" si="49"/>
        <v>0</v>
      </c>
      <c r="G114" s="710">
        <f t="shared" si="49"/>
        <v>0</v>
      </c>
      <c r="H114" s="710">
        <f t="shared" si="49"/>
        <v>0</v>
      </c>
      <c r="I114" s="710">
        <f t="shared" si="49"/>
        <v>0</v>
      </c>
      <c r="J114" s="710">
        <f t="shared" si="49"/>
        <v>0</v>
      </c>
      <c r="K114" s="710">
        <f t="shared" si="49"/>
        <v>0</v>
      </c>
      <c r="L114" s="710">
        <f t="shared" si="49"/>
        <v>0</v>
      </c>
      <c r="M114" s="710">
        <f t="shared" si="49"/>
        <v>0</v>
      </c>
      <c r="N114" s="710">
        <f t="shared" si="49"/>
        <v>0</v>
      </c>
      <c r="O114" s="710">
        <f t="shared" si="49"/>
        <v>0</v>
      </c>
      <c r="P114" s="710">
        <f t="shared" si="49"/>
        <v>0</v>
      </c>
      <c r="Q114" s="710">
        <f t="shared" si="49"/>
        <v>0</v>
      </c>
      <c r="R114" s="710">
        <f t="shared" si="49"/>
        <v>0</v>
      </c>
      <c r="S114" s="710">
        <f t="shared" si="49"/>
        <v>0</v>
      </c>
      <c r="T114" s="710">
        <f t="shared" si="49"/>
        <v>0</v>
      </c>
      <c r="U114" s="710">
        <f t="shared" si="49"/>
        <v>0</v>
      </c>
      <c r="V114" s="710">
        <f t="shared" si="49"/>
        <v>0</v>
      </c>
      <c r="W114" s="710">
        <f t="shared" si="49"/>
        <v>0</v>
      </c>
      <c r="X114" s="710">
        <f t="shared" si="49"/>
        <v>0</v>
      </c>
      <c r="Y114" s="696"/>
      <c r="Z114" s="710"/>
      <c r="AA114" s="710"/>
      <c r="AB114" s="710"/>
      <c r="AC114" s="710"/>
      <c r="AD114" s="710"/>
    </row>
    <row r="115" spans="3:31" x14ac:dyDescent="0.2">
      <c r="C115" s="721" t="s">
        <v>80</v>
      </c>
      <c r="D115" s="710">
        <f>SUM(D114:D114)-(SUM(D114:D114)*(1-D51))</f>
        <v>0</v>
      </c>
      <c r="E115" s="710">
        <f>IF(E23=0,0,SUM(E114:E114))</f>
        <v>0</v>
      </c>
      <c r="F115" s="710">
        <f t="shared" ref="F115:X115" si="50">IF(F23=0,0,((SUM(F114:F114)*(1-F51))))</f>
        <v>0</v>
      </c>
      <c r="G115" s="710">
        <f t="shared" si="50"/>
        <v>0</v>
      </c>
      <c r="H115" s="710">
        <f t="shared" si="50"/>
        <v>0</v>
      </c>
      <c r="I115" s="710">
        <f t="shared" si="50"/>
        <v>0</v>
      </c>
      <c r="J115" s="710">
        <f t="shared" si="50"/>
        <v>0</v>
      </c>
      <c r="K115" s="710">
        <f t="shared" si="50"/>
        <v>0</v>
      </c>
      <c r="L115" s="710">
        <f t="shared" si="50"/>
        <v>0</v>
      </c>
      <c r="M115" s="710">
        <f t="shared" si="50"/>
        <v>0</v>
      </c>
      <c r="N115" s="710">
        <f t="shared" si="50"/>
        <v>0</v>
      </c>
      <c r="O115" s="710">
        <f t="shared" si="50"/>
        <v>0</v>
      </c>
      <c r="P115" s="710">
        <f t="shared" si="50"/>
        <v>0</v>
      </c>
      <c r="Q115" s="710">
        <f t="shared" si="50"/>
        <v>0</v>
      </c>
      <c r="R115" s="710">
        <f t="shared" si="50"/>
        <v>0</v>
      </c>
      <c r="S115" s="710">
        <f t="shared" si="50"/>
        <v>0</v>
      </c>
      <c r="T115" s="710">
        <f t="shared" si="50"/>
        <v>0</v>
      </c>
      <c r="U115" s="710">
        <f t="shared" si="50"/>
        <v>0</v>
      </c>
      <c r="V115" s="710">
        <f t="shared" si="50"/>
        <v>0</v>
      </c>
      <c r="W115" s="710">
        <f t="shared" si="50"/>
        <v>0</v>
      </c>
      <c r="X115" s="710">
        <f t="shared" si="50"/>
        <v>0</v>
      </c>
      <c r="Y115" s="696"/>
      <c r="Z115" s="710"/>
      <c r="AA115" s="710"/>
      <c r="AB115" s="710"/>
      <c r="AC115" s="710"/>
      <c r="AD115" s="710"/>
    </row>
    <row r="116" spans="3:31" x14ac:dyDescent="0.2">
      <c r="C116" s="552" t="s">
        <v>558</v>
      </c>
      <c r="D116" s="710">
        <f>D115*Assumptions!$C$75</f>
        <v>0</v>
      </c>
      <c r="E116" s="710">
        <f>E115*Assumptions!$C$75</f>
        <v>0</v>
      </c>
      <c r="F116" s="710">
        <f>F115*Assumptions!$C$75</f>
        <v>0</v>
      </c>
      <c r="G116" s="710">
        <f>G115*Assumptions!$C$75</f>
        <v>0</v>
      </c>
      <c r="H116" s="710">
        <f>H115*Assumptions!$C$75</f>
        <v>0</v>
      </c>
      <c r="I116" s="710">
        <f>I115*Assumptions!$C$75</f>
        <v>0</v>
      </c>
      <c r="J116" s="710">
        <f>J115*Assumptions!$C$75</f>
        <v>0</v>
      </c>
      <c r="K116" s="710">
        <f>K115*Assumptions!$C$75</f>
        <v>0</v>
      </c>
      <c r="L116" s="710">
        <f>L115*Assumptions!$C$75</f>
        <v>0</v>
      </c>
      <c r="M116" s="710">
        <f>M115*Assumptions!$C$75</f>
        <v>0</v>
      </c>
      <c r="N116" s="710">
        <f>N115*Assumptions!$C$75</f>
        <v>0</v>
      </c>
      <c r="O116" s="710">
        <f>O115*Assumptions!$C$75</f>
        <v>0</v>
      </c>
      <c r="P116" s="710">
        <f>P115*Assumptions!$C$75</f>
        <v>0</v>
      </c>
      <c r="Q116" s="710">
        <f>Q115*Assumptions!$C$75</f>
        <v>0</v>
      </c>
      <c r="R116" s="710">
        <f>R115*Assumptions!$C$75</f>
        <v>0</v>
      </c>
      <c r="S116" s="710">
        <f>S115*Assumptions!$C$75</f>
        <v>0</v>
      </c>
      <c r="T116" s="710">
        <f>T115*Assumptions!$C$75</f>
        <v>0</v>
      </c>
      <c r="U116" s="710">
        <f>U115*Assumptions!$C$75</f>
        <v>0</v>
      </c>
      <c r="V116" s="710">
        <f>V115*Assumptions!$C$75</f>
        <v>0</v>
      </c>
      <c r="W116" s="710">
        <f>W115*Assumptions!$C$75</f>
        <v>0</v>
      </c>
      <c r="X116" s="710">
        <f>X115*Assumptions!$C$75</f>
        <v>0</v>
      </c>
      <c r="Y116" s="696"/>
      <c r="Z116" s="710"/>
      <c r="AA116" s="710"/>
      <c r="AB116" s="710"/>
      <c r="AC116" s="710"/>
      <c r="AD116" s="710"/>
    </row>
    <row r="117" spans="3:31" x14ac:dyDescent="0.2">
      <c r="C117" s="721" t="s">
        <v>81</v>
      </c>
      <c r="D117" s="710">
        <f t="shared" ref="D117:X117" si="51">D101</f>
        <v>0</v>
      </c>
      <c r="E117" s="710">
        <f t="shared" si="51"/>
        <v>0</v>
      </c>
      <c r="F117" s="710">
        <f t="shared" si="51"/>
        <v>0</v>
      </c>
      <c r="G117" s="710">
        <f t="shared" si="51"/>
        <v>0</v>
      </c>
      <c r="H117" s="710">
        <f t="shared" si="51"/>
        <v>0</v>
      </c>
      <c r="I117" s="710">
        <f t="shared" si="51"/>
        <v>0.22548975798907803</v>
      </c>
      <c r="J117" s="710">
        <f t="shared" si="51"/>
        <v>0.47655569177806711</v>
      </c>
      <c r="K117" s="710">
        <f t="shared" si="51"/>
        <v>0.54710181935094693</v>
      </c>
      <c r="L117" s="710">
        <f t="shared" si="51"/>
        <v>0.56528201280797885</v>
      </c>
      <c r="M117" s="710">
        <f t="shared" si="51"/>
        <v>0.58406633409358788</v>
      </c>
      <c r="N117" s="710">
        <f t="shared" si="51"/>
        <v>0.60347485837551795</v>
      </c>
      <c r="O117" s="710">
        <f t="shared" si="51"/>
        <v>0.62352832791933599</v>
      </c>
      <c r="P117" s="710">
        <f t="shared" si="51"/>
        <v>0.6442481742560956</v>
      </c>
      <c r="Q117" s="710">
        <f t="shared" si="51"/>
        <v>0.66565654108662575</v>
      </c>
      <c r="R117" s="710">
        <f t="shared" si="51"/>
        <v>0.68777630794693423</v>
      </c>
      <c r="S117" s="710">
        <f t="shared" si="51"/>
        <v>0.71063111466001061</v>
      </c>
      <c r="T117" s="710">
        <f t="shared" si="51"/>
        <v>0.73424538660016292</v>
      </c>
      <c r="U117" s="710">
        <f t="shared" si="51"/>
        <v>0.75864436079688624</v>
      </c>
      <c r="V117" s="710">
        <f t="shared" si="51"/>
        <v>0.7838541129061668</v>
      </c>
      <c r="W117" s="710">
        <f t="shared" si="51"/>
        <v>0.80990158507803833</v>
      </c>
      <c r="X117" s="710">
        <f t="shared" si="51"/>
        <v>0.8368146147501816</v>
      </c>
      <c r="Y117" s="696"/>
      <c r="Z117" s="710"/>
      <c r="AA117" s="710"/>
      <c r="AB117" s="710"/>
      <c r="AC117" s="710"/>
      <c r="AD117" s="710"/>
    </row>
    <row r="118" spans="3:31" x14ac:dyDescent="0.2">
      <c r="C118" s="723" t="s">
        <v>82</v>
      </c>
      <c r="D118" s="710">
        <f>SUM(D117+D115)</f>
        <v>0</v>
      </c>
      <c r="E118" s="710">
        <f>SUM(E117+E115)</f>
        <v>0</v>
      </c>
      <c r="F118" s="710">
        <f>SUM(F117+F115)</f>
        <v>0</v>
      </c>
      <c r="G118" s="710">
        <f>SUM(G117+G115)</f>
        <v>0</v>
      </c>
      <c r="H118" s="710">
        <f>SUM(H117+H114)</f>
        <v>0</v>
      </c>
      <c r="I118" s="710">
        <f>SUM(I117+I114)</f>
        <v>0.22548975798907803</v>
      </c>
      <c r="J118" s="710">
        <f>SUM(J117+J114)</f>
        <v>0.47655569177806711</v>
      </c>
      <c r="K118" s="710">
        <f t="shared" ref="K118:X118" si="52">SUM(K117+K114)</f>
        <v>0.54710181935094693</v>
      </c>
      <c r="L118" s="710">
        <f t="shared" si="52"/>
        <v>0.56528201280797885</v>
      </c>
      <c r="M118" s="710">
        <f t="shared" si="52"/>
        <v>0.58406633409358788</v>
      </c>
      <c r="N118" s="710">
        <f t="shared" si="52"/>
        <v>0.60347485837551795</v>
      </c>
      <c r="O118" s="710">
        <f t="shared" si="52"/>
        <v>0.62352832791933599</v>
      </c>
      <c r="P118" s="710">
        <f t="shared" si="52"/>
        <v>0.6442481742560956</v>
      </c>
      <c r="Q118" s="710">
        <f t="shared" si="52"/>
        <v>0.66565654108662575</v>
      </c>
      <c r="R118" s="710">
        <f t="shared" si="52"/>
        <v>0.68777630794693423</v>
      </c>
      <c r="S118" s="710">
        <f t="shared" si="52"/>
        <v>0.71063111466001061</v>
      </c>
      <c r="T118" s="710">
        <f t="shared" si="52"/>
        <v>0.73424538660016292</v>
      </c>
      <c r="U118" s="710">
        <f t="shared" si="52"/>
        <v>0.75864436079688624</v>
      </c>
      <c r="V118" s="710">
        <f t="shared" si="52"/>
        <v>0.7838541129061668</v>
      </c>
      <c r="W118" s="710">
        <f t="shared" si="52"/>
        <v>0.80990158507803833</v>
      </c>
      <c r="X118" s="710">
        <f t="shared" si="52"/>
        <v>0.8368146147501816</v>
      </c>
      <c r="Y118" s="696"/>
      <c r="Z118" s="710"/>
      <c r="AA118" s="710"/>
      <c r="AB118" s="710"/>
      <c r="AC118" s="710"/>
      <c r="AD118" s="710"/>
    </row>
    <row r="119" spans="3:31" x14ac:dyDescent="0.2">
      <c r="C119" s="703"/>
      <c r="G119" s="538"/>
      <c r="P119" s="538"/>
      <c r="Y119" s="549"/>
    </row>
    <row r="120" spans="3:31" x14ac:dyDescent="0.2">
      <c r="C120" s="703"/>
      <c r="H120" s="676" t="s">
        <v>107</v>
      </c>
      <c r="I120" s="538">
        <f t="shared" ref="I120:X120" si="53">(I115/I117)*I80</f>
        <v>0</v>
      </c>
      <c r="J120" s="538">
        <f t="shared" si="53"/>
        <v>0</v>
      </c>
      <c r="K120" s="538">
        <f t="shared" si="53"/>
        <v>0</v>
      </c>
      <c r="L120" s="538">
        <f t="shared" si="53"/>
        <v>0</v>
      </c>
      <c r="M120" s="538">
        <f t="shared" si="53"/>
        <v>0</v>
      </c>
      <c r="N120" s="538">
        <f t="shared" si="53"/>
        <v>0</v>
      </c>
      <c r="O120" s="538">
        <f t="shared" si="53"/>
        <v>0</v>
      </c>
      <c r="P120" s="538">
        <f t="shared" si="53"/>
        <v>0</v>
      </c>
      <c r="Q120" s="538">
        <f t="shared" si="53"/>
        <v>0</v>
      </c>
      <c r="R120" s="538">
        <f t="shared" si="53"/>
        <v>0</v>
      </c>
      <c r="S120" s="538">
        <f t="shared" si="53"/>
        <v>0</v>
      </c>
      <c r="T120" s="538">
        <f t="shared" si="53"/>
        <v>0</v>
      </c>
      <c r="U120" s="538">
        <f t="shared" si="53"/>
        <v>0</v>
      </c>
      <c r="V120" s="538">
        <f t="shared" si="53"/>
        <v>0</v>
      </c>
      <c r="W120" s="538">
        <f t="shared" si="53"/>
        <v>0</v>
      </c>
      <c r="X120" s="538">
        <f t="shared" si="53"/>
        <v>0</v>
      </c>
      <c r="Y120" s="826"/>
      <c r="Z120" s="538"/>
      <c r="AA120" s="538"/>
      <c r="AB120" s="538"/>
      <c r="AC120" s="538"/>
      <c r="AD120" s="538"/>
      <c r="AE120" s="557"/>
    </row>
    <row r="121" spans="3:31" ht="13.5" thickBot="1" x14ac:dyDescent="0.25">
      <c r="C121" s="540"/>
      <c r="D121" s="724"/>
      <c r="E121" s="724"/>
      <c r="F121" s="724"/>
      <c r="G121" s="724"/>
      <c r="H121" s="724"/>
      <c r="I121" s="724"/>
      <c r="J121" s="724"/>
      <c r="K121" s="724"/>
      <c r="L121" s="724"/>
      <c r="M121" s="724"/>
      <c r="N121" s="724"/>
      <c r="O121" s="724"/>
      <c r="P121" s="724"/>
      <c r="Q121" s="724"/>
      <c r="R121" s="724"/>
      <c r="S121" s="724"/>
      <c r="T121" s="724"/>
      <c r="U121" s="724"/>
      <c r="V121" s="724"/>
      <c r="W121" s="724"/>
      <c r="X121" s="724"/>
      <c r="Y121" s="700"/>
    </row>
    <row r="122" spans="3:31" ht="13.5" thickBot="1" x14ac:dyDescent="0.25"/>
    <row r="123" spans="3:31" s="543" customFormat="1" x14ac:dyDescent="0.2">
      <c r="C123" s="756"/>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6"/>
    </row>
    <row r="124" spans="3:31" s="543" customFormat="1" x14ac:dyDescent="0.2">
      <c r="C124" s="757" t="s">
        <v>83</v>
      </c>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7"/>
    </row>
    <row r="125" spans="3:31" s="240" customFormat="1" x14ac:dyDescent="0.2">
      <c r="C125" s="548"/>
      <c r="D125" s="111">
        <v>2008</v>
      </c>
      <c r="E125" s="111">
        <v>2009</v>
      </c>
      <c r="F125" s="111">
        <v>2010</v>
      </c>
      <c r="G125" s="111">
        <v>2011</v>
      </c>
      <c r="H125" s="111">
        <v>2012</v>
      </c>
      <c r="I125" s="111">
        <v>2013</v>
      </c>
      <c r="J125" s="111">
        <v>2014</v>
      </c>
      <c r="K125" s="111">
        <v>2015</v>
      </c>
      <c r="L125" s="111">
        <v>2016</v>
      </c>
      <c r="M125" s="111">
        <v>2017</v>
      </c>
      <c r="N125" s="111">
        <v>2018</v>
      </c>
      <c r="O125" s="111">
        <v>2019</v>
      </c>
      <c r="P125" s="111">
        <v>2020</v>
      </c>
      <c r="Q125" s="111">
        <v>2021</v>
      </c>
      <c r="R125" s="111">
        <v>2022</v>
      </c>
      <c r="S125" s="111">
        <v>2023</v>
      </c>
      <c r="T125" s="111">
        <v>2024</v>
      </c>
      <c r="U125" s="111">
        <v>2025</v>
      </c>
      <c r="V125" s="111">
        <v>2026</v>
      </c>
      <c r="W125" s="111">
        <v>2027</v>
      </c>
      <c r="X125" s="111">
        <v>2028</v>
      </c>
      <c r="Y125" s="550"/>
    </row>
    <row r="126" spans="3:31" s="543" customFormat="1" x14ac:dyDescent="0.2">
      <c r="C126" s="728" t="s">
        <v>93</v>
      </c>
      <c r="D126" s="553"/>
      <c r="E126" s="553"/>
      <c r="F126" s="553"/>
      <c r="G126" s="553"/>
      <c r="H126" s="553"/>
      <c r="I126" s="553"/>
      <c r="J126" s="542"/>
      <c r="K126" s="542"/>
      <c r="L126" s="542"/>
      <c r="M126" s="542"/>
      <c r="N126" s="542"/>
      <c r="O126" s="542"/>
      <c r="P126" s="542"/>
      <c r="Q126" s="542"/>
      <c r="R126" s="542"/>
      <c r="S126" s="542"/>
      <c r="T126" s="542"/>
      <c r="U126" s="542"/>
      <c r="V126" s="542"/>
      <c r="W126" s="542"/>
      <c r="X126" s="542"/>
      <c r="Y126" s="549"/>
    </row>
    <row r="127" spans="3:31" x14ac:dyDescent="0.2">
      <c r="C127" s="723" t="s">
        <v>84</v>
      </c>
      <c r="Y127" s="549"/>
    </row>
    <row r="128" spans="3:31" x14ac:dyDescent="0.2">
      <c r="C128" s="713" t="s">
        <v>10</v>
      </c>
      <c r="D128" s="730">
        <f>Assumptions!C48</f>
        <v>0.57000000000000006</v>
      </c>
      <c r="E128" s="730">
        <f>$D128</f>
        <v>0.57000000000000006</v>
      </c>
      <c r="F128" s="730">
        <f t="shared" ref="F128:X130" si="54">$D128</f>
        <v>0.57000000000000006</v>
      </c>
      <c r="G128" s="730">
        <f t="shared" si="54"/>
        <v>0.57000000000000006</v>
      </c>
      <c r="H128" s="730">
        <f t="shared" si="54"/>
        <v>0.57000000000000006</v>
      </c>
      <c r="I128" s="730">
        <f t="shared" si="54"/>
        <v>0.57000000000000006</v>
      </c>
      <c r="J128" s="730">
        <f t="shared" si="54"/>
        <v>0.57000000000000006</v>
      </c>
      <c r="K128" s="730">
        <f t="shared" si="54"/>
        <v>0.57000000000000006</v>
      </c>
      <c r="L128" s="730">
        <f t="shared" si="54"/>
        <v>0.57000000000000006</v>
      </c>
      <c r="M128" s="730">
        <f t="shared" si="54"/>
        <v>0.57000000000000006</v>
      </c>
      <c r="N128" s="730">
        <f t="shared" si="54"/>
        <v>0.57000000000000006</v>
      </c>
      <c r="O128" s="730">
        <f t="shared" si="54"/>
        <v>0.57000000000000006</v>
      </c>
      <c r="P128" s="730">
        <f t="shared" si="54"/>
        <v>0.57000000000000006</v>
      </c>
      <c r="Q128" s="730">
        <f t="shared" si="54"/>
        <v>0.57000000000000006</v>
      </c>
      <c r="R128" s="730">
        <f t="shared" si="54"/>
        <v>0.57000000000000006</v>
      </c>
      <c r="S128" s="730">
        <f t="shared" si="54"/>
        <v>0.57000000000000006</v>
      </c>
      <c r="T128" s="730">
        <f t="shared" si="54"/>
        <v>0.57000000000000006</v>
      </c>
      <c r="U128" s="730">
        <f t="shared" si="54"/>
        <v>0.57000000000000006</v>
      </c>
      <c r="V128" s="730">
        <f t="shared" si="54"/>
        <v>0.57000000000000006</v>
      </c>
      <c r="W128" s="730">
        <f t="shared" si="54"/>
        <v>0.57000000000000006</v>
      </c>
      <c r="X128" s="730">
        <f t="shared" si="54"/>
        <v>0.57000000000000006</v>
      </c>
      <c r="Y128" s="827"/>
      <c r="Z128" s="730"/>
      <c r="AA128" s="730"/>
      <c r="AB128" s="730"/>
      <c r="AC128" s="730"/>
      <c r="AD128" s="730"/>
    </row>
    <row r="129" spans="2:30" x14ac:dyDescent="0.2">
      <c r="C129" s="713" t="s">
        <v>44</v>
      </c>
      <c r="D129" s="730">
        <f>Assumptions!C49</f>
        <v>0.59699999999999998</v>
      </c>
      <c r="E129" s="730">
        <f t="shared" ref="E129:T130" si="55">$D129</f>
        <v>0.59699999999999998</v>
      </c>
      <c r="F129" s="730">
        <f t="shared" si="55"/>
        <v>0.59699999999999998</v>
      </c>
      <c r="G129" s="730">
        <f t="shared" si="55"/>
        <v>0.59699999999999998</v>
      </c>
      <c r="H129" s="730">
        <f t="shared" si="55"/>
        <v>0.59699999999999998</v>
      </c>
      <c r="I129" s="730">
        <f t="shared" si="55"/>
        <v>0.59699999999999998</v>
      </c>
      <c r="J129" s="730">
        <f t="shared" si="55"/>
        <v>0.59699999999999998</v>
      </c>
      <c r="K129" s="730">
        <f t="shared" si="55"/>
        <v>0.59699999999999998</v>
      </c>
      <c r="L129" s="730">
        <f t="shared" si="55"/>
        <v>0.59699999999999998</v>
      </c>
      <c r="M129" s="730">
        <f t="shared" si="55"/>
        <v>0.59699999999999998</v>
      </c>
      <c r="N129" s="730">
        <f t="shared" si="55"/>
        <v>0.59699999999999998</v>
      </c>
      <c r="O129" s="730">
        <f t="shared" si="55"/>
        <v>0.59699999999999998</v>
      </c>
      <c r="P129" s="730">
        <f t="shared" si="55"/>
        <v>0.59699999999999998</v>
      </c>
      <c r="Q129" s="730">
        <f t="shared" si="55"/>
        <v>0.59699999999999998</v>
      </c>
      <c r="R129" s="730">
        <f t="shared" si="55"/>
        <v>0.59699999999999998</v>
      </c>
      <c r="S129" s="730">
        <f t="shared" si="55"/>
        <v>0.59699999999999998</v>
      </c>
      <c r="T129" s="730">
        <f t="shared" si="55"/>
        <v>0.59699999999999998</v>
      </c>
      <c r="U129" s="730">
        <f t="shared" si="54"/>
        <v>0.59699999999999998</v>
      </c>
      <c r="V129" s="730">
        <f t="shared" si="54"/>
        <v>0.59699999999999998</v>
      </c>
      <c r="W129" s="730">
        <f t="shared" si="54"/>
        <v>0.59699999999999998</v>
      </c>
      <c r="X129" s="730">
        <f t="shared" si="54"/>
        <v>0.59699999999999998</v>
      </c>
      <c r="Y129" s="827"/>
      <c r="Z129" s="730"/>
      <c r="AA129" s="730"/>
      <c r="AB129" s="730"/>
      <c r="AC129" s="730"/>
      <c r="AD129" s="730"/>
    </row>
    <row r="130" spans="2:30" x14ac:dyDescent="0.2">
      <c r="C130" s="713" t="s">
        <v>101</v>
      </c>
      <c r="D130" s="730">
        <f>Assumptions!C50</f>
        <v>0.69599999999999995</v>
      </c>
      <c r="E130" s="730">
        <f t="shared" si="55"/>
        <v>0.69599999999999995</v>
      </c>
      <c r="F130" s="730">
        <f t="shared" si="54"/>
        <v>0.69599999999999995</v>
      </c>
      <c r="G130" s="730">
        <f t="shared" si="54"/>
        <v>0.69599999999999995</v>
      </c>
      <c r="H130" s="730">
        <f t="shared" si="54"/>
        <v>0.69599999999999995</v>
      </c>
      <c r="I130" s="730">
        <f t="shared" si="54"/>
        <v>0.69599999999999995</v>
      </c>
      <c r="J130" s="730">
        <f t="shared" si="54"/>
        <v>0.69599999999999995</v>
      </c>
      <c r="K130" s="730">
        <f t="shared" si="54"/>
        <v>0.69599999999999995</v>
      </c>
      <c r="L130" s="730">
        <f t="shared" si="54"/>
        <v>0.69599999999999995</v>
      </c>
      <c r="M130" s="730">
        <f t="shared" si="54"/>
        <v>0.69599999999999995</v>
      </c>
      <c r="N130" s="730">
        <f t="shared" si="54"/>
        <v>0.69599999999999995</v>
      </c>
      <c r="O130" s="730">
        <f t="shared" si="54"/>
        <v>0.69599999999999995</v>
      </c>
      <c r="P130" s="730">
        <f t="shared" si="54"/>
        <v>0.69599999999999995</v>
      </c>
      <c r="Q130" s="730">
        <f t="shared" si="54"/>
        <v>0.69599999999999995</v>
      </c>
      <c r="R130" s="730">
        <f t="shared" si="54"/>
        <v>0.69599999999999995</v>
      </c>
      <c r="S130" s="730">
        <f t="shared" si="54"/>
        <v>0.69599999999999995</v>
      </c>
      <c r="T130" s="730">
        <f t="shared" si="54"/>
        <v>0.69599999999999995</v>
      </c>
      <c r="U130" s="730">
        <f t="shared" si="54"/>
        <v>0.69599999999999995</v>
      </c>
      <c r="V130" s="730">
        <f t="shared" si="54"/>
        <v>0.69599999999999995</v>
      </c>
      <c r="W130" s="730">
        <f t="shared" si="54"/>
        <v>0.69599999999999995</v>
      </c>
      <c r="X130" s="730">
        <f t="shared" si="54"/>
        <v>0.69599999999999995</v>
      </c>
      <c r="Y130" s="827"/>
      <c r="Z130" s="730"/>
      <c r="AA130" s="730"/>
      <c r="AB130" s="730"/>
      <c r="AC130" s="730"/>
      <c r="AD130" s="730"/>
    </row>
    <row r="131" spans="2:30"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827"/>
      <c r="Z131" s="730"/>
      <c r="AA131" s="730"/>
      <c r="AB131" s="730"/>
      <c r="AC131" s="730"/>
      <c r="AD131" s="730"/>
    </row>
    <row r="132" spans="2:30"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814"/>
      <c r="Z132" s="553"/>
      <c r="AA132" s="553"/>
      <c r="AB132" s="553"/>
      <c r="AC132" s="553"/>
      <c r="AD132" s="553"/>
    </row>
    <row r="133" spans="2:30" x14ac:dyDescent="0.2">
      <c r="B133" s="702"/>
      <c r="C133" s="713" t="s">
        <v>10</v>
      </c>
      <c r="D133" s="553">
        <f t="shared" ref="D133:X133" si="56">D97*$AB$69*D128</f>
        <v>0</v>
      </c>
      <c r="E133" s="553">
        <f t="shared" si="56"/>
        <v>0</v>
      </c>
      <c r="F133" s="553">
        <f t="shared" si="56"/>
        <v>0</v>
      </c>
      <c r="G133" s="553">
        <f t="shared" si="56"/>
        <v>0</v>
      </c>
      <c r="H133" s="553">
        <f t="shared" si="56"/>
        <v>0</v>
      </c>
      <c r="I133" s="553">
        <f t="shared" si="56"/>
        <v>46.644135120000008</v>
      </c>
      <c r="J133" s="553">
        <f t="shared" si="56"/>
        <v>98.578881265986013</v>
      </c>
      <c r="K133" s="553">
        <f t="shared" si="56"/>
        <v>113.17184165606076</v>
      </c>
      <c r="L133" s="553">
        <f t="shared" si="56"/>
        <v>116.93254195429166</v>
      </c>
      <c r="M133" s="553">
        <f t="shared" si="56"/>
        <v>120.81821032343277</v>
      </c>
      <c r="N133" s="553">
        <f t="shared" si="56"/>
        <v>124.83299945248042</v>
      </c>
      <c r="O133" s="553">
        <f t="shared" si="56"/>
        <v>128.9812000242863</v>
      </c>
      <c r="P133" s="553">
        <f t="shared" si="56"/>
        <v>133.26724530109337</v>
      </c>
      <c r="Q133" s="553">
        <f t="shared" si="56"/>
        <v>137.69571586244871</v>
      </c>
      <c r="R133" s="553">
        <f t="shared" si="56"/>
        <v>142.27134450055786</v>
      </c>
      <c r="S133" s="553">
        <f t="shared" si="56"/>
        <v>146.99902127831135</v>
      </c>
      <c r="T133" s="553">
        <f t="shared" si="56"/>
        <v>151.88379875538965</v>
      </c>
      <c r="U133" s="553">
        <f t="shared" si="56"/>
        <v>156.93089738803121</v>
      </c>
      <c r="V133" s="553">
        <f t="shared" si="56"/>
        <v>162.1457111082355</v>
      </c>
      <c r="W133" s="553">
        <f t="shared" si="56"/>
        <v>167.53381308836214</v>
      </c>
      <c r="X133" s="553">
        <f t="shared" si="56"/>
        <v>173.1009616972884</v>
      </c>
      <c r="Y133" s="814"/>
      <c r="Z133" s="553"/>
      <c r="AA133" s="553"/>
      <c r="AB133" s="553"/>
      <c r="AC133" s="553"/>
      <c r="AD133" s="553"/>
    </row>
    <row r="134" spans="2:30" x14ac:dyDescent="0.2">
      <c r="C134" s="713" t="s">
        <v>44</v>
      </c>
      <c r="D134" s="553">
        <f t="shared" ref="D134:X134" si="57">D98*$AB$69*D129</f>
        <v>0</v>
      </c>
      <c r="E134" s="553">
        <f t="shared" si="57"/>
        <v>0</v>
      </c>
      <c r="F134" s="553">
        <f t="shared" si="57"/>
        <v>0</v>
      </c>
      <c r="G134" s="553">
        <f t="shared" si="57"/>
        <v>0</v>
      </c>
      <c r="H134" s="553">
        <f t="shared" si="57"/>
        <v>0</v>
      </c>
      <c r="I134" s="553">
        <f t="shared" si="57"/>
        <v>60.089920806959995</v>
      </c>
      <c r="J134" s="553">
        <f t="shared" si="57"/>
        <v>126.99554088144941</v>
      </c>
      <c r="K134" s="553">
        <f t="shared" si="57"/>
        <v>145.79511411659996</v>
      </c>
      <c r="L134" s="553">
        <f t="shared" si="57"/>
        <v>150.63988575869459</v>
      </c>
      <c r="M134" s="553">
        <f t="shared" si="57"/>
        <v>155.64564916245595</v>
      </c>
      <c r="N134" s="553">
        <f t="shared" si="57"/>
        <v>160.8177540841244</v>
      </c>
      <c r="O134" s="553">
        <f t="shared" si="57"/>
        <v>166.16172805233978</v>
      </c>
      <c r="P134" s="553">
        <f t="shared" si="57"/>
        <v>171.68328227551902</v>
      </c>
      <c r="Q134" s="553">
        <f t="shared" si="57"/>
        <v>177.38831774553455</v>
      </c>
      <c r="R134" s="553">
        <f t="shared" si="57"/>
        <v>183.28293154421866</v>
      </c>
      <c r="S134" s="553">
        <f t="shared" si="57"/>
        <v>189.37342335943293</v>
      </c>
      <c r="T134" s="553">
        <f t="shared" si="57"/>
        <v>195.66630221766692</v>
      </c>
      <c r="U134" s="553">
        <f t="shared" si="57"/>
        <v>202.16829344036003</v>
      </c>
      <c r="V134" s="553">
        <f t="shared" si="57"/>
        <v>208.88634583138315</v>
      </c>
      <c r="W134" s="553">
        <f t="shared" si="57"/>
        <v>215.82763910335987</v>
      </c>
      <c r="X134" s="553">
        <f t="shared" si="57"/>
        <v>222.99959155076462</v>
      </c>
      <c r="Y134" s="814"/>
      <c r="Z134" s="553"/>
      <c r="AA134" s="553"/>
      <c r="AB134" s="553"/>
      <c r="AC134" s="553"/>
      <c r="AD134" s="553"/>
    </row>
    <row r="135" spans="2:30" x14ac:dyDescent="0.2">
      <c r="C135" s="713" t="s">
        <v>45</v>
      </c>
      <c r="D135" s="553">
        <f t="shared" ref="D135:X135" si="58">D99*$AB$69*D130</f>
        <v>0</v>
      </c>
      <c r="E135" s="553">
        <f t="shared" si="58"/>
        <v>0</v>
      </c>
      <c r="F135" s="553">
        <f t="shared" si="58"/>
        <v>0</v>
      </c>
      <c r="G135" s="553">
        <f t="shared" si="58"/>
        <v>0</v>
      </c>
      <c r="H135" s="553">
        <f t="shared" si="58"/>
        <v>0</v>
      </c>
      <c r="I135" s="553">
        <f t="shared" si="58"/>
        <v>29.931346583118291</v>
      </c>
      <c r="J135" s="553">
        <f t="shared" si="58"/>
        <v>63.257656152426755</v>
      </c>
      <c r="K135" s="553">
        <f t="shared" si="58"/>
        <v>72.621897851524338</v>
      </c>
      <c r="L135" s="553">
        <f t="shared" si="58"/>
        <v>75.035123517130486</v>
      </c>
      <c r="M135" s="553">
        <f t="shared" si="58"/>
        <v>77.528540671604716</v>
      </c>
      <c r="N135" s="553">
        <f t="shared" si="58"/>
        <v>80.10481407812216</v>
      </c>
      <c r="O135" s="553">
        <f t="shared" si="58"/>
        <v>82.766697049938088</v>
      </c>
      <c r="P135" s="553">
        <f t="shared" si="58"/>
        <v>85.517034392907561</v>
      </c>
      <c r="Q135" s="553">
        <f t="shared" si="58"/>
        <v>88.358765445783888</v>
      </c>
      <c r="R135" s="553">
        <f t="shared" si="58"/>
        <v>91.294927221547255</v>
      </c>
      <c r="S135" s="553">
        <f t="shared" si="58"/>
        <v>94.328657653119251</v>
      </c>
      <c r="T135" s="553">
        <f t="shared" si="58"/>
        <v>97.463198946932408</v>
      </c>
      <c r="U135" s="553">
        <f t="shared" si="58"/>
        <v>100.70190104793896</v>
      </c>
      <c r="V135" s="553">
        <f t="shared" si="58"/>
        <v>104.048225219762</v>
      </c>
      <c r="W135" s="553">
        <f t="shared" si="58"/>
        <v>107.50574774381462</v>
      </c>
      <c r="X135" s="553">
        <f t="shared" si="58"/>
        <v>111.0781637413416</v>
      </c>
      <c r="Y135" s="814"/>
      <c r="Z135" s="553"/>
      <c r="AA135" s="553"/>
      <c r="AB135" s="553"/>
      <c r="AC135" s="553"/>
      <c r="AD135" s="553"/>
    </row>
    <row r="136" spans="2:30"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814"/>
      <c r="Z136" s="553"/>
      <c r="AA136" s="553"/>
      <c r="AB136" s="553"/>
      <c r="AC136" s="553"/>
      <c r="AD136" s="553"/>
    </row>
    <row r="137" spans="2:30" x14ac:dyDescent="0.2">
      <c r="C137" s="712" t="s">
        <v>86</v>
      </c>
      <c r="D137" s="554">
        <f t="shared" ref="D137:X137" si="59">SUM(D133:D135)*0.001</f>
        <v>0</v>
      </c>
      <c r="E137" s="554">
        <f t="shared" si="59"/>
        <v>0</v>
      </c>
      <c r="F137" s="554">
        <f t="shared" si="59"/>
        <v>0</v>
      </c>
      <c r="G137" s="554">
        <f t="shared" si="59"/>
        <v>0</v>
      </c>
      <c r="H137" s="554">
        <f t="shared" si="59"/>
        <v>0</v>
      </c>
      <c r="I137" s="554">
        <f t="shared" si="59"/>
        <v>0.13666540251007828</v>
      </c>
      <c r="J137" s="554">
        <f t="shared" si="59"/>
        <v>0.28883207829986218</v>
      </c>
      <c r="K137" s="554">
        <f t="shared" si="59"/>
        <v>0.33158885362418511</v>
      </c>
      <c r="L137" s="554">
        <f t="shared" si="59"/>
        <v>0.34260755123011677</v>
      </c>
      <c r="M137" s="554">
        <f t="shared" si="59"/>
        <v>0.3539924001574935</v>
      </c>
      <c r="N137" s="554">
        <f t="shared" si="59"/>
        <v>0.365755567614727</v>
      </c>
      <c r="O137" s="554">
        <f t="shared" si="59"/>
        <v>0.37790962512656417</v>
      </c>
      <c r="P137" s="554">
        <f t="shared" si="59"/>
        <v>0.39046756196951993</v>
      </c>
      <c r="Q137" s="554">
        <f t="shared" si="59"/>
        <v>0.40344279905376718</v>
      </c>
      <c r="R137" s="554">
        <f t="shared" si="59"/>
        <v>0.4168492032663238</v>
      </c>
      <c r="S137" s="554">
        <f t="shared" si="59"/>
        <v>0.4307011022908635</v>
      </c>
      <c r="T137" s="554">
        <f t="shared" si="59"/>
        <v>0.445013299919989</v>
      </c>
      <c r="U137" s="554">
        <f t="shared" si="59"/>
        <v>0.45980109187633023</v>
      </c>
      <c r="V137" s="554">
        <f t="shared" si="59"/>
        <v>0.4750802821593807</v>
      </c>
      <c r="W137" s="554">
        <f t="shared" si="59"/>
        <v>0.49086719993553662</v>
      </c>
      <c r="X137" s="554">
        <f t="shared" si="59"/>
        <v>0.50717871698939465</v>
      </c>
      <c r="Y137" s="816"/>
      <c r="Z137" s="554"/>
      <c r="AA137" s="554"/>
      <c r="AB137" s="554"/>
      <c r="AC137" s="554"/>
      <c r="AD137" s="554"/>
    </row>
    <row r="138" spans="2:30" x14ac:dyDescent="0.2">
      <c r="C138" s="551"/>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row>
    <row r="139" spans="2:30" x14ac:dyDescent="0.2">
      <c r="C139" s="838" t="s">
        <v>71</v>
      </c>
      <c r="D139" s="553"/>
      <c r="E139" s="553"/>
      <c r="F139" s="553"/>
      <c r="G139" s="553"/>
      <c r="H139" s="554"/>
      <c r="I139" s="554"/>
      <c r="J139" s="554"/>
      <c r="K139" s="554"/>
      <c r="L139" s="554"/>
      <c r="M139" s="554"/>
      <c r="N139" s="554"/>
      <c r="O139" s="554"/>
      <c r="P139" s="554"/>
      <c r="Q139" s="554"/>
      <c r="R139" s="554"/>
      <c r="S139" s="554"/>
      <c r="T139" s="554"/>
      <c r="U139" s="554"/>
      <c r="V139" s="554"/>
      <c r="W139" s="554"/>
      <c r="X139" s="554"/>
      <c r="Y139" s="816"/>
      <c r="Z139" s="554"/>
      <c r="AA139" s="554"/>
      <c r="AB139" s="554"/>
      <c r="AC139" s="554"/>
      <c r="AD139" s="554"/>
    </row>
    <row r="140" spans="2:30" x14ac:dyDescent="0.2">
      <c r="C140" s="72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0</v>
      </c>
      <c r="J140" s="711">
        <f>IF(J23=1,(Assumptions!$C$51*J115),0)</f>
        <v>0</v>
      </c>
      <c r="K140" s="711">
        <f>IF(K23=1,(Assumptions!$C$51*K115),0)</f>
        <v>0</v>
      </c>
      <c r="L140" s="711">
        <f>IF(L23=1,(Assumptions!$C$51*L115),0)</f>
        <v>0</v>
      </c>
      <c r="M140" s="711">
        <f>IF(M23=1,(Assumptions!$C$51*M115),0)</f>
        <v>0</v>
      </c>
      <c r="N140" s="711">
        <f>IF(N23=1,(Assumptions!$C$51*N115),0)</f>
        <v>0</v>
      </c>
      <c r="O140" s="711">
        <f>IF(O23=1,(Assumptions!$C$51*O115),0)</f>
        <v>0</v>
      </c>
      <c r="P140" s="711">
        <f>IF(P23=1,(Assumptions!$C$51*P115),0)</f>
        <v>0</v>
      </c>
      <c r="Q140" s="711">
        <f>IF(Q23=1,(Assumptions!$C$51*Q115),0)</f>
        <v>0</v>
      </c>
      <c r="R140" s="711">
        <f>IF(R23=1,(Assumptions!$C$51*R115),0)</f>
        <v>0</v>
      </c>
      <c r="S140" s="711">
        <f>IF(S23=1,(Assumptions!$C$51*S115),0)</f>
        <v>0</v>
      </c>
      <c r="T140" s="711">
        <f>IF(T23=1,(Assumptions!$C$51*T115),0)</f>
        <v>0</v>
      </c>
      <c r="U140" s="711">
        <f>IF(U23=1,(Assumptions!$C$51*U115),0)</f>
        <v>0</v>
      </c>
      <c r="V140" s="711">
        <f>IF(V23=1,(Assumptions!$C$51*V115),0)</f>
        <v>0</v>
      </c>
      <c r="W140" s="711">
        <f>IF(W23=1,(Assumptions!$C$51*W115),0)</f>
        <v>0</v>
      </c>
      <c r="X140" s="711">
        <f>IF(X23=1,(Assumptions!$C$51*X115),0)</f>
        <v>0</v>
      </c>
      <c r="Y140" s="815"/>
      <c r="Z140" s="711"/>
      <c r="AA140" s="711"/>
      <c r="AB140" s="711"/>
      <c r="AC140" s="711"/>
      <c r="AD140" s="711"/>
    </row>
    <row r="141" spans="2:30" x14ac:dyDescent="0.2">
      <c r="C141" s="838" t="s">
        <v>92</v>
      </c>
      <c r="D141" s="554">
        <f t="shared" ref="D141:X141" si="60">D137+D140</f>
        <v>0</v>
      </c>
      <c r="E141" s="554">
        <f t="shared" si="60"/>
        <v>0</v>
      </c>
      <c r="F141" s="554">
        <f t="shared" si="60"/>
        <v>0</v>
      </c>
      <c r="G141" s="554">
        <f t="shared" si="60"/>
        <v>0</v>
      </c>
      <c r="H141" s="554">
        <f t="shared" si="60"/>
        <v>0</v>
      </c>
      <c r="I141" s="554">
        <f t="shared" si="60"/>
        <v>0.13666540251007828</v>
      </c>
      <c r="J141" s="554">
        <f t="shared" si="60"/>
        <v>0.28883207829986218</v>
      </c>
      <c r="K141" s="554">
        <f t="shared" si="60"/>
        <v>0.33158885362418511</v>
      </c>
      <c r="L141" s="554">
        <f t="shared" si="60"/>
        <v>0.34260755123011677</v>
      </c>
      <c r="M141" s="554">
        <f t="shared" si="60"/>
        <v>0.3539924001574935</v>
      </c>
      <c r="N141" s="554">
        <f t="shared" si="60"/>
        <v>0.365755567614727</v>
      </c>
      <c r="O141" s="554">
        <f t="shared" si="60"/>
        <v>0.37790962512656417</v>
      </c>
      <c r="P141" s="554">
        <f t="shared" si="60"/>
        <v>0.39046756196951993</v>
      </c>
      <c r="Q141" s="554">
        <f t="shared" si="60"/>
        <v>0.40344279905376718</v>
      </c>
      <c r="R141" s="554">
        <f t="shared" si="60"/>
        <v>0.4168492032663238</v>
      </c>
      <c r="S141" s="554">
        <f t="shared" si="60"/>
        <v>0.4307011022908635</v>
      </c>
      <c r="T141" s="554">
        <f t="shared" si="60"/>
        <v>0.445013299919989</v>
      </c>
      <c r="U141" s="554">
        <f t="shared" si="60"/>
        <v>0.45980109187633023</v>
      </c>
      <c r="V141" s="554">
        <f t="shared" si="60"/>
        <v>0.4750802821593807</v>
      </c>
      <c r="W141" s="554">
        <f t="shared" si="60"/>
        <v>0.49086719993553662</v>
      </c>
      <c r="X141" s="554">
        <f t="shared" si="60"/>
        <v>0.50717871698939465</v>
      </c>
      <c r="Y141" s="816"/>
      <c r="Z141" s="554"/>
      <c r="AA141" s="554"/>
      <c r="AB141" s="554"/>
      <c r="AC141" s="554"/>
      <c r="AD141" s="554"/>
    </row>
    <row r="142" spans="2:30" x14ac:dyDescent="0.2">
      <c r="C142" s="723"/>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row>
    <row r="143" spans="2:30"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816"/>
      <c r="Z143" s="554"/>
      <c r="AA143" s="554"/>
      <c r="AB143" s="554"/>
      <c r="AC143" s="554"/>
      <c r="AD143" s="554"/>
    </row>
    <row r="144" spans="2:30" x14ac:dyDescent="0.2">
      <c r="C144" s="536" t="s">
        <v>556</v>
      </c>
      <c r="D144" s="711">
        <f>D116*Assumptions!$C$51</f>
        <v>0</v>
      </c>
      <c r="E144" s="711">
        <f>E116*Assumptions!$C$51</f>
        <v>0</v>
      </c>
      <c r="F144" s="711">
        <f>F116*Assumptions!$C$51</f>
        <v>0</v>
      </c>
      <c r="G144" s="711">
        <f>G116*Assumptions!$C$51</f>
        <v>0</v>
      </c>
      <c r="H144" s="711">
        <f>H116*Assumptions!$C$51</f>
        <v>0</v>
      </c>
      <c r="I144" s="711">
        <f>I116*Assumptions!$C$51</f>
        <v>0</v>
      </c>
      <c r="J144" s="711">
        <f>J116*Assumptions!$C$51</f>
        <v>0</v>
      </c>
      <c r="K144" s="711">
        <f>K116*Assumptions!$C$51</f>
        <v>0</v>
      </c>
      <c r="L144" s="711">
        <f>L116*Assumptions!$C$51</f>
        <v>0</v>
      </c>
      <c r="M144" s="711">
        <f>M116*Assumptions!$C$51</f>
        <v>0</v>
      </c>
      <c r="N144" s="711">
        <f>N116*Assumptions!$C$51</f>
        <v>0</v>
      </c>
      <c r="O144" s="711">
        <f>O116*Assumptions!$C$51</f>
        <v>0</v>
      </c>
      <c r="P144" s="711">
        <f>P116*Assumptions!$C$51</f>
        <v>0</v>
      </c>
      <c r="Q144" s="711">
        <f>Q116*Assumptions!$C$51</f>
        <v>0</v>
      </c>
      <c r="R144" s="711">
        <f>R116*Assumptions!$C$51</f>
        <v>0</v>
      </c>
      <c r="S144" s="711">
        <f>S116*Assumptions!$C$51</f>
        <v>0</v>
      </c>
      <c r="T144" s="711">
        <f>T116*Assumptions!$C$51</f>
        <v>0</v>
      </c>
      <c r="U144" s="711">
        <f>U116*Assumptions!$C$51</f>
        <v>0</v>
      </c>
      <c r="V144" s="711">
        <f>V116*Assumptions!$C$51</f>
        <v>0</v>
      </c>
      <c r="W144" s="711">
        <f>W116*Assumptions!$C$51</f>
        <v>0</v>
      </c>
      <c r="X144" s="711">
        <f>X116*Assumptions!$C$51</f>
        <v>0</v>
      </c>
      <c r="Y144" s="816"/>
      <c r="Z144" s="554"/>
      <c r="AA144" s="554"/>
      <c r="AB144" s="554"/>
      <c r="AC144" s="554"/>
      <c r="AD144" s="554"/>
    </row>
    <row r="145" spans="3:30" x14ac:dyDescent="0.2">
      <c r="C145" s="536"/>
      <c r="D145" s="811"/>
      <c r="Y145" s="549"/>
    </row>
    <row r="146" spans="3:30" x14ac:dyDescent="0.2">
      <c r="C146" s="536" t="s">
        <v>89</v>
      </c>
      <c r="D146" s="554">
        <f>D141*'ERR &amp; Sensitivity Analysis'!$G$10</f>
        <v>0</v>
      </c>
      <c r="E146" s="554">
        <f>E141*'ERR &amp; Sensitivity Analysis'!$G$10</f>
        <v>0</v>
      </c>
      <c r="F146" s="554">
        <f>F141*'ERR &amp; Sensitivity Analysis'!$G$10</f>
        <v>0</v>
      </c>
      <c r="G146" s="554">
        <f>G141*'ERR &amp; Sensitivity Analysis'!$G$10</f>
        <v>0</v>
      </c>
      <c r="H146" s="554">
        <f>H141*'ERR &amp; Sensitivity Analysis'!$G$10</f>
        <v>0</v>
      </c>
      <c r="I146" s="554">
        <f>I141*'ERR &amp; Sensitivity Analysis'!$G$10</f>
        <v>0.13666540251007828</v>
      </c>
      <c r="J146" s="554">
        <f>J141*'ERR &amp; Sensitivity Analysis'!$G$10</f>
        <v>0.28883207829986218</v>
      </c>
      <c r="K146" s="554">
        <f>K141*'ERR &amp; Sensitivity Analysis'!$G$10</f>
        <v>0.33158885362418511</v>
      </c>
      <c r="L146" s="554">
        <f>L141*'ERR &amp; Sensitivity Analysis'!$G$10</f>
        <v>0.34260755123011677</v>
      </c>
      <c r="M146" s="554">
        <f>M141*'ERR &amp; Sensitivity Analysis'!$G$10</f>
        <v>0.3539924001574935</v>
      </c>
      <c r="N146" s="554">
        <f>N141*'ERR &amp; Sensitivity Analysis'!$G$10</f>
        <v>0.365755567614727</v>
      </c>
      <c r="O146" s="554">
        <f>O141*'ERR &amp; Sensitivity Analysis'!$G$10</f>
        <v>0.37790962512656417</v>
      </c>
      <c r="P146" s="554">
        <f>P141*'ERR &amp; Sensitivity Analysis'!$G$10</f>
        <v>0.39046756196951993</v>
      </c>
      <c r="Q146" s="554">
        <f>Q141*'ERR &amp; Sensitivity Analysis'!$G$10</f>
        <v>0.40344279905376718</v>
      </c>
      <c r="R146" s="554">
        <f>R141*'ERR &amp; Sensitivity Analysis'!$G$10</f>
        <v>0.4168492032663238</v>
      </c>
      <c r="S146" s="554">
        <f>S141*'ERR &amp; Sensitivity Analysis'!$G$10</f>
        <v>0.4307011022908635</v>
      </c>
      <c r="T146" s="554">
        <f>T141*'ERR &amp; Sensitivity Analysis'!$G$10</f>
        <v>0.445013299919989</v>
      </c>
      <c r="U146" s="554">
        <f>U141*'ERR &amp; Sensitivity Analysis'!$G$10</f>
        <v>0.45980109187633023</v>
      </c>
      <c r="V146" s="554">
        <f>V141*'ERR &amp; Sensitivity Analysis'!$G$10</f>
        <v>0.4750802821593807</v>
      </c>
      <c r="W146" s="554">
        <f>W141*'ERR &amp; Sensitivity Analysis'!$G$10</f>
        <v>0.49086719993553662</v>
      </c>
      <c r="X146" s="554">
        <f>X141*'ERR &amp; Sensitivity Analysis'!$G$10</f>
        <v>0.50717871698939465</v>
      </c>
      <c r="Y146" s="816"/>
      <c r="Z146" s="554"/>
      <c r="AA146" s="554"/>
      <c r="AB146" s="554"/>
      <c r="AC146" s="554"/>
      <c r="AD146" s="554"/>
    </row>
    <row r="147" spans="3:30" x14ac:dyDescent="0.2">
      <c r="C147" s="536" t="s">
        <v>99</v>
      </c>
      <c r="D147" s="554">
        <f t="shared" ref="D147:X147" si="61">D146-D62</f>
        <v>0</v>
      </c>
      <c r="E147" s="554">
        <f t="shared" si="61"/>
        <v>-1.7246602772029364E-2</v>
      </c>
      <c r="F147" s="554">
        <f t="shared" si="61"/>
        <v>-9.97226999881351E-2</v>
      </c>
      <c r="G147" s="554">
        <f t="shared" si="61"/>
        <v>-0.98361322794124939</v>
      </c>
      <c r="H147" s="554">
        <f t="shared" si="61"/>
        <v>-0.95155298818191447</v>
      </c>
      <c r="I147" s="554">
        <f t="shared" si="61"/>
        <v>-1.2292099370276612</v>
      </c>
      <c r="J147" s="554">
        <f t="shared" si="61"/>
        <v>2.8813252077038054E-2</v>
      </c>
      <c r="K147" s="554">
        <f t="shared" si="61"/>
        <v>0.1927679507980217</v>
      </c>
      <c r="L147" s="554">
        <f t="shared" si="61"/>
        <v>0.21677812468264238</v>
      </c>
      <c r="M147" s="554">
        <f t="shared" si="61"/>
        <v>0.22402258008650464</v>
      </c>
      <c r="N147" s="554">
        <f t="shared" si="61"/>
        <v>0.23150870986481237</v>
      </c>
      <c r="O147" s="554">
        <f t="shared" si="61"/>
        <v>0.23924456650282008</v>
      </c>
      <c r="P147" s="554">
        <f t="shared" si="61"/>
        <v>0.24723847056772036</v>
      </c>
      <c r="Q147" s="554">
        <f t="shared" si="61"/>
        <v>0.25549901962845772</v>
      </c>
      <c r="R147" s="554">
        <f t="shared" si="61"/>
        <v>0.26403509747220999</v>
      </c>
      <c r="S147" s="554">
        <f t="shared" si="61"/>
        <v>0.27285588362740443</v>
      </c>
      <c r="T147" s="554">
        <f t="shared" si="61"/>
        <v>0.28197086320345865</v>
      </c>
      <c r="U147" s="554">
        <f t="shared" si="61"/>
        <v>0.29138983705777688</v>
      </c>
      <c r="V147" s="554">
        <f t="shared" si="61"/>
        <v>0.30112293230088555</v>
      </c>
      <c r="W147" s="554">
        <f t="shared" si="61"/>
        <v>0.31118061315094919</v>
      </c>
      <c r="X147" s="554">
        <f t="shared" si="61"/>
        <v>0.32157369214928389</v>
      </c>
      <c r="Y147" s="816"/>
      <c r="Z147" s="554"/>
      <c r="AA147" s="554"/>
      <c r="AB147" s="554"/>
      <c r="AC147" s="554"/>
      <c r="AD147" s="554"/>
    </row>
    <row r="148" spans="3:30" ht="13.5" thickBot="1" x14ac:dyDescent="0.25">
      <c r="C148" s="81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828"/>
      <c r="Z148" s="553"/>
      <c r="AA148" s="553"/>
      <c r="AB148" s="553"/>
      <c r="AC148" s="553"/>
      <c r="AD148" s="553"/>
    </row>
    <row r="149" spans="3:30" x14ac:dyDescent="0.2">
      <c r="C149" s="747"/>
      <c r="D149" s="553"/>
      <c r="E149" s="553"/>
      <c r="F149" s="553"/>
      <c r="G149" s="553"/>
      <c r="H149" s="553"/>
      <c r="I149" s="553"/>
      <c r="J149" s="553"/>
      <c r="K149" s="553"/>
      <c r="L149" s="553"/>
      <c r="M149" s="553"/>
      <c r="N149" s="553"/>
      <c r="O149" s="553"/>
      <c r="P149" s="553"/>
      <c r="Q149" s="553"/>
      <c r="R149" s="553"/>
      <c r="S149" s="553"/>
      <c r="T149" s="553"/>
      <c r="U149" s="553"/>
      <c r="V149" s="553"/>
      <c r="W149" s="553"/>
      <c r="X149" s="553"/>
      <c r="Y149" s="553"/>
      <c r="Z149" s="553"/>
      <c r="AA149" s="553"/>
      <c r="AB149" s="553"/>
      <c r="AC149" s="553"/>
      <c r="AD149" s="553"/>
    </row>
    <row r="150" spans="3:30" x14ac:dyDescent="0.2">
      <c r="M150" s="740"/>
      <c r="AA150" s="553"/>
      <c r="AB150" s="553"/>
      <c r="AC150" s="553"/>
      <c r="AD150" s="553"/>
    </row>
    <row r="151" spans="3:30" x14ac:dyDescent="0.2">
      <c r="M151" s="740"/>
      <c r="AA151" s="553"/>
      <c r="AB151" s="553"/>
      <c r="AC151" s="553"/>
      <c r="AD151" s="553"/>
    </row>
  </sheetData>
  <mergeCells count="8">
    <mergeCell ref="P67:R67"/>
    <mergeCell ref="AB67:AC67"/>
    <mergeCell ref="C4:D4"/>
    <mergeCell ref="C7:D7"/>
    <mergeCell ref="D67:F67"/>
    <mergeCell ref="G67:I67"/>
    <mergeCell ref="J67:L67"/>
    <mergeCell ref="M67:O6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9"/>
  <sheetViews>
    <sheetView zoomScale="80" zoomScaleNormal="80" workbookViewId="0">
      <selection activeCell="G10" sqref="G10"/>
    </sheetView>
  </sheetViews>
  <sheetFormatPr defaultColWidth="9.140625" defaultRowHeight="12.75" x14ac:dyDescent="0.2"/>
  <cols>
    <col min="1" max="1" width="4.140625" style="1" customWidth="1"/>
    <col min="2" max="2" width="4" style="1" customWidth="1"/>
    <col min="3" max="3" width="27.42578125" style="1" customWidth="1"/>
    <col min="4" max="4" width="14.7109375" style="1" customWidth="1"/>
    <col min="5" max="5" width="17.28515625" style="1" customWidth="1"/>
    <col min="6" max="6" width="14.7109375" style="1" customWidth="1"/>
    <col min="7" max="7" width="16.42578125" style="1" customWidth="1"/>
    <col min="8" max="12" width="14.7109375" style="1" customWidth="1"/>
    <col min="13" max="16384" width="9.140625" style="1"/>
  </cols>
  <sheetData>
    <row r="1" spans="2:11" ht="20.25" x14ac:dyDescent="0.3">
      <c r="B1" s="285" t="s">
        <v>370</v>
      </c>
      <c r="C1" s="286"/>
      <c r="D1" s="284"/>
      <c r="E1" s="284"/>
      <c r="F1" s="284"/>
      <c r="G1" s="284"/>
      <c r="H1" s="284"/>
      <c r="I1" s="287" t="s">
        <v>668</v>
      </c>
    </row>
    <row r="2" spans="2:11" ht="18" x14ac:dyDescent="0.25">
      <c r="B2" s="288" t="s">
        <v>382</v>
      </c>
      <c r="C2" s="289"/>
      <c r="D2" s="286"/>
      <c r="E2" s="286"/>
      <c r="F2" s="286"/>
      <c r="G2" s="290"/>
      <c r="H2" s="289"/>
      <c r="I2" s="289"/>
    </row>
    <row r="3" spans="2:11" x14ac:dyDescent="0.2">
      <c r="C3" s="3"/>
    </row>
    <row r="4" spans="2:11" x14ac:dyDescent="0.2">
      <c r="C4" s="10"/>
      <c r="D4" s="5"/>
      <c r="E4" s="7"/>
      <c r="F4" s="5"/>
      <c r="G4" s="5"/>
      <c r="H4" s="8"/>
      <c r="I4" s="9"/>
      <c r="J4" s="5"/>
      <c r="K4" s="5"/>
    </row>
    <row r="5" spans="2:11" ht="13.5" thickBot="1" x14ac:dyDescent="0.25">
      <c r="C5" s="6"/>
      <c r="D5" s="5"/>
      <c r="E5" s="7"/>
      <c r="F5" s="5"/>
      <c r="G5" s="5"/>
      <c r="H5" s="8"/>
      <c r="I5" s="9"/>
      <c r="J5" s="5"/>
      <c r="K5" s="5"/>
    </row>
    <row r="6" spans="2:11" x14ac:dyDescent="0.2">
      <c r="C6" s="16"/>
      <c r="D6" s="17" t="s">
        <v>102</v>
      </c>
      <c r="E6" s="18" t="s">
        <v>103</v>
      </c>
      <c r="F6" s="950" t="s">
        <v>106</v>
      </c>
      <c r="G6" s="952" t="s">
        <v>154</v>
      </c>
      <c r="H6" s="8"/>
      <c r="I6" s="9"/>
      <c r="J6" s="5"/>
      <c r="K6" s="5"/>
    </row>
    <row r="7" spans="2:11" ht="25.5" customHeight="1" thickBot="1" x14ac:dyDescent="0.25">
      <c r="C7" s="855" t="s">
        <v>105</v>
      </c>
      <c r="D7" s="856">
        <v>75</v>
      </c>
      <c r="E7" s="856">
        <v>57</v>
      </c>
      <c r="F7" s="951"/>
      <c r="G7" s="953"/>
      <c r="H7" s="8"/>
    </row>
    <row r="8" spans="2:11" x14ac:dyDescent="0.2">
      <c r="C8" s="852"/>
      <c r="D8" s="949" t="s">
        <v>104</v>
      </c>
      <c r="E8" s="949"/>
      <c r="F8" s="853"/>
      <c r="G8" s="854"/>
      <c r="H8" s="8"/>
    </row>
    <row r="9" spans="2:11" x14ac:dyDescent="0.2">
      <c r="C9" s="844" t="s">
        <v>10</v>
      </c>
      <c r="D9" s="845">
        <f>1-E9</f>
        <v>0</v>
      </c>
      <c r="E9" s="845">
        <v>1</v>
      </c>
      <c r="F9" s="846">
        <f>SUMPRODUCT(D$7:E$7,D9:E9)</f>
        <v>57</v>
      </c>
      <c r="G9" s="843">
        <f>SUMPRODUCT(D$13:E$13,D9:E9)</f>
        <v>2000</v>
      </c>
      <c r="H9" s="8"/>
    </row>
    <row r="10" spans="2:11" x14ac:dyDescent="0.2">
      <c r="C10" s="844" t="s">
        <v>44</v>
      </c>
      <c r="D10" s="845">
        <f>1-E10</f>
        <v>0.15000000000000002</v>
      </c>
      <c r="E10" s="845">
        <v>0.85</v>
      </c>
      <c r="F10" s="846">
        <f>SUMPRODUCT(D$7:E$7,D10:E10)</f>
        <v>59.699999999999996</v>
      </c>
      <c r="G10" s="847">
        <f>SUMPRODUCT(D$13:E$13,D10:E10)</f>
        <v>1737.5</v>
      </c>
      <c r="H10" s="8"/>
    </row>
    <row r="11" spans="2:11" x14ac:dyDescent="0.2">
      <c r="C11" s="844" t="s">
        <v>101</v>
      </c>
      <c r="D11" s="845">
        <f>1-E11</f>
        <v>0.7</v>
      </c>
      <c r="E11" s="845">
        <v>0.3</v>
      </c>
      <c r="F11" s="842">
        <f>SUMPRODUCT(D$7:E$7,D11:E11)</f>
        <v>69.599999999999994</v>
      </c>
      <c r="G11" s="843">
        <f>SUMPRODUCT(D$13:E$13,D11:E11)</f>
        <v>775</v>
      </c>
      <c r="H11" s="8"/>
    </row>
    <row r="12" spans="2:11" x14ac:dyDescent="0.2">
      <c r="C12" s="954"/>
      <c r="D12" s="955"/>
      <c r="E12" s="955"/>
      <c r="F12" s="955"/>
      <c r="G12" s="956"/>
      <c r="H12" s="8"/>
    </row>
    <row r="13" spans="2:11" x14ac:dyDescent="0.2">
      <c r="C13" s="839" t="s">
        <v>153</v>
      </c>
      <c r="D13" s="840">
        <v>250</v>
      </c>
      <c r="E13" s="840">
        <v>2000</v>
      </c>
      <c r="F13" s="840"/>
      <c r="G13" s="841">
        <f>SUM(D13:E13)</f>
        <v>2250</v>
      </c>
    </row>
    <row r="14" spans="2:11" x14ac:dyDescent="0.2">
      <c r="C14" s="718" t="s">
        <v>591</v>
      </c>
      <c r="D14" s="849">
        <f>D13/SUM($D13:$E13)</f>
        <v>0.1111111111111111</v>
      </c>
      <c r="E14" s="849">
        <f>E13/SUM($D13:$E13)</f>
        <v>0.88888888888888884</v>
      </c>
      <c r="F14" s="846">
        <f>SUMPRODUCT(D7:E7,D14:E14)</f>
        <v>59</v>
      </c>
      <c r="G14" s="848"/>
    </row>
    <row r="15" spans="2:11" ht="13.5" thickBot="1" x14ac:dyDescent="0.25">
      <c r="C15" s="719" t="s">
        <v>592</v>
      </c>
      <c r="D15" s="850"/>
      <c r="E15" s="850"/>
      <c r="F15" s="851">
        <f>F14*0.5</f>
        <v>29.5</v>
      </c>
      <c r="G15" s="19"/>
    </row>
    <row r="19" spans="4:4" x14ac:dyDescent="0.2">
      <c r="D19" s="14"/>
    </row>
  </sheetData>
  <mergeCells count="4">
    <mergeCell ref="D8:E8"/>
    <mergeCell ref="F6:F7"/>
    <mergeCell ref="G6:G7"/>
    <mergeCell ref="C12:G12"/>
  </mergeCells>
  <phoneticPr fontId="2" type="noConversion"/>
  <pageMargins left="0.75" right="0.75" top="1" bottom="1" header="0.5" footer="0.5"/>
  <pageSetup paperSize="9" scale="81" fitToHeight="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48"/>
  <sheetViews>
    <sheetView showGridLines="0" zoomScale="80" zoomScaleNormal="80" workbookViewId="0"/>
  </sheetViews>
  <sheetFormatPr defaultColWidth="9.140625" defaultRowHeight="12.75" x14ac:dyDescent="0.2"/>
  <cols>
    <col min="1" max="1" width="2.7109375" style="859" customWidth="1"/>
    <col min="2" max="2" width="17" style="1" customWidth="1"/>
    <col min="3" max="3" width="12.7109375" style="1" customWidth="1"/>
    <col min="4" max="5" width="11.7109375" style="1" customWidth="1"/>
    <col min="6" max="6" width="10.28515625" style="1" customWidth="1"/>
    <col min="7" max="7" width="11.7109375" style="1" customWidth="1"/>
    <col min="8" max="8" width="19.28515625" style="1" customWidth="1"/>
    <col min="9" max="9" width="12.7109375" style="1" customWidth="1"/>
    <col min="10" max="10" width="15.140625" style="1" customWidth="1"/>
    <col min="11" max="11" width="11.7109375" style="1" customWidth="1"/>
    <col min="12" max="12" width="14" style="1" customWidth="1"/>
    <col min="13" max="13" width="11.7109375" style="1" customWidth="1"/>
    <col min="14" max="14" width="15.7109375" style="1" customWidth="1"/>
    <col min="15" max="15" width="11.7109375" style="1" customWidth="1"/>
    <col min="16" max="16384" width="9.140625" style="1"/>
  </cols>
  <sheetData>
    <row r="1" spans="1:16" ht="20.25" x14ac:dyDescent="0.3">
      <c r="B1" s="285" t="s">
        <v>370</v>
      </c>
      <c r="C1" s="286"/>
      <c r="D1" s="284"/>
      <c r="E1" s="284"/>
      <c r="F1" s="284"/>
      <c r="G1" s="284"/>
      <c r="H1" s="284"/>
      <c r="L1" s="287" t="s">
        <v>668</v>
      </c>
    </row>
    <row r="2" spans="1:16" ht="18" x14ac:dyDescent="0.25">
      <c r="B2" s="288" t="s">
        <v>383</v>
      </c>
      <c r="C2" s="289"/>
      <c r="D2" s="286"/>
      <c r="E2" s="286"/>
      <c r="F2" s="286"/>
      <c r="G2" s="290"/>
      <c r="H2" s="289"/>
      <c r="I2" s="289"/>
    </row>
    <row r="3" spans="1:16" s="12" customFormat="1" x14ac:dyDescent="0.2">
      <c r="A3" s="859"/>
      <c r="B3" s="293"/>
      <c r="C3" s="294"/>
      <c r="D3" s="293"/>
      <c r="E3" s="293"/>
      <c r="F3" s="293"/>
      <c r="G3" s="295"/>
      <c r="H3" s="294"/>
      <c r="I3" s="294"/>
    </row>
    <row r="4" spans="1:16" x14ac:dyDescent="0.2">
      <c r="A4" s="859">
        <f>A44</f>
        <v>2</v>
      </c>
      <c r="B4" s="2" t="s">
        <v>180</v>
      </c>
    </row>
    <row r="5" spans="1:16" s="862" customFormat="1" x14ac:dyDescent="0.2">
      <c r="A5" s="859"/>
      <c r="B5" s="2"/>
    </row>
    <row r="6" spans="1:16" s="543" customFormat="1" ht="38.25" x14ac:dyDescent="0.2">
      <c r="A6" s="571"/>
      <c r="B6" s="869"/>
      <c r="C6" s="863" t="s">
        <v>12</v>
      </c>
      <c r="D6" s="863" t="s">
        <v>13</v>
      </c>
      <c r="E6" s="863" t="s">
        <v>14</v>
      </c>
      <c r="F6" s="863" t="s">
        <v>109</v>
      </c>
      <c r="G6" s="863" t="s">
        <v>15</v>
      </c>
      <c r="H6" s="863" t="s">
        <v>16</v>
      </c>
      <c r="I6" s="863" t="s">
        <v>17</v>
      </c>
      <c r="J6" s="863" t="s">
        <v>18</v>
      </c>
      <c r="K6" s="863" t="s">
        <v>158</v>
      </c>
      <c r="L6" s="863" t="s">
        <v>159</v>
      </c>
      <c r="M6" s="863" t="s">
        <v>78</v>
      </c>
      <c r="N6" s="863" t="s">
        <v>19</v>
      </c>
      <c r="O6" s="863" t="s">
        <v>20</v>
      </c>
      <c r="P6" s="864" t="s">
        <v>21</v>
      </c>
    </row>
    <row r="7" spans="1:16" s="543" customFormat="1" x14ac:dyDescent="0.2">
      <c r="A7" s="571"/>
      <c r="B7" s="865" t="s">
        <v>22</v>
      </c>
      <c r="C7" s="684">
        <v>0.35</v>
      </c>
      <c r="D7" s="553">
        <v>2500</v>
      </c>
      <c r="E7" s="866">
        <f>discount</f>
        <v>0.1</v>
      </c>
      <c r="F7" s="867">
        <v>1.4</v>
      </c>
      <c r="G7" s="542">
        <v>30</v>
      </c>
      <c r="H7" s="870">
        <f t="shared" ref="H7:H12" si="0">PMT(E7,G7,D7)*-1*F7</f>
        <v>371.27736888421867</v>
      </c>
      <c r="I7" s="866">
        <v>0.55000000000000004</v>
      </c>
      <c r="J7" s="542">
        <f>0.02*D7</f>
        <v>50</v>
      </c>
      <c r="K7" s="740" t="s">
        <v>23</v>
      </c>
      <c r="L7" s="710">
        <v>0</v>
      </c>
      <c r="M7" s="707">
        <v>0</v>
      </c>
      <c r="N7" s="707">
        <v>5.0000000000000001E-3</v>
      </c>
      <c r="O7" s="707">
        <f t="shared" ref="O7:O12" si="1">(J7+H7)/(8760*I7)</f>
        <v>8.7438225173146256E-2</v>
      </c>
      <c r="P7" s="871">
        <f t="shared" ref="P7:P12" si="2">O7+M7+N7</f>
        <v>9.243822517314626E-2</v>
      </c>
    </row>
    <row r="8" spans="1:16" s="543" customFormat="1" x14ac:dyDescent="0.2">
      <c r="A8" s="571">
        <f>A45</f>
        <v>3</v>
      </c>
      <c r="B8" s="865" t="s">
        <v>24</v>
      </c>
      <c r="C8" s="684">
        <v>0.25</v>
      </c>
      <c r="D8" s="553">
        <v>1100</v>
      </c>
      <c r="E8" s="866">
        <f>E7</f>
        <v>0.1</v>
      </c>
      <c r="F8" s="867">
        <v>1.2</v>
      </c>
      <c r="G8" s="542">
        <v>20</v>
      </c>
      <c r="H8" s="870">
        <f t="shared" si="0"/>
        <v>155.04670469976045</v>
      </c>
      <c r="I8" s="866">
        <v>0.6</v>
      </c>
      <c r="J8" s="542">
        <f>0.035*D8</f>
        <v>38.500000000000007</v>
      </c>
      <c r="K8" s="539">
        <v>0.47</v>
      </c>
      <c r="L8" s="710">
        <f>9.5/1.05</f>
        <v>9.0476190476190474</v>
      </c>
      <c r="M8" s="707">
        <f>(0.36/K8)*L8*0.01</f>
        <v>6.930091185410335E-2</v>
      </c>
      <c r="N8" s="707">
        <v>1.4999999999999999E-2</v>
      </c>
      <c r="O8" s="707">
        <f t="shared" si="1"/>
        <v>3.6823954471035092E-2</v>
      </c>
      <c r="P8" s="871">
        <f t="shared" si="2"/>
        <v>0.12112486632513844</v>
      </c>
    </row>
    <row r="9" spans="1:16" s="543" customFormat="1" x14ac:dyDescent="0.2">
      <c r="A9" s="571">
        <f>A46</f>
        <v>4</v>
      </c>
      <c r="B9" s="865" t="s">
        <v>25</v>
      </c>
      <c r="C9" s="684">
        <v>0.1</v>
      </c>
      <c r="D9" s="553">
        <v>600</v>
      </c>
      <c r="E9" s="866">
        <f t="shared" ref="E9:E12" si="3">E8</f>
        <v>0.1</v>
      </c>
      <c r="F9" s="867">
        <v>1.1499999999999999</v>
      </c>
      <c r="G9" s="542">
        <v>15</v>
      </c>
      <c r="H9" s="870">
        <f t="shared" si="0"/>
        <v>90.716906052286831</v>
      </c>
      <c r="I9" s="866">
        <v>0.15</v>
      </c>
      <c r="J9" s="542">
        <f>0.03*D9</f>
        <v>18</v>
      </c>
      <c r="K9" s="539">
        <v>0.32</v>
      </c>
      <c r="L9" s="710">
        <v>10</v>
      </c>
      <c r="M9" s="707">
        <f>(0.36/K9)*L9*0.01</f>
        <v>0.1125</v>
      </c>
      <c r="N9" s="707">
        <v>0.01</v>
      </c>
      <c r="O9" s="707">
        <f t="shared" si="1"/>
        <v>8.2737371424875819E-2</v>
      </c>
      <c r="P9" s="871">
        <f t="shared" si="2"/>
        <v>0.20523737142487583</v>
      </c>
    </row>
    <row r="10" spans="1:16" s="543" customFormat="1" x14ac:dyDescent="0.2">
      <c r="A10" s="571"/>
      <c r="B10" s="865" t="s">
        <v>26</v>
      </c>
      <c r="C10" s="684">
        <v>0.2</v>
      </c>
      <c r="D10" s="553">
        <v>2500</v>
      </c>
      <c r="E10" s="866">
        <f t="shared" si="3"/>
        <v>0.1</v>
      </c>
      <c r="F10" s="867">
        <v>1.3</v>
      </c>
      <c r="G10" s="542">
        <v>20</v>
      </c>
      <c r="H10" s="870">
        <f t="shared" si="0"/>
        <v>381.74378051077383</v>
      </c>
      <c r="I10" s="866">
        <v>0.75</v>
      </c>
      <c r="J10" s="542">
        <f>0.04*D10</f>
        <v>100</v>
      </c>
      <c r="K10" s="539">
        <v>0.36</v>
      </c>
      <c r="L10" s="710">
        <v>5</v>
      </c>
      <c r="M10" s="707">
        <f>(0.36/K10)*L10*0.01</f>
        <v>0.05</v>
      </c>
      <c r="N10" s="707">
        <v>0.02</v>
      </c>
      <c r="O10" s="707">
        <f t="shared" si="1"/>
        <v>7.3324776333451122E-2</v>
      </c>
      <c r="P10" s="871">
        <f t="shared" si="2"/>
        <v>0.14332477633345111</v>
      </c>
    </row>
    <row r="11" spans="1:16" s="543" customFormat="1" x14ac:dyDescent="0.2">
      <c r="A11" s="571">
        <f>A47</f>
        <v>5</v>
      </c>
      <c r="B11" s="865" t="s">
        <v>621</v>
      </c>
      <c r="C11" s="684">
        <v>0.08</v>
      </c>
      <c r="D11" s="553">
        <v>1800</v>
      </c>
      <c r="E11" s="866">
        <f t="shared" si="3"/>
        <v>0.1</v>
      </c>
      <c r="F11" s="867">
        <v>1.05</v>
      </c>
      <c r="G11" s="542">
        <v>20</v>
      </c>
      <c r="H11" s="870">
        <f t="shared" si="0"/>
        <v>221.99869082011156</v>
      </c>
      <c r="I11" s="866">
        <v>0.1</v>
      </c>
      <c r="J11" s="542">
        <f>0.02*D11</f>
        <v>36</v>
      </c>
      <c r="K11" s="539">
        <v>0.36</v>
      </c>
      <c r="L11" s="710">
        <v>13</v>
      </c>
      <c r="M11" s="707">
        <f>(0.36/K11)*L11*0.01</f>
        <v>0.13</v>
      </c>
      <c r="N11" s="707">
        <v>0.01</v>
      </c>
      <c r="O11" s="707">
        <f t="shared" si="1"/>
        <v>0.29451905344761592</v>
      </c>
      <c r="P11" s="871">
        <f t="shared" si="2"/>
        <v>0.43451905344761593</v>
      </c>
    </row>
    <row r="12" spans="1:16" s="543" customFormat="1" x14ac:dyDescent="0.2">
      <c r="A12" s="571">
        <f>A48</f>
        <v>6</v>
      </c>
      <c r="B12" s="865" t="s">
        <v>622</v>
      </c>
      <c r="C12" s="684">
        <v>0.02</v>
      </c>
      <c r="D12" s="553">
        <v>1200</v>
      </c>
      <c r="E12" s="866">
        <f t="shared" si="3"/>
        <v>0.1</v>
      </c>
      <c r="F12" s="867">
        <v>1.05</v>
      </c>
      <c r="G12" s="542">
        <v>20</v>
      </c>
      <c r="H12" s="870">
        <f t="shared" si="0"/>
        <v>147.99912721340772</v>
      </c>
      <c r="I12" s="866">
        <v>0.05</v>
      </c>
      <c r="J12" s="542">
        <f>0.04*D12</f>
        <v>48</v>
      </c>
      <c r="K12" s="539">
        <v>0.38</v>
      </c>
      <c r="L12" s="710">
        <v>25</v>
      </c>
      <c r="M12" s="707">
        <f>(0.36/K12)*L12*0.01</f>
        <v>0.23684210526315788</v>
      </c>
      <c r="N12" s="707">
        <v>5.0000000000000001E-3</v>
      </c>
      <c r="O12" s="707">
        <f t="shared" si="1"/>
        <v>0.44748659181143313</v>
      </c>
      <c r="P12" s="871">
        <f t="shared" si="2"/>
        <v>0.68932869707459099</v>
      </c>
    </row>
    <row r="13" spans="1:16" s="543" customFormat="1" x14ac:dyDescent="0.2">
      <c r="A13" s="571"/>
      <c r="B13" s="872"/>
      <c r="C13" s="873">
        <f>SUM(C7:C12)</f>
        <v>0.99999999999999989</v>
      </c>
      <c r="D13" s="874"/>
      <c r="E13" s="875"/>
      <c r="F13" s="875"/>
      <c r="G13" s="874"/>
      <c r="H13" s="874"/>
      <c r="I13" s="874"/>
      <c r="J13" s="874"/>
      <c r="K13" s="874"/>
      <c r="L13" s="874"/>
      <c r="M13" s="874"/>
      <c r="N13" s="874"/>
      <c r="O13" s="874"/>
      <c r="P13" s="868">
        <f>SUMPRODUCT(C7:C12,P7:P12)</f>
        <v>0.1603713860183647</v>
      </c>
    </row>
    <row r="14" spans="1:16" x14ac:dyDescent="0.2">
      <c r="E14" s="11"/>
    </row>
    <row r="15" spans="1:16" x14ac:dyDescent="0.2">
      <c r="E15" s="11"/>
    </row>
    <row r="16" spans="1:16" s="2" customFormat="1" ht="13.5" thickBot="1" x14ac:dyDescent="0.25">
      <c r="A16" s="860"/>
      <c r="B16" s="2" t="s">
        <v>581</v>
      </c>
      <c r="E16" s="512"/>
      <c r="H16" s="2" t="s">
        <v>582</v>
      </c>
      <c r="O16" s="513"/>
    </row>
    <row r="17" spans="2:15" ht="23.25" thickBot="1" x14ac:dyDescent="0.25">
      <c r="B17" s="957" t="s">
        <v>176</v>
      </c>
      <c r="C17" s="957"/>
      <c r="D17" s="957"/>
      <c r="E17" s="957"/>
      <c r="F17" s="957"/>
      <c r="H17" s="504"/>
      <c r="I17" s="504"/>
      <c r="J17" s="505" t="s">
        <v>1</v>
      </c>
      <c r="K17" s="505" t="s">
        <v>170</v>
      </c>
      <c r="L17" s="505" t="s">
        <v>171</v>
      </c>
      <c r="O17" s="4"/>
    </row>
    <row r="18" spans="2:15" ht="34.5" thickBot="1" x14ac:dyDescent="0.25">
      <c r="B18" s="958"/>
      <c r="C18" s="960" t="s">
        <v>553</v>
      </c>
      <c r="D18" s="962" t="s">
        <v>141</v>
      </c>
      <c r="E18" s="962"/>
      <c r="F18" s="960" t="s">
        <v>142</v>
      </c>
      <c r="H18" s="506" t="s">
        <v>571</v>
      </c>
      <c r="I18" s="507" t="s">
        <v>572</v>
      </c>
      <c r="J18" s="970" t="s">
        <v>573</v>
      </c>
      <c r="K18" s="970"/>
      <c r="L18" s="970"/>
      <c r="O18" s="4"/>
    </row>
    <row r="19" spans="2:15" ht="27" customHeight="1" thickBot="1" x14ac:dyDescent="0.25">
      <c r="B19" s="959"/>
      <c r="C19" s="961"/>
      <c r="D19" s="465" t="s">
        <v>143</v>
      </c>
      <c r="E19" s="465" t="s">
        <v>144</v>
      </c>
      <c r="F19" s="961"/>
      <c r="H19" s="506" t="s">
        <v>574</v>
      </c>
      <c r="I19" s="506">
        <v>267</v>
      </c>
      <c r="J19" s="509">
        <v>0.75</v>
      </c>
      <c r="K19" s="509">
        <v>0.95</v>
      </c>
      <c r="L19" s="509">
        <v>0.8</v>
      </c>
    </row>
    <row r="20" spans="2:15" ht="20.25" customHeight="1" thickBot="1" x14ac:dyDescent="0.25">
      <c r="B20" s="466" t="s">
        <v>145</v>
      </c>
      <c r="C20" s="476">
        <v>10</v>
      </c>
      <c r="D20" s="502">
        <v>0.05</v>
      </c>
      <c r="E20" s="502">
        <v>8.1000000000000003E-2</v>
      </c>
      <c r="F20" s="469">
        <f>C20*(1+D20)*(1+E20)</f>
        <v>11.3505</v>
      </c>
      <c r="H20" s="506" t="s">
        <v>575</v>
      </c>
      <c r="I20" s="506">
        <v>861</v>
      </c>
      <c r="J20" s="509">
        <v>0.2</v>
      </c>
      <c r="K20" s="509">
        <v>0.05</v>
      </c>
      <c r="L20" s="509">
        <v>0.15</v>
      </c>
    </row>
    <row r="21" spans="2:15" ht="13.5" thickBot="1" x14ac:dyDescent="0.25">
      <c r="B21" s="466" t="s">
        <v>143</v>
      </c>
      <c r="C21" s="475">
        <v>1.8</v>
      </c>
      <c r="D21" s="502"/>
      <c r="E21" s="502">
        <v>8.1000000000000003E-2</v>
      </c>
      <c r="F21" s="469">
        <f>C21*(1+D21)*(1+E21)</f>
        <v>1.9458</v>
      </c>
      <c r="H21" s="506" t="s">
        <v>576</v>
      </c>
      <c r="I21" s="510">
        <v>1290</v>
      </c>
      <c r="J21" s="509">
        <v>0.05</v>
      </c>
      <c r="K21" s="509">
        <v>0</v>
      </c>
      <c r="L21" s="509">
        <v>0.05</v>
      </c>
    </row>
    <row r="22" spans="2:15" ht="13.5" thickBot="1" x14ac:dyDescent="0.25">
      <c r="B22" s="466" t="s">
        <v>146</v>
      </c>
      <c r="C22" s="475">
        <v>1.4</v>
      </c>
      <c r="D22" s="466"/>
      <c r="E22" s="468"/>
      <c r="F22" s="469">
        <f>C22*(1+D22)*(1+E22)</f>
        <v>1.4</v>
      </c>
      <c r="H22" s="511"/>
      <c r="I22" s="506"/>
      <c r="J22" s="970" t="s">
        <v>577</v>
      </c>
      <c r="K22" s="970"/>
      <c r="L22" s="970"/>
    </row>
    <row r="23" spans="2:15" ht="13.5" thickBot="1" x14ac:dyDescent="0.25">
      <c r="B23" s="470" t="s">
        <v>0</v>
      </c>
      <c r="C23" s="474">
        <f>SUM(C20:C22)</f>
        <v>13.200000000000001</v>
      </c>
      <c r="D23" s="466"/>
      <c r="E23" s="466"/>
      <c r="F23" s="473">
        <f>F20+F21+F22</f>
        <v>14.696300000000001</v>
      </c>
      <c r="H23" s="508"/>
      <c r="I23" s="506"/>
      <c r="J23" s="509">
        <v>1.5</v>
      </c>
      <c r="K23" s="509">
        <v>1</v>
      </c>
      <c r="L23" s="509">
        <v>1</v>
      </c>
    </row>
    <row r="24" spans="2:15" ht="25.15" customHeight="1" thickBot="1" x14ac:dyDescent="0.25">
      <c r="B24" s="470"/>
      <c r="C24" s="474"/>
      <c r="D24" s="466"/>
      <c r="E24" s="466"/>
      <c r="F24" s="473"/>
      <c r="H24" s="971" t="s">
        <v>583</v>
      </c>
      <c r="I24" s="971"/>
      <c r="J24" s="514">
        <f>SUMPRODUCT($I19:$I21,J19:J21)*J23</f>
        <v>655.42500000000007</v>
      </c>
      <c r="K24" s="514">
        <f t="shared" ref="K24:L24" si="4">SUMPRODUCT($I19:$I21,K19:K21)*K23</f>
        <v>296.7</v>
      </c>
      <c r="L24" s="514">
        <f t="shared" si="4"/>
        <v>407.25</v>
      </c>
    </row>
    <row r="25" spans="2:15" ht="13.5" thickBot="1" x14ac:dyDescent="0.25">
      <c r="B25" s="968" t="s">
        <v>178</v>
      </c>
      <c r="C25" s="968"/>
      <c r="D25" s="968"/>
      <c r="E25" s="968"/>
      <c r="F25" s="968"/>
    </row>
    <row r="26" spans="2:15" ht="27" customHeight="1" thickBot="1" x14ac:dyDescent="0.25">
      <c r="B26" s="963"/>
      <c r="C26" s="965" t="s">
        <v>553</v>
      </c>
      <c r="D26" s="967" t="s">
        <v>141</v>
      </c>
      <c r="E26" s="967"/>
      <c r="F26" s="965" t="s">
        <v>142</v>
      </c>
    </row>
    <row r="27" spans="2:15" ht="27" customHeight="1" x14ac:dyDescent="0.2">
      <c r="B27" s="964"/>
      <c r="C27" s="966"/>
      <c r="D27" s="498" t="s">
        <v>143</v>
      </c>
      <c r="E27" s="498" t="s">
        <v>144</v>
      </c>
      <c r="F27" s="966"/>
    </row>
    <row r="28" spans="2:15" ht="21.75" customHeight="1" thickBot="1" x14ac:dyDescent="0.25">
      <c r="B28" s="466" t="s">
        <v>145</v>
      </c>
      <c r="C28" s="475">
        <f>'ERR &amp; Sensitivity Analysis'!G13*100</f>
        <v>16.04</v>
      </c>
      <c r="D28" s="502">
        <v>0.05</v>
      </c>
      <c r="E28" s="502">
        <v>8.1000000000000003E-2</v>
      </c>
      <c r="F28" s="469">
        <f>C28*(1+D28)*(1+E28)</f>
        <v>18.206201999999998</v>
      </c>
    </row>
    <row r="29" spans="2:15" ht="13.5" thickBot="1" x14ac:dyDescent="0.25">
      <c r="B29" s="466" t="s">
        <v>143</v>
      </c>
      <c r="C29" s="475">
        <v>1.8</v>
      </c>
      <c r="D29" s="502"/>
      <c r="E29" s="502">
        <v>8.1000000000000003E-2</v>
      </c>
      <c r="F29" s="469">
        <f>C29*(1+D29)*(1+E29)</f>
        <v>1.9458</v>
      </c>
    </row>
    <row r="30" spans="2:15" ht="13.5" thickBot="1" x14ac:dyDescent="0.25">
      <c r="B30" s="466" t="s">
        <v>146</v>
      </c>
      <c r="C30" s="475">
        <v>1.4</v>
      </c>
      <c r="D30" s="466"/>
      <c r="E30" s="468"/>
      <c r="F30" s="469">
        <f>C30*(1+D30)*(1+E30)</f>
        <v>1.4</v>
      </c>
    </row>
    <row r="31" spans="2:15" ht="13.5" thickBot="1" x14ac:dyDescent="0.25">
      <c r="B31" s="470" t="s">
        <v>0</v>
      </c>
      <c r="C31" s="475">
        <f>SUM(C28:C30)</f>
        <v>19.239999999999998</v>
      </c>
      <c r="D31" s="466"/>
      <c r="E31" s="466"/>
      <c r="F31" s="473">
        <f>F28+F29+F30</f>
        <v>21.552001999999995</v>
      </c>
    </row>
    <row r="32" spans="2:15" ht="13.5" thickBot="1" x14ac:dyDescent="0.25">
      <c r="B32" s="494"/>
      <c r="C32" s="495"/>
      <c r="D32" s="496"/>
      <c r="E32" s="496"/>
      <c r="F32" s="497"/>
    </row>
    <row r="33" spans="1:15" x14ac:dyDescent="0.2">
      <c r="B33" s="957" t="s">
        <v>177</v>
      </c>
      <c r="C33" s="957"/>
      <c r="D33" s="957"/>
      <c r="E33" s="957"/>
      <c r="F33" s="957"/>
    </row>
    <row r="34" spans="1:15" ht="27.6" customHeight="1" thickBot="1" x14ac:dyDescent="0.25">
      <c r="B34" s="958"/>
      <c r="C34" s="960" t="s">
        <v>553</v>
      </c>
      <c r="D34" s="962" t="s">
        <v>141</v>
      </c>
      <c r="E34" s="962"/>
      <c r="F34" s="960" t="s">
        <v>142</v>
      </c>
    </row>
    <row r="35" spans="1:15" ht="27.6" customHeight="1" thickBot="1" x14ac:dyDescent="0.25">
      <c r="B35" s="959"/>
      <c r="C35" s="961"/>
      <c r="D35" s="471" t="s">
        <v>143</v>
      </c>
      <c r="E35" s="471" t="s">
        <v>144</v>
      </c>
      <c r="F35" s="961"/>
    </row>
    <row r="36" spans="1:15" ht="23.25" customHeight="1" thickBot="1" x14ac:dyDescent="0.25">
      <c r="B36" s="466" t="s">
        <v>145</v>
      </c>
      <c r="C36" s="475">
        <v>20</v>
      </c>
      <c r="D36" s="502">
        <v>0.05</v>
      </c>
      <c r="E36" s="502">
        <v>8.1000000000000003E-2</v>
      </c>
      <c r="F36" s="469">
        <f>C36*(1+D36)*(1+E36)</f>
        <v>22.701000000000001</v>
      </c>
    </row>
    <row r="37" spans="1:15" ht="13.5" thickBot="1" x14ac:dyDescent="0.25">
      <c r="B37" s="466" t="s">
        <v>143</v>
      </c>
      <c r="C37" s="475">
        <v>1.8</v>
      </c>
      <c r="D37" s="502"/>
      <c r="E37" s="502">
        <v>8.1000000000000003E-2</v>
      </c>
      <c r="F37" s="469">
        <f>C37*(1+D37)*(1+E37)</f>
        <v>1.9458</v>
      </c>
    </row>
    <row r="38" spans="1:15" ht="13.5" thickBot="1" x14ac:dyDescent="0.25">
      <c r="B38" s="466" t="s">
        <v>146</v>
      </c>
      <c r="C38" s="475">
        <v>1.4</v>
      </c>
      <c r="D38" s="466"/>
      <c r="E38" s="468"/>
      <c r="F38" s="469">
        <f>C38*(1+D38)*(1+E38)</f>
        <v>1.4</v>
      </c>
    </row>
    <row r="39" spans="1:15" ht="13.5" thickBot="1" x14ac:dyDescent="0.25">
      <c r="B39" s="470" t="s">
        <v>0</v>
      </c>
      <c r="C39" s="475">
        <f>SUM(C36:C38)</f>
        <v>23.2</v>
      </c>
      <c r="D39" s="466"/>
      <c r="E39" s="466"/>
      <c r="F39" s="472">
        <f>F36+F37+F38</f>
        <v>26.046799999999998</v>
      </c>
    </row>
    <row r="40" spans="1:15" x14ac:dyDescent="0.2">
      <c r="B40" s="467"/>
      <c r="C40" s="467"/>
      <c r="D40" s="467"/>
      <c r="E40" s="467"/>
      <c r="F40" s="467"/>
    </row>
    <row r="41" spans="1:15" ht="15" x14ac:dyDescent="0.2">
      <c r="B41" s="492"/>
      <c r="C41" s="493"/>
    </row>
    <row r="42" spans="1:15" ht="15" x14ac:dyDescent="0.2">
      <c r="B42" s="858" t="s">
        <v>585</v>
      </c>
      <c r="C42" s="493"/>
    </row>
    <row r="43" spans="1:15" ht="15" x14ac:dyDescent="0.2">
      <c r="A43" s="861">
        <v>1</v>
      </c>
      <c r="B43" s="857" t="s">
        <v>179</v>
      </c>
      <c r="C43" s="493"/>
    </row>
    <row r="44" spans="1:15" ht="59.25" customHeight="1" x14ac:dyDescent="0.2">
      <c r="A44" s="859">
        <v>2</v>
      </c>
      <c r="B44" s="969" t="s">
        <v>623</v>
      </c>
      <c r="C44" s="969"/>
      <c r="D44" s="969"/>
      <c r="E44" s="969"/>
      <c r="F44" s="969"/>
      <c r="G44" s="969"/>
      <c r="H44" s="969"/>
      <c r="I44" s="969"/>
      <c r="J44" s="969"/>
      <c r="K44" s="969"/>
      <c r="L44" s="969"/>
      <c r="M44" s="969"/>
      <c r="N44" s="969"/>
      <c r="O44" s="969"/>
    </row>
    <row r="45" spans="1:15" x14ac:dyDescent="0.2">
      <c r="A45" s="859">
        <v>3</v>
      </c>
      <c r="B45" s="857" t="s">
        <v>624</v>
      </c>
      <c r="C45" s="492"/>
    </row>
    <row r="46" spans="1:15" x14ac:dyDescent="0.2">
      <c r="A46" s="861">
        <v>4</v>
      </c>
      <c r="B46" s="857" t="s">
        <v>625</v>
      </c>
      <c r="C46" s="492"/>
    </row>
    <row r="47" spans="1:15" x14ac:dyDescent="0.2">
      <c r="A47" s="859">
        <v>5</v>
      </c>
      <c r="B47" s="857" t="s">
        <v>626</v>
      </c>
      <c r="C47" s="492"/>
    </row>
    <row r="48" spans="1:15" x14ac:dyDescent="0.2">
      <c r="A48" s="861">
        <v>6</v>
      </c>
      <c r="B48" s="862" t="s">
        <v>627</v>
      </c>
    </row>
  </sheetData>
  <mergeCells count="19">
    <mergeCell ref="D34:E34"/>
    <mergeCell ref="F34:F35"/>
    <mergeCell ref="B25:F25"/>
    <mergeCell ref="B44:O44"/>
    <mergeCell ref="J18:L18"/>
    <mergeCell ref="J22:L22"/>
    <mergeCell ref="H24:I24"/>
    <mergeCell ref="B34:B35"/>
    <mergeCell ref="C34:C35"/>
    <mergeCell ref="B17:F17"/>
    <mergeCell ref="B33:F33"/>
    <mergeCell ref="B18:B19"/>
    <mergeCell ref="C18:C19"/>
    <mergeCell ref="D18:E18"/>
    <mergeCell ref="F18:F19"/>
    <mergeCell ref="B26:B27"/>
    <mergeCell ref="C26:C27"/>
    <mergeCell ref="D26:E26"/>
    <mergeCell ref="F26:F27"/>
  </mergeCells>
  <phoneticPr fontId="2" type="noConversion"/>
  <conditionalFormatting sqref="C13">
    <cfRule type="expression" dxfId="2" priority="1" stopIfTrue="1">
      <formula>"OR(sum($C$5:$C$10)&gt;$C$11&lt;sum($C$5:$C$10)&lt;$C$11)"</formula>
    </cfRule>
  </conditionalFormatting>
  <pageMargins left="0.75" right="0.75" top="1" bottom="1" header="0.5" footer="0.5"/>
  <pageSetup paperSize="9"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490"/>
  <sheetViews>
    <sheetView showGridLines="0" zoomScale="80" zoomScaleNormal="80" workbookViewId="0"/>
  </sheetViews>
  <sheetFormatPr defaultRowHeight="12.75" x14ac:dyDescent="0.2"/>
  <cols>
    <col min="1" max="1" width="2" customWidth="1"/>
    <col min="2" max="2" width="1.85546875" customWidth="1"/>
    <col min="3" max="3" width="12.140625" customWidth="1"/>
    <col min="4" max="4" width="12.28515625" customWidth="1"/>
    <col min="5" max="5" width="18.28515625" customWidth="1"/>
    <col min="6" max="6" width="1.7109375" style="416" customWidth="1"/>
    <col min="7" max="7" width="5.28515625" customWidth="1"/>
    <col min="8" max="8" width="15.7109375" customWidth="1"/>
    <col min="9" max="9" width="11.140625" customWidth="1"/>
    <col min="10" max="10" width="2.7109375" style="415" customWidth="1"/>
    <col min="11" max="11" width="7.140625" style="415" customWidth="1"/>
    <col min="12" max="12" width="4" customWidth="1"/>
    <col min="13" max="13" width="2" customWidth="1"/>
  </cols>
  <sheetData>
    <row r="1" spans="1:17" s="284" customFormat="1" ht="20.25" x14ac:dyDescent="0.3">
      <c r="B1" s="285" t="s">
        <v>370</v>
      </c>
      <c r="C1" s="286"/>
      <c r="Q1" s="287" t="s">
        <v>668</v>
      </c>
    </row>
    <row r="2" spans="1:17" s="289" customFormat="1" ht="18" x14ac:dyDescent="0.25">
      <c r="A2" s="286"/>
      <c r="B2" s="288" t="s">
        <v>542</v>
      </c>
      <c r="D2" s="286"/>
      <c r="E2" s="286"/>
      <c r="F2" s="286"/>
      <c r="G2" s="290"/>
    </row>
    <row r="3" spans="1:17" x14ac:dyDescent="0.2">
      <c r="D3" s="515"/>
      <c r="F3"/>
      <c r="G3" s="416"/>
      <c r="J3"/>
      <c r="K3"/>
      <c r="L3" s="415"/>
    </row>
    <row r="4" spans="1:17" x14ac:dyDescent="0.2">
      <c r="F4"/>
      <c r="G4" s="416"/>
      <c r="J4"/>
      <c r="K4"/>
      <c r="L4" s="415"/>
    </row>
    <row r="5" spans="1:17" x14ac:dyDescent="0.2">
      <c r="E5" s="413"/>
      <c r="F5" s="414" t="s">
        <v>458</v>
      </c>
    </row>
    <row r="6" spans="1:17" x14ac:dyDescent="0.2">
      <c r="F6" s="416" t="s">
        <v>634</v>
      </c>
    </row>
    <row r="7" spans="1:17" x14ac:dyDescent="0.2">
      <c r="F7" s="416" t="s">
        <v>635</v>
      </c>
    </row>
    <row r="9" spans="1:17" x14ac:dyDescent="0.2">
      <c r="A9" s="446"/>
      <c r="B9" s="447" t="s">
        <v>459</v>
      </c>
      <c r="C9" s="447"/>
      <c r="D9" s="447"/>
      <c r="E9" s="447"/>
      <c r="F9" s="448"/>
      <c r="G9" s="447"/>
      <c r="H9" s="447" t="s">
        <v>469</v>
      </c>
      <c r="I9" s="447"/>
      <c r="J9" s="447"/>
      <c r="K9" s="447"/>
      <c r="L9" s="439"/>
    </row>
    <row r="10" spans="1:17" x14ac:dyDescent="0.2">
      <c r="A10" s="422"/>
      <c r="B10" s="423"/>
      <c r="C10" s="423" t="s">
        <v>460</v>
      </c>
      <c r="D10" s="423"/>
      <c r="E10" s="427">
        <v>10000</v>
      </c>
      <c r="F10" s="424"/>
      <c r="G10" s="423"/>
      <c r="H10" s="423"/>
      <c r="I10" s="423" t="s">
        <v>379</v>
      </c>
      <c r="J10" s="423"/>
      <c r="K10" s="423">
        <v>3</v>
      </c>
      <c r="L10" s="441"/>
    </row>
    <row r="11" spans="1:17" x14ac:dyDescent="0.2">
      <c r="A11" s="422"/>
      <c r="B11" s="423"/>
      <c r="C11" s="423" t="s">
        <v>461</v>
      </c>
      <c r="D11" s="423"/>
      <c r="E11" s="423"/>
      <c r="F11" s="424"/>
      <c r="G11" s="423"/>
      <c r="H11" s="423"/>
      <c r="I11" s="423" t="s">
        <v>470</v>
      </c>
      <c r="J11" s="423"/>
      <c r="K11" s="423">
        <v>1</v>
      </c>
      <c r="L11" s="441"/>
    </row>
    <row r="12" spans="1:17" x14ac:dyDescent="0.2">
      <c r="A12" s="422"/>
      <c r="B12" s="423"/>
      <c r="C12" s="423" t="s">
        <v>462</v>
      </c>
      <c r="D12" s="423"/>
      <c r="E12" s="423"/>
      <c r="F12" s="424"/>
      <c r="G12" s="423"/>
      <c r="H12" s="423"/>
      <c r="I12" s="423" t="s">
        <v>471</v>
      </c>
      <c r="J12" s="423"/>
      <c r="K12" s="423">
        <v>1</v>
      </c>
      <c r="L12" s="441"/>
    </row>
    <row r="13" spans="1:17" x14ac:dyDescent="0.2">
      <c r="A13" s="422"/>
      <c r="B13" s="423"/>
      <c r="C13" s="423" t="s">
        <v>463</v>
      </c>
      <c r="D13" s="423"/>
      <c r="E13" s="423"/>
      <c r="F13" s="424"/>
      <c r="G13" s="423"/>
      <c r="H13" s="423"/>
      <c r="I13" s="423" t="s">
        <v>472</v>
      </c>
      <c r="J13" s="423"/>
      <c r="K13" s="423">
        <v>0</v>
      </c>
      <c r="L13" s="441"/>
    </row>
    <row r="14" spans="1:17" x14ac:dyDescent="0.2">
      <c r="A14" s="422"/>
      <c r="B14" s="423"/>
      <c r="C14" s="423" t="s">
        <v>464</v>
      </c>
      <c r="D14" s="423"/>
      <c r="E14" s="449">
        <v>0.95</v>
      </c>
      <c r="F14" s="424"/>
      <c r="G14" s="423"/>
      <c r="H14" s="423"/>
      <c r="I14" s="423" t="s">
        <v>473</v>
      </c>
      <c r="J14" s="423"/>
      <c r="K14" s="423">
        <v>8</v>
      </c>
      <c r="L14" s="441"/>
    </row>
    <row r="15" spans="1:17" x14ac:dyDescent="0.2">
      <c r="A15" s="422"/>
      <c r="B15" s="423"/>
      <c r="C15" s="423"/>
      <c r="D15" s="423"/>
      <c r="E15" s="423"/>
      <c r="F15" s="424"/>
      <c r="G15" s="423"/>
      <c r="H15" s="423"/>
      <c r="I15" s="423"/>
      <c r="J15" s="440"/>
      <c r="K15" s="440"/>
      <c r="L15" s="441"/>
    </row>
    <row r="16" spans="1:17" x14ac:dyDescent="0.2">
      <c r="A16" s="422"/>
      <c r="B16" s="423" t="s">
        <v>465</v>
      </c>
      <c r="C16" s="423"/>
      <c r="D16" s="423"/>
      <c r="E16" s="423"/>
      <c r="F16" s="424"/>
      <c r="G16" s="423"/>
      <c r="H16" s="423"/>
      <c r="I16" s="423"/>
      <c r="J16" s="440"/>
      <c r="K16" s="440"/>
      <c r="L16" s="441"/>
    </row>
    <row r="17" spans="1:21" x14ac:dyDescent="0.2">
      <c r="A17" s="422"/>
      <c r="B17" s="423"/>
      <c r="C17" s="423" t="s">
        <v>466</v>
      </c>
      <c r="D17" s="423"/>
      <c r="E17" s="450">
        <v>88.46537871388324</v>
      </c>
      <c r="F17" s="424"/>
      <c r="G17" s="423"/>
      <c r="H17" s="423"/>
      <c r="I17" s="423"/>
      <c r="J17" s="440"/>
      <c r="K17" s="440"/>
      <c r="L17" s="441"/>
    </row>
    <row r="18" spans="1:21" x14ac:dyDescent="0.2">
      <c r="A18" s="422"/>
      <c r="B18" s="423"/>
      <c r="C18" s="423" t="s">
        <v>467</v>
      </c>
      <c r="D18" s="423"/>
      <c r="E18" s="427">
        <v>113.03857108148748</v>
      </c>
      <c r="F18" s="424"/>
      <c r="G18" s="423"/>
      <c r="H18" s="423"/>
      <c r="I18" s="423"/>
      <c r="J18" s="440"/>
      <c r="K18" s="440"/>
      <c r="L18" s="441"/>
    </row>
    <row r="19" spans="1:21" x14ac:dyDescent="0.2">
      <c r="A19" s="422"/>
      <c r="B19" s="423"/>
      <c r="C19" s="423" t="s">
        <v>468</v>
      </c>
      <c r="D19" s="423"/>
      <c r="E19" s="427">
        <v>339.11571324446243</v>
      </c>
      <c r="F19" s="424"/>
      <c r="G19" s="423"/>
      <c r="H19" s="423"/>
      <c r="I19" s="423"/>
      <c r="J19" s="440"/>
      <c r="K19" s="440"/>
      <c r="L19" s="441"/>
    </row>
    <row r="20" spans="1:21" x14ac:dyDescent="0.2">
      <c r="A20" s="887"/>
      <c r="B20" s="435"/>
      <c r="C20" s="435"/>
      <c r="D20" s="435"/>
      <c r="E20" s="435"/>
      <c r="F20" s="437"/>
      <c r="G20" s="435"/>
      <c r="H20" s="435"/>
      <c r="I20" s="435"/>
      <c r="J20" s="444"/>
      <c r="K20" s="444"/>
      <c r="L20" s="445"/>
    </row>
    <row r="22" spans="1:21" s="883" customFormat="1" x14ac:dyDescent="0.2">
      <c r="F22" s="884" t="s">
        <v>473</v>
      </c>
      <c r="J22" s="885"/>
      <c r="K22" s="885"/>
      <c r="Q22" s="884" t="s">
        <v>379</v>
      </c>
      <c r="U22" s="885"/>
    </row>
    <row r="23" spans="1:21" x14ac:dyDescent="0.2">
      <c r="Q23" s="416"/>
      <c r="U23" s="415"/>
    </row>
    <row r="24" spans="1:21" x14ac:dyDescent="0.2">
      <c r="A24" s="417" t="s">
        <v>636</v>
      </c>
      <c r="L24" s="417" t="s">
        <v>637</v>
      </c>
      <c r="Q24" s="416"/>
      <c r="U24" s="415"/>
    </row>
    <row r="25" spans="1:21" x14ac:dyDescent="0.2">
      <c r="Q25" s="416"/>
      <c r="U25" s="415"/>
    </row>
    <row r="26" spans="1:21" x14ac:dyDescent="0.2">
      <c r="A26" s="418" t="s">
        <v>474</v>
      </c>
      <c r="B26" s="419"/>
      <c r="C26" s="419"/>
      <c r="D26" s="419"/>
      <c r="E26" s="419"/>
      <c r="F26" s="420"/>
      <c r="G26" s="419"/>
      <c r="H26" s="419"/>
      <c r="I26" s="419"/>
      <c r="J26" s="421" t="s">
        <v>475</v>
      </c>
      <c r="K26" s="886"/>
      <c r="L26" s="418" t="s">
        <v>638</v>
      </c>
      <c r="M26" s="419"/>
      <c r="N26" s="419"/>
      <c r="O26" s="419"/>
      <c r="P26" s="419"/>
      <c r="Q26" s="420"/>
      <c r="R26" s="419"/>
      <c r="S26" s="419"/>
      <c r="T26" s="419"/>
      <c r="U26" s="421" t="s">
        <v>519</v>
      </c>
    </row>
    <row r="27" spans="1:21" x14ac:dyDescent="0.2">
      <c r="A27" s="422"/>
      <c r="B27" s="423"/>
      <c r="C27" s="423"/>
      <c r="D27" s="423"/>
      <c r="E27" s="423"/>
      <c r="F27" s="424"/>
      <c r="G27" s="423"/>
      <c r="H27" s="423"/>
      <c r="I27" s="423"/>
      <c r="J27" s="425"/>
      <c r="L27" s="422"/>
      <c r="M27" s="423"/>
      <c r="N27" s="423"/>
      <c r="O27" s="423"/>
      <c r="P27" s="423"/>
      <c r="Q27" s="424"/>
      <c r="R27" s="423"/>
      <c r="S27" s="423"/>
      <c r="T27" s="423"/>
      <c r="U27" s="425"/>
    </row>
    <row r="28" spans="1:21" x14ac:dyDescent="0.2">
      <c r="A28" s="422"/>
      <c r="B28" s="423" t="s">
        <v>476</v>
      </c>
      <c r="C28" s="423"/>
      <c r="D28" s="423"/>
      <c r="E28" s="423"/>
      <c r="F28" s="424"/>
      <c r="G28" s="423"/>
      <c r="H28" s="423"/>
      <c r="I28" s="423"/>
      <c r="J28" s="425"/>
      <c r="L28" s="422"/>
      <c r="M28" s="423" t="s">
        <v>520</v>
      </c>
      <c r="N28" s="423"/>
      <c r="O28" s="423"/>
      <c r="P28" s="423"/>
      <c r="Q28" s="424"/>
      <c r="R28" s="423"/>
      <c r="S28" s="423"/>
      <c r="T28" s="423"/>
      <c r="U28" s="425"/>
    </row>
    <row r="29" spans="1:21" x14ac:dyDescent="0.2">
      <c r="A29" s="422"/>
      <c r="B29" s="423"/>
      <c r="C29" s="423" t="s">
        <v>639</v>
      </c>
      <c r="D29" s="423"/>
      <c r="E29" s="423"/>
      <c r="F29" s="424"/>
      <c r="G29" s="423"/>
      <c r="H29" s="423"/>
      <c r="I29" s="423"/>
      <c r="J29" s="425"/>
      <c r="L29" s="422"/>
      <c r="M29" s="423"/>
      <c r="N29" s="423" t="s">
        <v>482</v>
      </c>
      <c r="O29" s="423"/>
      <c r="P29" s="442">
        <v>0.16039999999999999</v>
      </c>
      <c r="Q29" s="424"/>
      <c r="R29" s="423"/>
      <c r="S29" s="423"/>
      <c r="T29" s="423"/>
      <c r="U29" s="425"/>
    </row>
    <row r="30" spans="1:21" x14ac:dyDescent="0.2">
      <c r="A30" s="422"/>
      <c r="B30" s="423"/>
      <c r="C30" s="423" t="s">
        <v>477</v>
      </c>
      <c r="D30" s="423"/>
      <c r="E30" s="423"/>
      <c r="F30" s="424"/>
      <c r="G30" s="423"/>
      <c r="H30" s="423"/>
      <c r="I30" s="423"/>
      <c r="J30" s="425"/>
      <c r="L30" s="422"/>
      <c r="M30" s="423"/>
      <c r="N30" s="423" t="s">
        <v>521</v>
      </c>
      <c r="O30" s="423"/>
      <c r="P30" s="442">
        <v>1.6039999999999999E-2</v>
      </c>
      <c r="Q30" s="424"/>
      <c r="R30" s="423"/>
      <c r="S30" s="423"/>
      <c r="T30" s="423"/>
      <c r="U30" s="425"/>
    </row>
    <row r="31" spans="1:21" x14ac:dyDescent="0.2">
      <c r="A31" s="422"/>
      <c r="B31" s="423"/>
      <c r="C31" s="423" t="s">
        <v>640</v>
      </c>
      <c r="D31" s="423"/>
      <c r="E31" s="423"/>
      <c r="F31" s="424"/>
      <c r="G31" s="423"/>
      <c r="H31" s="423"/>
      <c r="I31" s="423"/>
      <c r="J31" s="425"/>
      <c r="L31" s="422"/>
      <c r="M31" s="423"/>
      <c r="N31" s="423"/>
      <c r="O31" s="423"/>
      <c r="P31" s="426"/>
      <c r="Q31" s="424"/>
      <c r="R31" s="423"/>
      <c r="S31" s="423"/>
      <c r="T31" s="423"/>
      <c r="U31" s="425"/>
    </row>
    <row r="32" spans="1:21" x14ac:dyDescent="0.2">
      <c r="A32" s="422"/>
      <c r="B32" s="423"/>
      <c r="C32" s="423" t="s">
        <v>641</v>
      </c>
      <c r="D32" s="423"/>
      <c r="E32" s="423"/>
      <c r="F32" s="424"/>
      <c r="G32" s="423"/>
      <c r="H32" s="423"/>
      <c r="I32" s="423"/>
      <c r="J32" s="425"/>
      <c r="L32" s="422"/>
      <c r="M32" s="423"/>
      <c r="N32" s="423"/>
      <c r="O32" s="423"/>
      <c r="P32" s="426"/>
      <c r="Q32" s="424"/>
      <c r="R32" s="423"/>
      <c r="S32" s="423"/>
      <c r="T32" s="423"/>
      <c r="U32" s="425"/>
    </row>
    <row r="33" spans="1:21" x14ac:dyDescent="0.2">
      <c r="A33" s="422"/>
      <c r="B33" s="423"/>
      <c r="C33" s="423" t="s">
        <v>642</v>
      </c>
      <c r="D33" s="423"/>
      <c r="E33" s="423"/>
      <c r="F33" s="424"/>
      <c r="G33" s="423"/>
      <c r="H33" s="423"/>
      <c r="I33" s="423"/>
      <c r="J33" s="425"/>
      <c r="L33" s="422"/>
      <c r="M33" s="423"/>
      <c r="N33" s="423"/>
      <c r="O33" s="423"/>
      <c r="P33" s="423"/>
      <c r="Q33" s="424"/>
      <c r="R33" s="423"/>
      <c r="S33" s="423"/>
      <c r="T33" s="423"/>
      <c r="U33" s="425"/>
    </row>
    <row r="34" spans="1:21" x14ac:dyDescent="0.2">
      <c r="A34" s="422"/>
      <c r="B34" s="423"/>
      <c r="C34" s="423"/>
      <c r="D34" s="423"/>
      <c r="E34" s="423"/>
      <c r="F34" s="424"/>
      <c r="G34" s="423"/>
      <c r="H34" s="423"/>
      <c r="I34" s="423"/>
      <c r="J34" s="425"/>
      <c r="L34" s="422"/>
      <c r="M34" s="423"/>
      <c r="N34" s="423"/>
      <c r="O34" s="423"/>
      <c r="P34" s="423"/>
      <c r="Q34" s="424"/>
      <c r="R34" s="423"/>
      <c r="S34" s="423"/>
      <c r="T34" s="423"/>
      <c r="U34" s="425"/>
    </row>
    <row r="35" spans="1:21" x14ac:dyDescent="0.2">
      <c r="A35" s="422"/>
      <c r="B35" s="423"/>
      <c r="C35" s="423"/>
      <c r="D35" s="423"/>
      <c r="E35" s="423"/>
      <c r="F35" s="424"/>
      <c r="G35" s="423"/>
      <c r="H35" s="423"/>
      <c r="I35" s="423"/>
      <c r="J35" s="425"/>
      <c r="L35" s="422"/>
      <c r="M35" s="423"/>
      <c r="N35" s="423"/>
      <c r="O35" s="423"/>
      <c r="P35" s="423"/>
      <c r="Q35" s="424"/>
      <c r="R35" s="423"/>
      <c r="S35" s="423"/>
      <c r="T35" s="423"/>
      <c r="U35" s="425"/>
    </row>
    <row r="36" spans="1:21" x14ac:dyDescent="0.2">
      <c r="A36" s="422"/>
      <c r="B36" s="423"/>
      <c r="C36" s="423"/>
      <c r="D36" s="423"/>
      <c r="E36" s="423"/>
      <c r="F36" s="424"/>
      <c r="G36" s="423"/>
      <c r="H36" s="423"/>
      <c r="I36" s="423"/>
      <c r="J36" s="425"/>
      <c r="L36" s="422"/>
      <c r="M36" s="423"/>
      <c r="N36" s="423"/>
      <c r="O36" s="423"/>
      <c r="P36" s="423"/>
      <c r="Q36" s="424"/>
      <c r="R36" s="423"/>
      <c r="S36" s="423"/>
      <c r="T36" s="423"/>
      <c r="U36" s="425"/>
    </row>
    <row r="37" spans="1:21" x14ac:dyDescent="0.2">
      <c r="A37" s="422"/>
      <c r="B37" s="423"/>
      <c r="C37" s="423"/>
      <c r="D37" s="423"/>
      <c r="E37" s="423"/>
      <c r="F37" s="424"/>
      <c r="G37" s="423"/>
      <c r="H37" s="423"/>
      <c r="I37" s="423"/>
      <c r="J37" s="425"/>
      <c r="L37" s="422"/>
      <c r="M37" s="423" t="s">
        <v>522</v>
      </c>
      <c r="N37" s="423"/>
      <c r="O37" s="423"/>
      <c r="P37" s="423"/>
      <c r="Q37" s="424"/>
      <c r="R37" s="423"/>
      <c r="S37" s="426" t="s">
        <v>523</v>
      </c>
      <c r="T37" s="423"/>
      <c r="U37" s="425"/>
    </row>
    <row r="38" spans="1:21" x14ac:dyDescent="0.2">
      <c r="A38" s="422"/>
      <c r="B38" s="423"/>
      <c r="C38" s="423"/>
      <c r="D38" s="423"/>
      <c r="E38" s="423"/>
      <c r="F38" s="424"/>
      <c r="G38" s="423"/>
      <c r="H38" s="423"/>
      <c r="I38" s="423"/>
      <c r="J38" s="425"/>
      <c r="L38" s="422"/>
      <c r="M38" s="423"/>
      <c r="N38" s="423" t="s">
        <v>524</v>
      </c>
      <c r="O38" s="423"/>
      <c r="P38" s="423"/>
      <c r="Q38" s="424"/>
      <c r="R38" s="430"/>
      <c r="S38" s="430">
        <v>0.5</v>
      </c>
      <c r="T38" s="423"/>
      <c r="U38" s="425"/>
    </row>
    <row r="39" spans="1:21" x14ac:dyDescent="0.2">
      <c r="A39" s="422"/>
      <c r="B39" s="423"/>
      <c r="C39" s="423"/>
      <c r="D39" s="423"/>
      <c r="E39" s="423"/>
      <c r="F39" s="424"/>
      <c r="G39" s="423"/>
      <c r="H39" s="423"/>
      <c r="I39" s="423"/>
      <c r="J39" s="425"/>
      <c r="L39" s="422"/>
      <c r="M39" s="423"/>
      <c r="N39" s="423"/>
      <c r="O39" s="423"/>
      <c r="P39" s="423"/>
      <c r="Q39" s="424"/>
      <c r="R39" s="423"/>
      <c r="S39" s="423"/>
      <c r="T39" s="423"/>
      <c r="U39" s="425"/>
    </row>
    <row r="40" spans="1:21" x14ac:dyDescent="0.2">
      <c r="A40" s="422"/>
      <c r="B40" s="423"/>
      <c r="C40" s="423"/>
      <c r="D40" s="423"/>
      <c r="E40" s="423"/>
      <c r="F40" s="424"/>
      <c r="G40" s="423"/>
      <c r="H40" s="423"/>
      <c r="I40" s="423"/>
      <c r="J40" s="425"/>
      <c r="L40" s="431" t="s">
        <v>643</v>
      </c>
      <c r="M40" s="432"/>
      <c r="N40" s="432"/>
      <c r="O40" s="432"/>
      <c r="P40" s="432"/>
      <c r="Q40" s="433"/>
      <c r="R40" s="432"/>
      <c r="S40" s="432"/>
      <c r="T40" s="432"/>
      <c r="U40" s="434" t="s">
        <v>525</v>
      </c>
    </row>
    <row r="41" spans="1:21" x14ac:dyDescent="0.2">
      <c r="A41" s="422"/>
      <c r="B41" s="423"/>
      <c r="C41" s="423"/>
      <c r="D41" s="423"/>
      <c r="E41" s="423"/>
      <c r="F41" s="424"/>
      <c r="G41" s="423"/>
      <c r="H41" s="423"/>
      <c r="I41" s="423"/>
      <c r="J41" s="425"/>
      <c r="L41" s="422"/>
      <c r="M41" s="423"/>
      <c r="N41" s="423"/>
      <c r="O41" s="423"/>
      <c r="P41" s="423"/>
      <c r="Q41" s="424"/>
      <c r="R41" s="423"/>
      <c r="S41" s="423"/>
      <c r="T41" s="423"/>
      <c r="U41" s="425"/>
    </row>
    <row r="42" spans="1:21" x14ac:dyDescent="0.2">
      <c r="A42" s="422"/>
      <c r="B42" s="423"/>
      <c r="C42" s="423"/>
      <c r="D42" s="423"/>
      <c r="E42" s="423"/>
      <c r="F42" s="424"/>
      <c r="G42" s="423"/>
      <c r="H42" s="423"/>
      <c r="I42" s="423"/>
      <c r="J42" s="425"/>
      <c r="L42" s="422"/>
      <c r="M42" s="423" t="s">
        <v>520</v>
      </c>
      <c r="N42" s="423"/>
      <c r="O42" s="423"/>
      <c r="P42" s="423"/>
      <c r="Q42" s="424"/>
      <c r="R42" s="423"/>
      <c r="S42" s="423"/>
      <c r="T42" s="423"/>
      <c r="U42" s="425"/>
    </row>
    <row r="43" spans="1:21" x14ac:dyDescent="0.2">
      <c r="A43" s="422"/>
      <c r="B43" s="423"/>
      <c r="C43" s="423"/>
      <c r="D43" s="423"/>
      <c r="E43" s="423"/>
      <c r="F43" s="424"/>
      <c r="G43" s="423"/>
      <c r="H43" s="423"/>
      <c r="I43" s="423"/>
      <c r="J43" s="425"/>
      <c r="L43" s="422"/>
      <c r="M43" s="423"/>
      <c r="N43" s="423" t="s">
        <v>482</v>
      </c>
      <c r="O43" s="423"/>
      <c r="P43" s="443">
        <v>0.29070000000000001</v>
      </c>
      <c r="Q43" s="424"/>
      <c r="R43" s="423"/>
      <c r="S43" s="423"/>
      <c r="T43" s="423"/>
      <c r="U43" s="425"/>
    </row>
    <row r="44" spans="1:21" x14ac:dyDescent="0.2">
      <c r="A44" s="422"/>
      <c r="B44" s="423"/>
      <c r="C44" s="423"/>
      <c r="D44" s="423"/>
      <c r="E44" s="423"/>
      <c r="F44" s="424"/>
      <c r="G44" s="423"/>
      <c r="H44" s="423"/>
      <c r="I44" s="423"/>
      <c r="J44" s="425"/>
      <c r="L44" s="422"/>
      <c r="M44" s="423"/>
      <c r="N44" s="423" t="s">
        <v>521</v>
      </c>
      <c r="O44" s="423"/>
      <c r="P44" s="443">
        <v>0.01</v>
      </c>
      <c r="Q44" s="424"/>
      <c r="R44" s="423"/>
      <c r="S44" s="423"/>
      <c r="T44" s="423"/>
      <c r="U44" s="425"/>
    </row>
    <row r="45" spans="1:21" x14ac:dyDescent="0.2">
      <c r="A45" s="422"/>
      <c r="B45" s="423"/>
      <c r="C45" s="423"/>
      <c r="D45" s="423"/>
      <c r="E45" s="423"/>
      <c r="F45" s="424"/>
      <c r="G45" s="423"/>
      <c r="H45" s="423"/>
      <c r="I45" s="423"/>
      <c r="J45" s="425"/>
      <c r="L45" s="422"/>
      <c r="M45" s="423"/>
      <c r="N45" s="423"/>
      <c r="O45" s="423"/>
      <c r="P45" s="426"/>
      <c r="Q45" s="424"/>
      <c r="R45" s="423"/>
      <c r="S45" s="423"/>
      <c r="T45" s="423"/>
      <c r="U45" s="425"/>
    </row>
    <row r="46" spans="1:21" x14ac:dyDescent="0.2">
      <c r="A46" s="422"/>
      <c r="B46" s="423"/>
      <c r="C46" s="423"/>
      <c r="D46" s="423"/>
      <c r="E46" s="423"/>
      <c r="F46" s="424"/>
      <c r="G46" s="423"/>
      <c r="H46" s="423"/>
      <c r="I46" s="423"/>
      <c r="J46" s="425"/>
      <c r="L46" s="422"/>
      <c r="M46" s="423"/>
      <c r="N46" s="423"/>
      <c r="O46" s="423"/>
      <c r="P46" s="426"/>
      <c r="Q46" s="424"/>
      <c r="R46" s="423"/>
      <c r="S46" s="423"/>
      <c r="T46" s="423"/>
      <c r="U46" s="425"/>
    </row>
    <row r="47" spans="1:21" x14ac:dyDescent="0.2">
      <c r="A47" s="422"/>
      <c r="B47" s="423"/>
      <c r="C47" s="423"/>
      <c r="D47" s="423"/>
      <c r="E47" s="423"/>
      <c r="F47" s="424"/>
      <c r="G47" s="423"/>
      <c r="H47" s="423"/>
      <c r="I47" s="423"/>
      <c r="J47" s="425"/>
      <c r="L47" s="422"/>
      <c r="M47" s="423"/>
      <c r="N47" s="423"/>
      <c r="O47" s="423"/>
      <c r="P47" s="423"/>
      <c r="Q47" s="424"/>
      <c r="R47" s="423"/>
      <c r="S47" s="423"/>
      <c r="T47" s="423"/>
      <c r="U47" s="425"/>
    </row>
    <row r="48" spans="1:21" x14ac:dyDescent="0.2">
      <c r="A48" s="422"/>
      <c r="B48" s="423"/>
      <c r="C48" s="423"/>
      <c r="D48" s="423"/>
      <c r="E48" s="423"/>
      <c r="F48" s="424"/>
      <c r="G48" s="423"/>
      <c r="H48" s="423"/>
      <c r="I48" s="423"/>
      <c r="J48" s="425"/>
      <c r="L48" s="422"/>
      <c r="M48" s="423"/>
      <c r="N48" s="423"/>
      <c r="O48" s="423"/>
      <c r="P48" s="423"/>
      <c r="Q48" s="424"/>
      <c r="R48" s="423"/>
      <c r="S48" s="423"/>
      <c r="T48" s="423"/>
      <c r="U48" s="425"/>
    </row>
    <row r="49" spans="1:21" x14ac:dyDescent="0.2">
      <c r="A49" s="422"/>
      <c r="B49" s="423"/>
      <c r="C49" s="423"/>
      <c r="D49" s="423"/>
      <c r="E49" s="423"/>
      <c r="F49" s="424"/>
      <c r="G49" s="423"/>
      <c r="H49" s="423"/>
      <c r="I49" s="423"/>
      <c r="J49" s="425"/>
      <c r="L49" s="422"/>
      <c r="M49" s="423"/>
      <c r="N49" s="423"/>
      <c r="O49" s="423"/>
      <c r="P49" s="423"/>
      <c r="Q49" s="424"/>
      <c r="R49" s="423"/>
      <c r="S49" s="423"/>
      <c r="T49" s="423"/>
      <c r="U49" s="425"/>
    </row>
    <row r="50" spans="1:21" x14ac:dyDescent="0.2">
      <c r="A50" s="422"/>
      <c r="B50" s="423"/>
      <c r="C50" s="423"/>
      <c r="D50" s="423"/>
      <c r="E50" s="423"/>
      <c r="F50" s="424"/>
      <c r="G50" s="423"/>
      <c r="H50" s="423"/>
      <c r="I50" s="423"/>
      <c r="J50" s="425"/>
      <c r="L50" s="422"/>
      <c r="M50" s="423"/>
      <c r="N50" s="423"/>
      <c r="O50" s="423"/>
      <c r="P50" s="423"/>
      <c r="Q50" s="424"/>
      <c r="R50" s="423"/>
      <c r="S50" s="423"/>
      <c r="T50" s="423"/>
      <c r="U50" s="425"/>
    </row>
    <row r="51" spans="1:21" x14ac:dyDescent="0.2">
      <c r="A51" s="422"/>
      <c r="B51" s="423"/>
      <c r="C51" s="423"/>
      <c r="D51" s="423"/>
      <c r="E51" s="423"/>
      <c r="F51" s="424"/>
      <c r="G51" s="423"/>
      <c r="H51" s="423"/>
      <c r="I51" s="423"/>
      <c r="J51" s="425"/>
      <c r="L51" s="431" t="s">
        <v>528</v>
      </c>
      <c r="M51" s="432"/>
      <c r="N51" s="432"/>
      <c r="O51" s="432"/>
      <c r="P51" s="432"/>
      <c r="Q51" s="433"/>
      <c r="R51" s="432"/>
      <c r="S51" s="432"/>
      <c r="T51" s="432"/>
      <c r="U51" s="434" t="s">
        <v>529</v>
      </c>
    </row>
    <row r="52" spans="1:21" x14ac:dyDescent="0.2">
      <c r="A52" s="422"/>
      <c r="B52" s="423"/>
      <c r="C52" s="423"/>
      <c r="D52" s="423"/>
      <c r="E52" s="423"/>
      <c r="F52" s="424"/>
      <c r="G52" s="423"/>
      <c r="H52" s="423"/>
      <c r="I52" s="423"/>
      <c r="J52" s="425"/>
      <c r="L52" s="422"/>
      <c r="M52" s="423"/>
      <c r="N52" s="423"/>
      <c r="O52" s="423"/>
      <c r="P52" s="423"/>
      <c r="Q52" s="424"/>
      <c r="R52" s="423"/>
      <c r="S52" s="423"/>
      <c r="T52" s="423"/>
      <c r="U52" s="425"/>
    </row>
    <row r="53" spans="1:21" x14ac:dyDescent="0.2">
      <c r="A53" s="422"/>
      <c r="B53" s="423" t="s">
        <v>478</v>
      </c>
      <c r="C53" s="423"/>
      <c r="D53" s="423"/>
      <c r="E53" s="426" t="s">
        <v>479</v>
      </c>
      <c r="F53" s="424"/>
      <c r="G53" s="423"/>
      <c r="H53" s="423"/>
      <c r="I53" s="423"/>
      <c r="J53" s="425"/>
      <c r="L53" s="422"/>
      <c r="M53" s="423" t="s">
        <v>526</v>
      </c>
      <c r="N53" s="423"/>
      <c r="O53" s="423"/>
      <c r="P53" s="423"/>
      <c r="Q53" s="424"/>
      <c r="R53" s="423"/>
      <c r="S53" s="423"/>
      <c r="T53" s="423"/>
      <c r="U53" s="425"/>
    </row>
    <row r="54" spans="1:21" x14ac:dyDescent="0.2">
      <c r="A54" s="422"/>
      <c r="B54" s="423"/>
      <c r="C54" s="423" t="s">
        <v>480</v>
      </c>
      <c r="D54" s="423"/>
      <c r="E54" s="427">
        <v>10000</v>
      </c>
      <c r="F54" s="424"/>
      <c r="G54" s="423"/>
      <c r="H54" s="423"/>
      <c r="I54" s="423"/>
      <c r="J54" s="425"/>
      <c r="L54" s="422"/>
      <c r="M54" s="423"/>
      <c r="N54" s="423" t="s">
        <v>491</v>
      </c>
      <c r="O54" s="423"/>
      <c r="P54" s="443">
        <v>0.5</v>
      </c>
      <c r="Q54" s="424"/>
      <c r="R54" s="423"/>
      <c r="S54" s="423"/>
      <c r="T54" s="423"/>
      <c r="U54" s="425"/>
    </row>
    <row r="55" spans="1:21" x14ac:dyDescent="0.2">
      <c r="A55" s="422"/>
      <c r="B55" s="423"/>
      <c r="C55" s="423" t="s">
        <v>481</v>
      </c>
      <c r="D55" s="423"/>
      <c r="E55" s="21">
        <v>0.12342965734922751</v>
      </c>
      <c r="F55" s="424"/>
      <c r="G55" s="423"/>
      <c r="H55" s="423"/>
      <c r="I55" s="423"/>
      <c r="J55" s="425"/>
      <c r="L55" s="422"/>
      <c r="M55" s="423"/>
      <c r="N55" s="423" t="s">
        <v>527</v>
      </c>
      <c r="O55" s="423"/>
      <c r="P55" s="443">
        <v>1</v>
      </c>
      <c r="Q55" s="424"/>
      <c r="R55" s="423"/>
      <c r="S55" s="423"/>
      <c r="T55" s="423"/>
      <c r="U55" s="425"/>
    </row>
    <row r="56" spans="1:21" x14ac:dyDescent="0.2">
      <c r="A56" s="422"/>
      <c r="B56" s="423"/>
      <c r="C56" s="423" t="s">
        <v>482</v>
      </c>
      <c r="D56" s="423"/>
      <c r="E56" s="21">
        <v>0.10913221960145011</v>
      </c>
      <c r="F56" s="424"/>
      <c r="G56" s="423"/>
      <c r="H56" s="423"/>
      <c r="I56" s="423"/>
      <c r="J56" s="425"/>
      <c r="L56" s="422"/>
      <c r="M56" s="423"/>
      <c r="N56" s="423" t="s">
        <v>492</v>
      </c>
      <c r="O56" s="423"/>
      <c r="P56" s="443">
        <v>1.3</v>
      </c>
      <c r="Q56" s="424"/>
      <c r="R56" s="423"/>
      <c r="S56" s="423"/>
      <c r="T56" s="423"/>
      <c r="U56" s="425"/>
    </row>
    <row r="57" spans="1:21" x14ac:dyDescent="0.2">
      <c r="A57" s="422"/>
      <c r="B57" s="423"/>
      <c r="C57" s="423" t="s">
        <v>483</v>
      </c>
      <c r="D57" s="423"/>
      <c r="E57" s="21">
        <v>0.11392709538746781</v>
      </c>
      <c r="F57" s="424"/>
      <c r="G57" s="423"/>
      <c r="H57" s="423"/>
      <c r="I57" s="423"/>
      <c r="J57" s="425"/>
      <c r="L57" s="422"/>
      <c r="M57" s="423"/>
      <c r="N57" s="423"/>
      <c r="O57" s="423"/>
      <c r="P57" s="426"/>
      <c r="Q57" s="424"/>
      <c r="R57" s="423"/>
      <c r="S57" s="423"/>
      <c r="T57" s="423"/>
      <c r="U57" s="425"/>
    </row>
    <row r="58" spans="1:21" x14ac:dyDescent="0.2">
      <c r="A58" s="422"/>
      <c r="B58" s="423"/>
      <c r="C58" s="423" t="s">
        <v>484</v>
      </c>
      <c r="D58" s="423"/>
      <c r="E58" s="428" t="s">
        <v>485</v>
      </c>
      <c r="F58" s="424"/>
      <c r="G58" s="423"/>
      <c r="H58" s="423"/>
      <c r="I58" s="423"/>
      <c r="J58" s="425"/>
      <c r="L58" s="422"/>
      <c r="M58" s="423"/>
      <c r="N58" s="423"/>
      <c r="O58" s="423"/>
      <c r="P58" s="426"/>
      <c r="Q58" s="424"/>
      <c r="R58" s="423"/>
      <c r="S58" s="423"/>
      <c r="T58" s="423"/>
      <c r="U58" s="425"/>
    </row>
    <row r="59" spans="1:21" x14ac:dyDescent="0.2">
      <c r="A59" s="422"/>
      <c r="B59" s="423"/>
      <c r="C59" s="423" t="s">
        <v>486</v>
      </c>
      <c r="D59" s="423"/>
      <c r="E59" s="21">
        <v>3.084855434447142E-2</v>
      </c>
      <c r="F59" s="424"/>
      <c r="G59" s="423"/>
      <c r="H59" s="423"/>
      <c r="I59" s="423"/>
      <c r="J59" s="425"/>
      <c r="L59" s="422"/>
      <c r="M59" s="423"/>
      <c r="N59" s="423"/>
      <c r="O59" s="423"/>
      <c r="P59" s="423"/>
      <c r="Q59" s="424"/>
      <c r="R59" s="423"/>
      <c r="S59" s="423"/>
      <c r="T59" s="423"/>
      <c r="U59" s="425"/>
    </row>
    <row r="60" spans="1:21" x14ac:dyDescent="0.2">
      <c r="A60" s="422"/>
      <c r="B60" s="423"/>
      <c r="C60" s="423" t="s">
        <v>487</v>
      </c>
      <c r="D60" s="423"/>
      <c r="E60" s="21">
        <v>9.516333051438065E-4</v>
      </c>
      <c r="F60" s="424"/>
      <c r="G60" s="423"/>
      <c r="H60" s="423"/>
      <c r="I60" s="423"/>
      <c r="J60" s="425"/>
      <c r="L60" s="422"/>
      <c r="M60" s="423"/>
      <c r="N60" s="423"/>
      <c r="O60" s="423"/>
      <c r="P60" s="423"/>
      <c r="Q60" s="424"/>
      <c r="R60" s="423"/>
      <c r="S60" s="423"/>
      <c r="T60" s="423"/>
      <c r="U60" s="425"/>
    </row>
    <row r="61" spans="1:21" x14ac:dyDescent="0.2">
      <c r="A61" s="422"/>
      <c r="B61" s="423"/>
      <c r="C61" s="423" t="s">
        <v>488</v>
      </c>
      <c r="D61" s="423"/>
      <c r="E61" s="429">
        <v>-0.5547044055920779</v>
      </c>
      <c r="F61" s="424"/>
      <c r="G61" s="423"/>
      <c r="H61" s="423"/>
      <c r="I61" s="423"/>
      <c r="J61" s="425"/>
      <c r="L61" s="422"/>
      <c r="M61" s="423"/>
      <c r="N61" s="423"/>
      <c r="O61" s="423"/>
      <c r="P61" s="423"/>
      <c r="Q61" s="424"/>
      <c r="R61" s="423"/>
      <c r="S61" s="423"/>
      <c r="T61" s="423"/>
      <c r="U61" s="425"/>
    </row>
    <row r="62" spans="1:21" x14ac:dyDescent="0.2">
      <c r="A62" s="422"/>
      <c r="B62" s="423"/>
      <c r="C62" s="423" t="s">
        <v>489</v>
      </c>
      <c r="D62" s="423"/>
      <c r="E62" s="430">
        <v>2.7371205295724925</v>
      </c>
      <c r="F62" s="424"/>
      <c r="G62" s="423"/>
      <c r="H62" s="423"/>
      <c r="I62" s="423"/>
      <c r="J62" s="425"/>
      <c r="L62" s="422"/>
      <c r="M62" s="423" t="s">
        <v>522</v>
      </c>
      <c r="N62" s="423"/>
      <c r="O62" s="423"/>
      <c r="P62" s="423"/>
      <c r="Q62" s="424"/>
      <c r="R62" s="423"/>
      <c r="S62" s="426" t="s">
        <v>523</v>
      </c>
      <c r="T62" s="423"/>
      <c r="U62" s="425"/>
    </row>
    <row r="63" spans="1:21" x14ac:dyDescent="0.2">
      <c r="A63" s="422"/>
      <c r="B63" s="423"/>
      <c r="C63" s="423" t="s">
        <v>490</v>
      </c>
      <c r="D63" s="423"/>
      <c r="E63" s="429">
        <v>0.28267137291929062</v>
      </c>
      <c r="F63" s="424"/>
      <c r="G63" s="423"/>
      <c r="H63" s="423"/>
      <c r="I63" s="423"/>
      <c r="J63" s="425"/>
      <c r="L63" s="887"/>
      <c r="M63" s="435"/>
      <c r="N63" s="435" t="s">
        <v>644</v>
      </c>
      <c r="O63" s="435"/>
      <c r="P63" s="435"/>
      <c r="Q63" s="437"/>
      <c r="R63" s="888"/>
      <c r="S63" s="888">
        <v>0.5</v>
      </c>
      <c r="T63" s="435"/>
      <c r="U63" s="438"/>
    </row>
    <row r="64" spans="1:21" x14ac:dyDescent="0.2">
      <c r="A64" s="422"/>
      <c r="B64" s="423"/>
      <c r="C64" s="423" t="s">
        <v>491</v>
      </c>
      <c r="D64" s="423"/>
      <c r="E64" s="21">
        <v>1.2299632903302049E-2</v>
      </c>
      <c r="F64" s="424"/>
      <c r="G64" s="423"/>
      <c r="H64" s="423"/>
      <c r="I64" s="423"/>
      <c r="J64" s="425"/>
      <c r="Q64" s="416"/>
      <c r="U64" s="415"/>
    </row>
    <row r="65" spans="1:21" x14ac:dyDescent="0.2">
      <c r="A65" s="422"/>
      <c r="B65" s="423"/>
      <c r="C65" s="423" t="s">
        <v>492</v>
      </c>
      <c r="D65" s="423"/>
      <c r="E65" s="21">
        <v>0.1706406460951948</v>
      </c>
      <c r="F65" s="424"/>
      <c r="G65" s="423"/>
      <c r="H65" s="423"/>
      <c r="I65" s="423"/>
      <c r="J65" s="425"/>
      <c r="L65" t="s">
        <v>530</v>
      </c>
      <c r="Q65" s="416"/>
      <c r="U65" s="415"/>
    </row>
    <row r="66" spans="1:21" x14ac:dyDescent="0.2">
      <c r="A66" s="422"/>
      <c r="B66" s="423"/>
      <c r="C66" s="423" t="s">
        <v>493</v>
      </c>
      <c r="D66" s="423"/>
      <c r="E66" s="21">
        <v>0.15834101319189275</v>
      </c>
      <c r="F66" s="424"/>
      <c r="G66" s="423"/>
      <c r="H66" s="423"/>
      <c r="I66" s="423"/>
      <c r="J66" s="425"/>
    </row>
    <row r="67" spans="1:21" x14ac:dyDescent="0.2">
      <c r="A67" s="422"/>
      <c r="B67" s="423"/>
      <c r="C67" s="423" t="s">
        <v>494</v>
      </c>
      <c r="D67" s="423"/>
      <c r="E67" s="21">
        <v>3.084855434447142E-4</v>
      </c>
      <c r="F67" s="424"/>
      <c r="G67" s="423"/>
      <c r="H67" s="423"/>
      <c r="I67" s="423"/>
      <c r="J67" s="425"/>
    </row>
    <row r="68" spans="1:21" x14ac:dyDescent="0.2">
      <c r="A68" s="422"/>
      <c r="B68" s="423"/>
      <c r="C68" s="423"/>
      <c r="D68" s="423"/>
      <c r="E68" s="423"/>
      <c r="F68" s="424"/>
      <c r="G68" s="423"/>
      <c r="H68" s="423"/>
      <c r="I68" s="423"/>
      <c r="J68" s="425"/>
    </row>
    <row r="69" spans="1:21" x14ac:dyDescent="0.2">
      <c r="A69" s="431" t="s">
        <v>495</v>
      </c>
      <c r="B69" s="432"/>
      <c r="C69" s="432"/>
      <c r="D69" s="432"/>
      <c r="E69" s="432"/>
      <c r="F69" s="433"/>
      <c r="G69" s="432"/>
      <c r="H69" s="432"/>
      <c r="I69" s="432"/>
      <c r="J69" s="434" t="s">
        <v>475</v>
      </c>
      <c r="K69" s="886"/>
    </row>
    <row r="70" spans="1:21" x14ac:dyDescent="0.2">
      <c r="A70" s="422"/>
      <c r="B70" s="423"/>
      <c r="C70" s="423"/>
      <c r="D70" s="423"/>
      <c r="E70" s="423"/>
      <c r="F70" s="424"/>
      <c r="G70" s="423"/>
      <c r="H70" s="423"/>
      <c r="I70" s="423"/>
      <c r="J70" s="425"/>
    </row>
    <row r="71" spans="1:21" x14ac:dyDescent="0.2">
      <c r="A71" s="422"/>
      <c r="B71" s="423" t="s">
        <v>496</v>
      </c>
      <c r="C71" s="423"/>
      <c r="D71" s="423"/>
      <c r="E71" s="426" t="s">
        <v>479</v>
      </c>
      <c r="F71" s="424"/>
      <c r="G71" s="423"/>
      <c r="H71" s="423"/>
      <c r="I71" s="423"/>
      <c r="J71" s="425"/>
    </row>
    <row r="72" spans="1:21" x14ac:dyDescent="0.2">
      <c r="A72" s="422"/>
      <c r="B72" s="423"/>
      <c r="C72" s="423" t="s">
        <v>531</v>
      </c>
      <c r="D72" s="423"/>
      <c r="E72" s="21">
        <v>1.2299632903302E-2</v>
      </c>
      <c r="F72" s="424"/>
      <c r="G72" s="423"/>
      <c r="H72" s="423"/>
      <c r="I72" s="423"/>
      <c r="J72" s="425"/>
    </row>
    <row r="73" spans="1:21" x14ac:dyDescent="0.2">
      <c r="A73" s="422"/>
      <c r="B73" s="423"/>
      <c r="C73" s="423" t="s">
        <v>532</v>
      </c>
      <c r="D73" s="423"/>
      <c r="E73" s="21">
        <v>6.4392445762707001E-2</v>
      </c>
      <c r="F73" s="424"/>
      <c r="G73" s="423"/>
      <c r="H73" s="423"/>
      <c r="I73" s="423"/>
      <c r="J73" s="425"/>
    </row>
    <row r="74" spans="1:21" x14ac:dyDescent="0.2">
      <c r="A74" s="422"/>
      <c r="B74" s="423"/>
      <c r="C74" s="423" t="s">
        <v>533</v>
      </c>
      <c r="D74" s="423"/>
      <c r="E74" s="21">
        <v>8.2325651683939002E-2</v>
      </c>
      <c r="F74" s="424"/>
      <c r="G74" s="423"/>
      <c r="H74" s="423"/>
      <c r="I74" s="423"/>
      <c r="J74" s="425"/>
    </row>
    <row r="75" spans="1:21" x14ac:dyDescent="0.2">
      <c r="A75" s="422"/>
      <c r="B75" s="423"/>
      <c r="C75" s="423" t="s">
        <v>534</v>
      </c>
      <c r="D75" s="423"/>
      <c r="E75" s="21">
        <v>9.5408178417965006E-2</v>
      </c>
      <c r="F75" s="424"/>
      <c r="G75" s="423"/>
      <c r="H75" s="423"/>
      <c r="I75" s="423"/>
      <c r="J75" s="425"/>
    </row>
    <row r="76" spans="1:21" x14ac:dyDescent="0.2">
      <c r="A76" s="422"/>
      <c r="B76" s="423"/>
      <c r="C76" s="423" t="s">
        <v>535</v>
      </c>
      <c r="D76" s="423"/>
      <c r="E76" s="21">
        <v>0.105547257364492</v>
      </c>
      <c r="F76" s="424"/>
      <c r="G76" s="423"/>
      <c r="H76" s="423"/>
      <c r="I76" s="423"/>
      <c r="J76" s="425"/>
    </row>
    <row r="77" spans="1:21" x14ac:dyDescent="0.2">
      <c r="A77" s="422"/>
      <c r="B77" s="423"/>
      <c r="C77" s="423" t="s">
        <v>536</v>
      </c>
      <c r="D77" s="423"/>
      <c r="E77" s="21">
        <v>0.113923850600326</v>
      </c>
      <c r="F77" s="424"/>
      <c r="G77" s="423"/>
      <c r="H77" s="423"/>
      <c r="I77" s="423"/>
      <c r="J77" s="425"/>
    </row>
    <row r="78" spans="1:21" x14ac:dyDescent="0.2">
      <c r="A78" s="422"/>
      <c r="B78" s="423"/>
      <c r="C78" s="423" t="s">
        <v>537</v>
      </c>
      <c r="D78" s="423"/>
      <c r="E78" s="21">
        <v>0.121252071405547</v>
      </c>
      <c r="F78" s="424"/>
      <c r="G78" s="423"/>
      <c r="H78" s="423"/>
      <c r="I78" s="423"/>
      <c r="J78" s="425"/>
    </row>
    <row r="79" spans="1:21" x14ac:dyDescent="0.2">
      <c r="A79" s="422"/>
      <c r="B79" s="423"/>
      <c r="C79" s="423" t="s">
        <v>538</v>
      </c>
      <c r="D79" s="423"/>
      <c r="E79" s="21">
        <v>0.12821375767380899</v>
      </c>
      <c r="F79" s="424"/>
      <c r="G79" s="423"/>
      <c r="H79" s="423"/>
      <c r="I79" s="423"/>
      <c r="J79" s="425"/>
    </row>
    <row r="80" spans="1:21" x14ac:dyDescent="0.2">
      <c r="A80" s="422"/>
      <c r="B80" s="423"/>
      <c r="C80" s="423" t="s">
        <v>539</v>
      </c>
      <c r="D80" s="423"/>
      <c r="E80" s="21">
        <v>0.13631576755588001</v>
      </c>
      <c r="F80" s="424"/>
      <c r="G80" s="423"/>
      <c r="H80" s="423"/>
      <c r="I80" s="423"/>
      <c r="J80" s="425"/>
    </row>
    <row r="81" spans="1:11" x14ac:dyDescent="0.2">
      <c r="A81" s="422"/>
      <c r="B81" s="423"/>
      <c r="C81" s="423" t="s">
        <v>540</v>
      </c>
      <c r="D81" s="423"/>
      <c r="E81" s="21">
        <v>0.14613056818688799</v>
      </c>
      <c r="F81" s="424"/>
      <c r="G81" s="423"/>
      <c r="H81" s="423"/>
      <c r="I81" s="423"/>
      <c r="J81" s="425"/>
    </row>
    <row r="82" spans="1:11" x14ac:dyDescent="0.2">
      <c r="A82" s="422"/>
      <c r="B82" s="423"/>
      <c r="C82" s="423" t="s">
        <v>541</v>
      </c>
      <c r="D82" s="423"/>
      <c r="E82" s="21">
        <v>0.170640646095195</v>
      </c>
      <c r="F82" s="424"/>
      <c r="G82" s="423"/>
      <c r="H82" s="423"/>
      <c r="I82" s="423"/>
      <c r="J82" s="425"/>
    </row>
    <row r="83" spans="1:11" x14ac:dyDescent="0.2">
      <c r="A83" s="422"/>
      <c r="B83" s="423"/>
      <c r="C83" s="423"/>
      <c r="D83" s="423"/>
      <c r="E83" s="423"/>
      <c r="F83" s="424"/>
      <c r="G83" s="423"/>
      <c r="H83" s="423"/>
      <c r="I83" s="423"/>
      <c r="J83" s="425"/>
    </row>
    <row r="84" spans="1:11" x14ac:dyDescent="0.2">
      <c r="A84" s="431" t="s">
        <v>497</v>
      </c>
      <c r="B84" s="432"/>
      <c r="C84" s="432"/>
      <c r="D84" s="432"/>
      <c r="E84" s="432"/>
      <c r="F84" s="433"/>
      <c r="G84" s="432"/>
      <c r="H84" s="432"/>
      <c r="I84" s="432"/>
      <c r="J84" s="434" t="s">
        <v>498</v>
      </c>
      <c r="K84" s="886"/>
    </row>
    <row r="85" spans="1:11" x14ac:dyDescent="0.2">
      <c r="A85" s="422"/>
      <c r="B85" s="423"/>
      <c r="C85" s="423"/>
      <c r="D85" s="423"/>
      <c r="E85" s="423"/>
      <c r="F85" s="424"/>
      <c r="G85" s="423"/>
      <c r="H85" s="423"/>
      <c r="I85" s="423"/>
      <c r="J85" s="425"/>
    </row>
    <row r="86" spans="1:11" x14ac:dyDescent="0.2">
      <c r="A86" s="422"/>
      <c r="B86" s="423" t="s">
        <v>476</v>
      </c>
      <c r="C86" s="423"/>
      <c r="D86" s="423"/>
      <c r="E86" s="423"/>
      <c r="F86" s="424"/>
      <c r="G86" s="423"/>
      <c r="H86" s="423"/>
      <c r="I86" s="423"/>
      <c r="J86" s="425"/>
    </row>
    <row r="87" spans="1:11" x14ac:dyDescent="0.2">
      <c r="A87" s="422"/>
      <c r="B87" s="423"/>
      <c r="C87" s="423" t="s">
        <v>645</v>
      </c>
      <c r="D87" s="423"/>
      <c r="E87" s="423"/>
      <c r="F87" s="424"/>
      <c r="G87" s="423"/>
      <c r="H87" s="423"/>
      <c r="I87" s="423"/>
      <c r="J87" s="425"/>
    </row>
    <row r="88" spans="1:11" x14ac:dyDescent="0.2">
      <c r="A88" s="422"/>
      <c r="B88" s="423"/>
      <c r="C88" s="423" t="s">
        <v>477</v>
      </c>
      <c r="D88" s="423"/>
      <c r="E88" s="423"/>
      <c r="F88" s="424"/>
      <c r="G88" s="423"/>
      <c r="H88" s="423"/>
      <c r="I88" s="423"/>
      <c r="J88" s="425"/>
    </row>
    <row r="89" spans="1:11" x14ac:dyDescent="0.2">
      <c r="A89" s="422"/>
      <c r="B89" s="423"/>
      <c r="C89" s="423" t="s">
        <v>646</v>
      </c>
      <c r="D89" s="423"/>
      <c r="E89" s="423"/>
      <c r="F89" s="424"/>
      <c r="G89" s="423"/>
      <c r="H89" s="423"/>
      <c r="I89" s="423"/>
      <c r="J89" s="425"/>
    </row>
    <row r="90" spans="1:11" x14ac:dyDescent="0.2">
      <c r="A90" s="422"/>
      <c r="B90" s="423"/>
      <c r="C90" s="423" t="s">
        <v>647</v>
      </c>
      <c r="D90" s="423"/>
      <c r="E90" s="423"/>
      <c r="F90" s="424"/>
      <c r="G90" s="423"/>
      <c r="H90" s="423"/>
      <c r="I90" s="423"/>
      <c r="J90" s="425"/>
    </row>
    <row r="91" spans="1:11" x14ac:dyDescent="0.2">
      <c r="A91" s="422"/>
      <c r="B91" s="423"/>
      <c r="C91" s="423" t="s">
        <v>642</v>
      </c>
      <c r="D91" s="423"/>
      <c r="E91" s="423"/>
      <c r="F91" s="424"/>
      <c r="G91" s="423"/>
      <c r="H91" s="423"/>
      <c r="I91" s="423"/>
      <c r="J91" s="425"/>
    </row>
    <row r="92" spans="1:11" x14ac:dyDescent="0.2">
      <c r="A92" s="422"/>
      <c r="B92" s="423"/>
      <c r="C92" s="423"/>
      <c r="D92" s="423"/>
      <c r="E92" s="423"/>
      <c r="F92" s="424"/>
      <c r="G92" s="423"/>
      <c r="H92" s="423"/>
      <c r="I92" s="423"/>
      <c r="J92" s="425"/>
    </row>
    <row r="93" spans="1:11" x14ac:dyDescent="0.2">
      <c r="A93" s="422"/>
      <c r="B93" s="423"/>
      <c r="C93" s="423"/>
      <c r="D93" s="423"/>
      <c r="E93" s="423"/>
      <c r="F93" s="424"/>
      <c r="G93" s="423"/>
      <c r="H93" s="423"/>
      <c r="I93" s="423"/>
      <c r="J93" s="425"/>
    </row>
    <row r="94" spans="1:11" x14ac:dyDescent="0.2">
      <c r="A94" s="422"/>
      <c r="B94" s="423"/>
      <c r="C94" s="423"/>
      <c r="D94" s="423"/>
      <c r="E94" s="423"/>
      <c r="F94" s="424"/>
      <c r="G94" s="423"/>
      <c r="H94" s="423"/>
      <c r="I94" s="423"/>
      <c r="J94" s="425"/>
    </row>
    <row r="95" spans="1:11" x14ac:dyDescent="0.2">
      <c r="A95" s="422"/>
      <c r="B95" s="423"/>
      <c r="C95" s="423"/>
      <c r="D95" s="423"/>
      <c r="E95" s="423"/>
      <c r="F95" s="424"/>
      <c r="G95" s="423"/>
      <c r="H95" s="423"/>
      <c r="I95" s="423"/>
      <c r="J95" s="425"/>
    </row>
    <row r="96" spans="1:11" x14ac:dyDescent="0.2">
      <c r="A96" s="422"/>
      <c r="B96" s="423"/>
      <c r="C96" s="423"/>
      <c r="D96" s="423"/>
      <c r="E96" s="423"/>
      <c r="F96" s="424"/>
      <c r="G96" s="423"/>
      <c r="H96" s="423"/>
      <c r="I96" s="423"/>
      <c r="J96" s="425"/>
    </row>
    <row r="97" spans="1:10" x14ac:dyDescent="0.2">
      <c r="A97" s="422"/>
      <c r="B97" s="423"/>
      <c r="C97" s="423"/>
      <c r="D97" s="423"/>
      <c r="E97" s="423"/>
      <c r="F97" s="424"/>
      <c r="G97" s="423"/>
      <c r="H97" s="423"/>
      <c r="I97" s="423"/>
      <c r="J97" s="425"/>
    </row>
    <row r="98" spans="1:10" x14ac:dyDescent="0.2">
      <c r="A98" s="422"/>
      <c r="B98" s="423"/>
      <c r="C98" s="423"/>
      <c r="D98" s="423"/>
      <c r="E98" s="423"/>
      <c r="F98" s="424"/>
      <c r="G98" s="423"/>
      <c r="H98" s="423"/>
      <c r="I98" s="423"/>
      <c r="J98" s="425"/>
    </row>
    <row r="99" spans="1:10" x14ac:dyDescent="0.2">
      <c r="A99" s="422"/>
      <c r="B99" s="423"/>
      <c r="C99" s="423"/>
      <c r="D99" s="423"/>
      <c r="E99" s="423"/>
      <c r="F99" s="424"/>
      <c r="G99" s="423"/>
      <c r="H99" s="423"/>
      <c r="I99" s="423"/>
      <c r="J99" s="425"/>
    </row>
    <row r="100" spans="1:10" x14ac:dyDescent="0.2">
      <c r="A100" s="422"/>
      <c r="B100" s="423"/>
      <c r="C100" s="423"/>
      <c r="D100" s="423"/>
      <c r="E100" s="423"/>
      <c r="F100" s="424"/>
      <c r="G100" s="423"/>
      <c r="H100" s="423"/>
      <c r="I100" s="423"/>
      <c r="J100" s="425"/>
    </row>
    <row r="101" spans="1:10" x14ac:dyDescent="0.2">
      <c r="A101" s="422"/>
      <c r="B101" s="423"/>
      <c r="C101" s="423"/>
      <c r="D101" s="423"/>
      <c r="E101" s="423"/>
      <c r="F101" s="424"/>
      <c r="G101" s="423"/>
      <c r="H101" s="423"/>
      <c r="I101" s="423"/>
      <c r="J101" s="425"/>
    </row>
    <row r="102" spans="1:10" x14ac:dyDescent="0.2">
      <c r="A102" s="422"/>
      <c r="B102" s="423"/>
      <c r="C102" s="423"/>
      <c r="D102" s="423"/>
      <c r="E102" s="423"/>
      <c r="F102" s="424"/>
      <c r="G102" s="423"/>
      <c r="H102" s="423"/>
      <c r="I102" s="423"/>
      <c r="J102" s="425"/>
    </row>
    <row r="103" spans="1:10" x14ac:dyDescent="0.2">
      <c r="A103" s="422"/>
      <c r="B103" s="423"/>
      <c r="C103" s="423"/>
      <c r="D103" s="423"/>
      <c r="E103" s="423"/>
      <c r="F103" s="424"/>
      <c r="G103" s="423"/>
      <c r="H103" s="423"/>
      <c r="I103" s="423"/>
      <c r="J103" s="425"/>
    </row>
    <row r="104" spans="1:10" x14ac:dyDescent="0.2">
      <c r="A104" s="422"/>
      <c r="B104" s="423"/>
      <c r="C104" s="423"/>
      <c r="D104" s="423"/>
      <c r="E104" s="423"/>
      <c r="F104" s="424"/>
      <c r="G104" s="423"/>
      <c r="H104" s="423"/>
      <c r="I104" s="423"/>
      <c r="J104" s="425"/>
    </row>
    <row r="105" spans="1:10" x14ac:dyDescent="0.2">
      <c r="A105" s="422"/>
      <c r="B105" s="423"/>
      <c r="C105" s="423"/>
      <c r="D105" s="423"/>
      <c r="E105" s="423"/>
      <c r="F105" s="424"/>
      <c r="G105" s="423"/>
      <c r="H105" s="423"/>
      <c r="I105" s="423"/>
      <c r="J105" s="425"/>
    </row>
    <row r="106" spans="1:10" x14ac:dyDescent="0.2">
      <c r="A106" s="422"/>
      <c r="B106" s="423"/>
      <c r="C106" s="423"/>
      <c r="D106" s="423"/>
      <c r="E106" s="423"/>
      <c r="F106" s="424"/>
      <c r="G106" s="423"/>
      <c r="H106" s="423"/>
      <c r="I106" s="423"/>
      <c r="J106" s="425"/>
    </row>
    <row r="107" spans="1:10" x14ac:dyDescent="0.2">
      <c r="A107" s="422"/>
      <c r="B107" s="423"/>
      <c r="C107" s="423"/>
      <c r="D107" s="423"/>
      <c r="E107" s="423"/>
      <c r="F107" s="424"/>
      <c r="G107" s="423"/>
      <c r="H107" s="423"/>
      <c r="I107" s="423"/>
      <c r="J107" s="425"/>
    </row>
    <row r="108" spans="1:10" x14ac:dyDescent="0.2">
      <c r="A108" s="422"/>
      <c r="B108" s="423"/>
      <c r="C108" s="423"/>
      <c r="D108" s="423"/>
      <c r="E108" s="423"/>
      <c r="F108" s="424"/>
      <c r="G108" s="423"/>
      <c r="H108" s="423"/>
      <c r="I108" s="423"/>
      <c r="J108" s="425"/>
    </row>
    <row r="109" spans="1:10" x14ac:dyDescent="0.2">
      <c r="A109" s="422"/>
      <c r="B109" s="423"/>
      <c r="C109" s="423"/>
      <c r="D109" s="423"/>
      <c r="E109" s="423"/>
      <c r="F109" s="424"/>
      <c r="G109" s="423"/>
      <c r="H109" s="423"/>
      <c r="I109" s="423"/>
      <c r="J109" s="425"/>
    </row>
    <row r="110" spans="1:10" x14ac:dyDescent="0.2">
      <c r="A110" s="422"/>
      <c r="B110" s="423"/>
      <c r="C110" s="423"/>
      <c r="D110" s="423"/>
      <c r="E110" s="423"/>
      <c r="F110" s="424"/>
      <c r="G110" s="423"/>
      <c r="H110" s="423"/>
      <c r="I110" s="423"/>
      <c r="J110" s="425"/>
    </row>
    <row r="111" spans="1:10" x14ac:dyDescent="0.2">
      <c r="A111" s="422"/>
      <c r="B111" s="423" t="s">
        <v>478</v>
      </c>
      <c r="C111" s="423"/>
      <c r="D111" s="423"/>
      <c r="E111" s="426" t="s">
        <v>479</v>
      </c>
      <c r="F111" s="424"/>
      <c r="G111" s="423"/>
      <c r="H111" s="423"/>
      <c r="I111" s="423"/>
      <c r="J111" s="425"/>
    </row>
    <row r="112" spans="1:10" x14ac:dyDescent="0.2">
      <c r="A112" s="422"/>
      <c r="B112" s="423"/>
      <c r="C112" s="423" t="s">
        <v>480</v>
      </c>
      <c r="D112" s="423"/>
      <c r="E112" s="427">
        <v>10000</v>
      </c>
      <c r="F112" s="424"/>
      <c r="G112" s="423"/>
      <c r="H112" s="423"/>
      <c r="I112" s="423"/>
      <c r="J112" s="425"/>
    </row>
    <row r="113" spans="1:11" x14ac:dyDescent="0.2">
      <c r="A113" s="422"/>
      <c r="B113" s="423"/>
      <c r="C113" s="423" t="s">
        <v>481</v>
      </c>
      <c r="D113" s="423"/>
      <c r="E113" s="21">
        <v>0.1179894267787398</v>
      </c>
      <c r="F113" s="424"/>
      <c r="G113" s="423"/>
      <c r="H113" s="423"/>
      <c r="I113" s="423"/>
      <c r="J113" s="425"/>
    </row>
    <row r="114" spans="1:11" x14ac:dyDescent="0.2">
      <c r="A114" s="422"/>
      <c r="B114" s="423"/>
      <c r="C114" s="423" t="s">
        <v>482</v>
      </c>
      <c r="D114" s="423"/>
      <c r="E114" s="21">
        <v>0.100960027111267</v>
      </c>
      <c r="F114" s="424"/>
      <c r="G114" s="423"/>
      <c r="H114" s="423"/>
      <c r="I114" s="423"/>
      <c r="J114" s="425"/>
    </row>
    <row r="115" spans="1:11" x14ac:dyDescent="0.2">
      <c r="A115" s="422"/>
      <c r="B115" s="423"/>
      <c r="C115" s="423" t="s">
        <v>483</v>
      </c>
      <c r="D115" s="423"/>
      <c r="E115" s="21">
        <v>0.1068158052754854</v>
      </c>
      <c r="F115" s="424"/>
      <c r="G115" s="423"/>
      <c r="H115" s="423"/>
      <c r="I115" s="423"/>
      <c r="J115" s="425"/>
    </row>
    <row r="116" spans="1:11" x14ac:dyDescent="0.2">
      <c r="A116" s="422"/>
      <c r="B116" s="423"/>
      <c r="C116" s="423" t="s">
        <v>484</v>
      </c>
      <c r="D116" s="423"/>
      <c r="E116" s="428" t="s">
        <v>485</v>
      </c>
      <c r="F116" s="424"/>
      <c r="G116" s="423"/>
      <c r="H116" s="423"/>
      <c r="I116" s="423"/>
      <c r="J116" s="425"/>
    </row>
    <row r="117" spans="1:11" x14ac:dyDescent="0.2">
      <c r="A117" s="422"/>
      <c r="B117" s="423"/>
      <c r="C117" s="423" t="s">
        <v>486</v>
      </c>
      <c r="D117" s="423"/>
      <c r="E117" s="21">
        <v>3.6054757329761947E-2</v>
      </c>
      <c r="F117" s="424"/>
      <c r="G117" s="423"/>
      <c r="H117" s="423"/>
      <c r="I117" s="423"/>
      <c r="J117" s="425"/>
    </row>
    <row r="118" spans="1:11" x14ac:dyDescent="0.2">
      <c r="A118" s="422"/>
      <c r="B118" s="423"/>
      <c r="C118" s="423" t="s">
        <v>487</v>
      </c>
      <c r="D118" s="423"/>
      <c r="E118" s="21">
        <v>1.2999455261080226E-3</v>
      </c>
      <c r="F118" s="424"/>
      <c r="G118" s="423"/>
      <c r="H118" s="423"/>
      <c r="I118" s="423"/>
      <c r="J118" s="425"/>
    </row>
    <row r="119" spans="1:11" x14ac:dyDescent="0.2">
      <c r="A119" s="422"/>
      <c r="B119" s="423"/>
      <c r="C119" s="423" t="s">
        <v>488</v>
      </c>
      <c r="D119" s="423"/>
      <c r="E119" s="429">
        <v>-0.58917516655933966</v>
      </c>
      <c r="F119" s="424"/>
      <c r="G119" s="423"/>
      <c r="H119" s="423"/>
      <c r="I119" s="423"/>
      <c r="J119" s="425"/>
    </row>
    <row r="120" spans="1:11" x14ac:dyDescent="0.2">
      <c r="A120" s="422"/>
      <c r="B120" s="423"/>
      <c r="C120" s="423" t="s">
        <v>489</v>
      </c>
      <c r="D120" s="423"/>
      <c r="E120" s="430">
        <v>2.8112091657098044</v>
      </c>
      <c r="F120" s="424"/>
      <c r="G120" s="423"/>
      <c r="H120" s="423"/>
      <c r="I120" s="423"/>
      <c r="J120" s="425"/>
    </row>
    <row r="121" spans="1:11" x14ac:dyDescent="0.2">
      <c r="A121" s="422"/>
      <c r="B121" s="423"/>
      <c r="C121" s="423" t="s">
        <v>490</v>
      </c>
      <c r="D121" s="423"/>
      <c r="E121" s="429">
        <v>0.35711913280318724</v>
      </c>
      <c r="F121" s="424"/>
      <c r="G121" s="423"/>
      <c r="H121" s="423"/>
      <c r="I121" s="423"/>
      <c r="J121" s="425"/>
    </row>
    <row r="122" spans="1:11" x14ac:dyDescent="0.2">
      <c r="A122" s="422"/>
      <c r="B122" s="423"/>
      <c r="C122" s="423" t="s">
        <v>491</v>
      </c>
      <c r="D122" s="423"/>
      <c r="E122" s="21">
        <v>-1.8415252357832146E-2</v>
      </c>
      <c r="F122" s="424"/>
      <c r="G122" s="423"/>
      <c r="H122" s="423"/>
      <c r="I122" s="423"/>
      <c r="J122" s="425"/>
    </row>
    <row r="123" spans="1:11" x14ac:dyDescent="0.2">
      <c r="A123" s="422"/>
      <c r="B123" s="423"/>
      <c r="C123" s="423" t="s">
        <v>492</v>
      </c>
      <c r="D123" s="423"/>
      <c r="E123" s="21">
        <v>0.1743039178617416</v>
      </c>
      <c r="F123" s="424"/>
      <c r="G123" s="423"/>
      <c r="H123" s="423"/>
      <c r="I123" s="423"/>
      <c r="J123" s="425"/>
    </row>
    <row r="124" spans="1:11" x14ac:dyDescent="0.2">
      <c r="A124" s="422"/>
      <c r="B124" s="423"/>
      <c r="C124" s="423" t="s">
        <v>493</v>
      </c>
      <c r="D124" s="423"/>
      <c r="E124" s="21">
        <v>0.19271917021957374</v>
      </c>
      <c r="F124" s="424"/>
      <c r="G124" s="423"/>
      <c r="H124" s="423"/>
      <c r="I124" s="423"/>
      <c r="J124" s="425"/>
    </row>
    <row r="125" spans="1:11" x14ac:dyDescent="0.2">
      <c r="A125" s="422"/>
      <c r="B125" s="423"/>
      <c r="C125" s="423" t="s">
        <v>494</v>
      </c>
      <c r="D125" s="423"/>
      <c r="E125" s="21">
        <v>3.6054757329761946E-4</v>
      </c>
      <c r="F125" s="424"/>
      <c r="G125" s="423"/>
      <c r="H125" s="423"/>
      <c r="I125" s="423"/>
      <c r="J125" s="425"/>
    </row>
    <row r="126" spans="1:11" x14ac:dyDescent="0.2">
      <c r="A126" s="422"/>
      <c r="B126" s="423"/>
      <c r="C126" s="423"/>
      <c r="D126" s="423"/>
      <c r="E126" s="423"/>
      <c r="F126" s="424"/>
      <c r="G126" s="423"/>
      <c r="H126" s="423"/>
      <c r="I126" s="423"/>
      <c r="J126" s="425"/>
    </row>
    <row r="127" spans="1:11" x14ac:dyDescent="0.2">
      <c r="A127" s="431" t="s">
        <v>499</v>
      </c>
      <c r="B127" s="432"/>
      <c r="C127" s="432"/>
      <c r="D127" s="432"/>
      <c r="E127" s="432"/>
      <c r="F127" s="433"/>
      <c r="G127" s="432"/>
      <c r="H127" s="432"/>
      <c r="I127" s="432"/>
      <c r="J127" s="434" t="s">
        <v>498</v>
      </c>
      <c r="K127" s="886"/>
    </row>
    <row r="128" spans="1:11" x14ac:dyDescent="0.2">
      <c r="A128" s="422"/>
      <c r="B128" s="423"/>
      <c r="C128" s="423"/>
      <c r="D128" s="423"/>
      <c r="E128" s="423"/>
      <c r="F128" s="424"/>
      <c r="G128" s="423"/>
      <c r="H128" s="423"/>
      <c r="I128" s="423"/>
      <c r="J128" s="425"/>
    </row>
    <row r="129" spans="1:11" x14ac:dyDescent="0.2">
      <c r="A129" s="422"/>
      <c r="B129" s="423" t="s">
        <v>496</v>
      </c>
      <c r="C129" s="423"/>
      <c r="D129" s="423"/>
      <c r="E129" s="426" t="s">
        <v>479</v>
      </c>
      <c r="F129" s="424"/>
      <c r="G129" s="423"/>
      <c r="H129" s="423"/>
      <c r="I129" s="423"/>
      <c r="J129" s="425"/>
    </row>
    <row r="130" spans="1:11" x14ac:dyDescent="0.2">
      <c r="A130" s="422"/>
      <c r="B130" s="423"/>
      <c r="C130" s="423" t="s">
        <v>531</v>
      </c>
      <c r="D130" s="423"/>
      <c r="E130" s="21">
        <v>-1.8415252357832146E-2</v>
      </c>
      <c r="F130" s="424"/>
      <c r="G130" s="423"/>
      <c r="H130" s="423"/>
      <c r="I130" s="423"/>
      <c r="J130" s="425"/>
    </row>
    <row r="131" spans="1:11" x14ac:dyDescent="0.2">
      <c r="A131" s="422"/>
      <c r="B131" s="423"/>
      <c r="C131" s="423" t="s">
        <v>532</v>
      </c>
      <c r="D131" s="423"/>
      <c r="E131" s="21">
        <v>4.8872356611815E-2</v>
      </c>
      <c r="F131" s="424"/>
      <c r="G131" s="423"/>
      <c r="H131" s="423"/>
      <c r="I131" s="423"/>
      <c r="J131" s="425"/>
    </row>
    <row r="132" spans="1:11" x14ac:dyDescent="0.2">
      <c r="A132" s="422"/>
      <c r="B132" s="423"/>
      <c r="C132" s="423" t="s">
        <v>533</v>
      </c>
      <c r="D132" s="423"/>
      <c r="E132" s="21">
        <v>7.0156967915703999E-2</v>
      </c>
      <c r="F132" s="424"/>
      <c r="G132" s="423"/>
      <c r="H132" s="423"/>
      <c r="I132" s="423"/>
      <c r="J132" s="425"/>
    </row>
    <row r="133" spans="1:11" x14ac:dyDescent="0.2">
      <c r="A133" s="422"/>
      <c r="B133" s="423"/>
      <c r="C133" s="423" t="s">
        <v>534</v>
      </c>
      <c r="D133" s="423"/>
      <c r="E133" s="21">
        <v>8.5171288633777001E-2</v>
      </c>
      <c r="F133" s="424"/>
      <c r="G133" s="423"/>
      <c r="H133" s="423"/>
      <c r="I133" s="423"/>
      <c r="J133" s="425"/>
    </row>
    <row r="134" spans="1:11" x14ac:dyDescent="0.2">
      <c r="A134" s="422"/>
      <c r="B134" s="423"/>
      <c r="C134" s="423" t="s">
        <v>535</v>
      </c>
      <c r="D134" s="423"/>
      <c r="E134" s="21">
        <v>9.6934451248657003E-2</v>
      </c>
      <c r="F134" s="424"/>
      <c r="G134" s="423"/>
      <c r="H134" s="423"/>
      <c r="I134" s="423"/>
      <c r="J134" s="425"/>
    </row>
    <row r="135" spans="1:11" x14ac:dyDescent="0.2">
      <c r="A135" s="422"/>
      <c r="B135" s="423"/>
      <c r="C135" s="423" t="s">
        <v>536</v>
      </c>
      <c r="D135" s="423"/>
      <c r="E135" s="21">
        <v>0.10681448999707401</v>
      </c>
      <c r="F135" s="424"/>
      <c r="G135" s="423"/>
      <c r="H135" s="423"/>
      <c r="I135" s="423"/>
      <c r="J135" s="425"/>
    </row>
    <row r="136" spans="1:11" x14ac:dyDescent="0.2">
      <c r="A136" s="422"/>
      <c r="B136" s="423"/>
      <c r="C136" s="423" t="s">
        <v>537</v>
      </c>
      <c r="D136" s="423"/>
      <c r="E136" s="21">
        <v>0.115289650209436</v>
      </c>
      <c r="F136" s="424"/>
      <c r="G136" s="423"/>
      <c r="H136" s="423"/>
      <c r="I136" s="423"/>
      <c r="J136" s="425"/>
    </row>
    <row r="137" spans="1:11" x14ac:dyDescent="0.2">
      <c r="A137" s="422"/>
      <c r="B137" s="423"/>
      <c r="C137" s="423" t="s">
        <v>538</v>
      </c>
      <c r="D137" s="423"/>
      <c r="E137" s="21">
        <v>0.123283369182545</v>
      </c>
      <c r="F137" s="424"/>
      <c r="G137" s="423"/>
      <c r="H137" s="423"/>
      <c r="I137" s="423"/>
      <c r="J137" s="425"/>
    </row>
    <row r="138" spans="1:11" x14ac:dyDescent="0.2">
      <c r="A138" s="422"/>
      <c r="B138" s="423"/>
      <c r="C138" s="423" t="s">
        <v>539</v>
      </c>
      <c r="D138" s="423"/>
      <c r="E138" s="21">
        <v>0.13260884412329699</v>
      </c>
      <c r="F138" s="424"/>
      <c r="G138" s="423"/>
      <c r="H138" s="423"/>
      <c r="I138" s="423"/>
      <c r="J138" s="425"/>
    </row>
    <row r="139" spans="1:11" x14ac:dyDescent="0.2">
      <c r="A139" s="422"/>
      <c r="B139" s="423"/>
      <c r="C139" s="423" t="s">
        <v>540</v>
      </c>
      <c r="D139" s="423"/>
      <c r="E139" s="21">
        <v>0.14391780751069699</v>
      </c>
      <c r="F139" s="424"/>
      <c r="G139" s="423"/>
      <c r="H139" s="423"/>
      <c r="I139" s="423"/>
      <c r="J139" s="425"/>
    </row>
    <row r="140" spans="1:11" x14ac:dyDescent="0.2">
      <c r="A140" s="422"/>
      <c r="B140" s="423"/>
      <c r="C140" s="423" t="s">
        <v>541</v>
      </c>
      <c r="D140" s="423"/>
      <c r="E140" s="21">
        <v>0.17430391786174201</v>
      </c>
      <c r="F140" s="424"/>
      <c r="G140" s="423"/>
      <c r="H140" s="423"/>
      <c r="I140" s="423"/>
      <c r="J140" s="425"/>
    </row>
    <row r="141" spans="1:11" x14ac:dyDescent="0.2">
      <c r="A141" s="422"/>
      <c r="B141" s="423"/>
      <c r="C141" s="423"/>
      <c r="D141" s="423"/>
      <c r="E141" s="423"/>
      <c r="F141" s="424"/>
      <c r="G141" s="423"/>
      <c r="H141" s="423"/>
      <c r="I141" s="423"/>
      <c r="J141" s="425"/>
    </row>
    <row r="142" spans="1:11" x14ac:dyDescent="0.2">
      <c r="A142" s="431" t="s">
        <v>500</v>
      </c>
      <c r="B142" s="432"/>
      <c r="C142" s="432"/>
      <c r="D142" s="432"/>
      <c r="E142" s="432"/>
      <c r="F142" s="433"/>
      <c r="G142" s="432"/>
      <c r="H142" s="432"/>
      <c r="I142" s="432"/>
      <c r="J142" s="434" t="s">
        <v>501</v>
      </c>
      <c r="K142" s="886"/>
    </row>
    <row r="143" spans="1:11" x14ac:dyDescent="0.2">
      <c r="A143" s="422"/>
      <c r="B143" s="423"/>
      <c r="C143" s="423"/>
      <c r="D143" s="423"/>
      <c r="E143" s="423"/>
      <c r="F143" s="424"/>
      <c r="G143" s="423"/>
      <c r="H143" s="423"/>
      <c r="I143" s="423"/>
      <c r="J143" s="425"/>
    </row>
    <row r="144" spans="1:11" x14ac:dyDescent="0.2">
      <c r="A144" s="422"/>
      <c r="B144" s="423" t="s">
        <v>476</v>
      </c>
      <c r="C144" s="423"/>
      <c r="D144" s="423"/>
      <c r="E144" s="423"/>
      <c r="F144" s="424"/>
      <c r="G144" s="423"/>
      <c r="H144" s="423"/>
      <c r="I144" s="423"/>
      <c r="J144" s="425"/>
    </row>
    <row r="145" spans="1:10" x14ac:dyDescent="0.2">
      <c r="A145" s="422"/>
      <c r="B145" s="423"/>
      <c r="C145" s="423" t="s">
        <v>648</v>
      </c>
      <c r="D145" s="423"/>
      <c r="E145" s="423"/>
      <c r="F145" s="424"/>
      <c r="G145" s="423"/>
      <c r="H145" s="423"/>
      <c r="I145" s="423"/>
      <c r="J145" s="425"/>
    </row>
    <row r="146" spans="1:10" x14ac:dyDescent="0.2">
      <c r="A146" s="422"/>
      <c r="B146" s="423"/>
      <c r="C146" s="423" t="s">
        <v>477</v>
      </c>
      <c r="D146" s="423"/>
      <c r="E146" s="423"/>
      <c r="F146" s="424"/>
      <c r="G146" s="423"/>
      <c r="H146" s="423"/>
      <c r="I146" s="423"/>
      <c r="J146" s="425"/>
    </row>
    <row r="147" spans="1:10" x14ac:dyDescent="0.2">
      <c r="A147" s="422"/>
      <c r="B147" s="423"/>
      <c r="C147" s="423" t="s">
        <v>649</v>
      </c>
      <c r="D147" s="423"/>
      <c r="E147" s="423"/>
      <c r="F147" s="424"/>
      <c r="G147" s="423"/>
      <c r="H147" s="423"/>
      <c r="I147" s="423"/>
      <c r="J147" s="425"/>
    </row>
    <row r="148" spans="1:10" x14ac:dyDescent="0.2">
      <c r="A148" s="422"/>
      <c r="B148" s="423"/>
      <c r="C148" s="423" t="s">
        <v>650</v>
      </c>
      <c r="D148" s="423"/>
      <c r="E148" s="423"/>
      <c r="F148" s="424"/>
      <c r="G148" s="423"/>
      <c r="H148" s="423"/>
      <c r="I148" s="423"/>
      <c r="J148" s="425"/>
    </row>
    <row r="149" spans="1:10" x14ac:dyDescent="0.2">
      <c r="A149" s="422"/>
      <c r="B149" s="423"/>
      <c r="C149" s="423" t="s">
        <v>642</v>
      </c>
      <c r="D149" s="423"/>
      <c r="E149" s="423"/>
      <c r="F149" s="424"/>
      <c r="G149" s="423"/>
      <c r="H149" s="423"/>
      <c r="I149" s="423"/>
      <c r="J149" s="425"/>
    </row>
    <row r="150" spans="1:10" x14ac:dyDescent="0.2">
      <c r="A150" s="422"/>
      <c r="B150" s="423"/>
      <c r="C150" s="423"/>
      <c r="D150" s="423"/>
      <c r="E150" s="423"/>
      <c r="F150" s="424"/>
      <c r="G150" s="423"/>
      <c r="H150" s="423"/>
      <c r="I150" s="423"/>
      <c r="J150" s="425"/>
    </row>
    <row r="151" spans="1:10" x14ac:dyDescent="0.2">
      <c r="A151" s="422"/>
      <c r="B151" s="423"/>
      <c r="C151" s="423"/>
      <c r="D151" s="423"/>
      <c r="E151" s="423"/>
      <c r="F151" s="424"/>
      <c r="G151" s="423"/>
      <c r="H151" s="423"/>
      <c r="I151" s="423"/>
      <c r="J151" s="425"/>
    </row>
    <row r="152" spans="1:10" x14ac:dyDescent="0.2">
      <c r="A152" s="422"/>
      <c r="B152" s="423"/>
      <c r="C152" s="423"/>
      <c r="D152" s="423"/>
      <c r="E152" s="423"/>
      <c r="F152" s="424"/>
      <c r="G152" s="423"/>
      <c r="H152" s="423"/>
      <c r="I152" s="423"/>
      <c r="J152" s="425"/>
    </row>
    <row r="153" spans="1:10" x14ac:dyDescent="0.2">
      <c r="A153" s="422"/>
      <c r="B153" s="423"/>
      <c r="C153" s="423"/>
      <c r="D153" s="423"/>
      <c r="E153" s="423"/>
      <c r="F153" s="424"/>
      <c r="G153" s="423"/>
      <c r="H153" s="423"/>
      <c r="I153" s="423"/>
      <c r="J153" s="425"/>
    </row>
    <row r="154" spans="1:10" x14ac:dyDescent="0.2">
      <c r="A154" s="422"/>
      <c r="B154" s="423"/>
      <c r="C154" s="423"/>
      <c r="D154" s="423"/>
      <c r="E154" s="423"/>
      <c r="F154" s="424"/>
      <c r="G154" s="423"/>
      <c r="H154" s="423"/>
      <c r="I154" s="423"/>
      <c r="J154" s="425"/>
    </row>
    <row r="155" spans="1:10" x14ac:dyDescent="0.2">
      <c r="A155" s="422"/>
      <c r="B155" s="423"/>
      <c r="C155" s="423"/>
      <c r="D155" s="423"/>
      <c r="E155" s="423"/>
      <c r="F155" s="424"/>
      <c r="G155" s="423"/>
      <c r="H155" s="423"/>
      <c r="I155" s="423"/>
      <c r="J155" s="425"/>
    </row>
    <row r="156" spans="1:10" x14ac:dyDescent="0.2">
      <c r="A156" s="422"/>
      <c r="B156" s="423"/>
      <c r="C156" s="423"/>
      <c r="D156" s="423"/>
      <c r="E156" s="423"/>
      <c r="F156" s="424"/>
      <c r="G156" s="423"/>
      <c r="H156" s="423"/>
      <c r="I156" s="423"/>
      <c r="J156" s="425"/>
    </row>
    <row r="157" spans="1:10" x14ac:dyDescent="0.2">
      <c r="A157" s="422"/>
      <c r="B157" s="423"/>
      <c r="C157" s="423"/>
      <c r="D157" s="423"/>
      <c r="E157" s="423"/>
      <c r="F157" s="424"/>
      <c r="G157" s="423"/>
      <c r="H157" s="423"/>
      <c r="I157" s="423"/>
      <c r="J157" s="425"/>
    </row>
    <row r="158" spans="1:10" x14ac:dyDescent="0.2">
      <c r="A158" s="422"/>
      <c r="B158" s="423"/>
      <c r="C158" s="423"/>
      <c r="D158" s="423"/>
      <c r="E158" s="423"/>
      <c r="F158" s="424"/>
      <c r="G158" s="423"/>
      <c r="H158" s="423"/>
      <c r="I158" s="423"/>
      <c r="J158" s="425"/>
    </row>
    <row r="159" spans="1:10" x14ac:dyDescent="0.2">
      <c r="A159" s="422"/>
      <c r="B159" s="423"/>
      <c r="C159" s="423"/>
      <c r="D159" s="423"/>
      <c r="E159" s="423"/>
      <c r="F159" s="424"/>
      <c r="G159" s="423"/>
      <c r="H159" s="423"/>
      <c r="I159" s="423"/>
      <c r="J159" s="425"/>
    </row>
    <row r="160" spans="1:10" x14ac:dyDescent="0.2">
      <c r="A160" s="422"/>
      <c r="B160" s="423"/>
      <c r="C160" s="423"/>
      <c r="D160" s="423"/>
      <c r="E160" s="423"/>
      <c r="F160" s="424"/>
      <c r="G160" s="423"/>
      <c r="H160" s="423"/>
      <c r="I160" s="423"/>
      <c r="J160" s="425"/>
    </row>
    <row r="161" spans="1:10" x14ac:dyDescent="0.2">
      <c r="A161" s="422"/>
      <c r="B161" s="423"/>
      <c r="C161" s="423"/>
      <c r="D161" s="423"/>
      <c r="E161" s="423"/>
      <c r="F161" s="424"/>
      <c r="G161" s="423"/>
      <c r="H161" s="423"/>
      <c r="I161" s="423"/>
      <c r="J161" s="425"/>
    </row>
    <row r="162" spans="1:10" x14ac:dyDescent="0.2">
      <c r="A162" s="422"/>
      <c r="B162" s="423"/>
      <c r="C162" s="423"/>
      <c r="D162" s="423"/>
      <c r="E162" s="423"/>
      <c r="F162" s="424"/>
      <c r="G162" s="423"/>
      <c r="H162" s="423"/>
      <c r="I162" s="423"/>
      <c r="J162" s="425"/>
    </row>
    <row r="163" spans="1:10" x14ac:dyDescent="0.2">
      <c r="A163" s="422"/>
      <c r="B163" s="423"/>
      <c r="C163" s="423"/>
      <c r="D163" s="423"/>
      <c r="E163" s="423"/>
      <c r="F163" s="424"/>
      <c r="G163" s="423"/>
      <c r="H163" s="423"/>
      <c r="I163" s="423"/>
      <c r="J163" s="425"/>
    </row>
    <row r="164" spans="1:10" x14ac:dyDescent="0.2">
      <c r="A164" s="422"/>
      <c r="B164" s="423"/>
      <c r="C164" s="423"/>
      <c r="D164" s="423"/>
      <c r="E164" s="423"/>
      <c r="F164" s="424"/>
      <c r="G164" s="423"/>
      <c r="H164" s="423"/>
      <c r="I164" s="423"/>
      <c r="J164" s="425"/>
    </row>
    <row r="165" spans="1:10" x14ac:dyDescent="0.2">
      <c r="A165" s="422"/>
      <c r="B165" s="423"/>
      <c r="C165" s="423"/>
      <c r="D165" s="423"/>
      <c r="E165" s="423"/>
      <c r="F165" s="424"/>
      <c r="G165" s="423"/>
      <c r="H165" s="423"/>
      <c r="I165" s="423"/>
      <c r="J165" s="425"/>
    </row>
    <row r="166" spans="1:10" x14ac:dyDescent="0.2">
      <c r="A166" s="422"/>
      <c r="B166" s="423"/>
      <c r="C166" s="423"/>
      <c r="D166" s="423"/>
      <c r="E166" s="423"/>
      <c r="F166" s="424"/>
      <c r="G166" s="423"/>
      <c r="H166" s="423"/>
      <c r="I166" s="423"/>
      <c r="J166" s="425"/>
    </row>
    <row r="167" spans="1:10" x14ac:dyDescent="0.2">
      <c r="A167" s="422"/>
      <c r="B167" s="423"/>
      <c r="C167" s="423"/>
      <c r="D167" s="423"/>
      <c r="E167" s="423"/>
      <c r="F167" s="424"/>
      <c r="G167" s="423"/>
      <c r="H167" s="423"/>
      <c r="I167" s="423"/>
      <c r="J167" s="425"/>
    </row>
    <row r="168" spans="1:10" x14ac:dyDescent="0.2">
      <c r="A168" s="422"/>
      <c r="B168" s="423"/>
      <c r="C168" s="423"/>
      <c r="D168" s="423"/>
      <c r="E168" s="423"/>
      <c r="F168" s="424"/>
      <c r="G168" s="423"/>
      <c r="H168" s="423"/>
      <c r="I168" s="423"/>
      <c r="J168" s="425"/>
    </row>
    <row r="169" spans="1:10" x14ac:dyDescent="0.2">
      <c r="A169" s="422"/>
      <c r="B169" s="423" t="s">
        <v>478</v>
      </c>
      <c r="C169" s="423"/>
      <c r="D169" s="423"/>
      <c r="E169" s="426" t="s">
        <v>479</v>
      </c>
      <c r="F169" s="424"/>
      <c r="G169" s="423"/>
      <c r="H169" s="423"/>
      <c r="I169" s="423"/>
      <c r="J169" s="425"/>
    </row>
    <row r="170" spans="1:10" x14ac:dyDescent="0.2">
      <c r="A170" s="422"/>
      <c r="B170" s="423"/>
      <c r="C170" s="423" t="s">
        <v>480</v>
      </c>
      <c r="D170" s="423"/>
      <c r="E170" s="427">
        <v>10000</v>
      </c>
      <c r="F170" s="424"/>
      <c r="G170" s="423"/>
      <c r="H170" s="423"/>
      <c r="I170" s="423"/>
      <c r="J170" s="425"/>
    </row>
    <row r="171" spans="1:10" x14ac:dyDescent="0.2">
      <c r="A171" s="422"/>
      <c r="B171" s="423"/>
      <c r="C171" s="423" t="s">
        <v>481</v>
      </c>
      <c r="D171" s="423"/>
      <c r="E171" s="21">
        <v>6.2952606827237689E-2</v>
      </c>
      <c r="F171" s="424"/>
      <c r="G171" s="423"/>
      <c r="H171" s="423"/>
      <c r="I171" s="423"/>
      <c r="J171" s="425"/>
    </row>
    <row r="172" spans="1:10" x14ac:dyDescent="0.2">
      <c r="A172" s="422"/>
      <c r="B172" s="423"/>
      <c r="C172" s="423" t="s">
        <v>482</v>
      </c>
      <c r="D172" s="423"/>
      <c r="E172" s="21">
        <v>4.941084576914128E-2</v>
      </c>
      <c r="F172" s="424"/>
      <c r="G172" s="423"/>
      <c r="H172" s="423"/>
      <c r="I172" s="423"/>
      <c r="J172" s="425"/>
    </row>
    <row r="173" spans="1:10" x14ac:dyDescent="0.2">
      <c r="A173" s="422"/>
      <c r="B173" s="423"/>
      <c r="C173" s="423" t="s">
        <v>483</v>
      </c>
      <c r="D173" s="423"/>
      <c r="E173" s="21">
        <v>5.4175146712490241E-2</v>
      </c>
      <c r="F173" s="424"/>
      <c r="G173" s="423"/>
      <c r="H173" s="423"/>
      <c r="I173" s="423"/>
      <c r="J173" s="425"/>
    </row>
    <row r="174" spans="1:10" x14ac:dyDescent="0.2">
      <c r="A174" s="422"/>
      <c r="B174" s="423"/>
      <c r="C174" s="423" t="s">
        <v>484</v>
      </c>
      <c r="D174" s="423"/>
      <c r="E174" s="428" t="s">
        <v>485</v>
      </c>
      <c r="F174" s="424"/>
      <c r="G174" s="423"/>
      <c r="H174" s="423"/>
      <c r="I174" s="423"/>
      <c r="J174" s="425"/>
    </row>
    <row r="175" spans="1:10" x14ac:dyDescent="0.2">
      <c r="A175" s="422"/>
      <c r="B175" s="423"/>
      <c r="C175" s="423" t="s">
        <v>486</v>
      </c>
      <c r="D175" s="423"/>
      <c r="E175" s="21">
        <v>2.8671263698958335E-2</v>
      </c>
      <c r="F175" s="424"/>
      <c r="G175" s="423"/>
      <c r="H175" s="423"/>
      <c r="I175" s="423"/>
      <c r="J175" s="425"/>
    </row>
    <row r="176" spans="1:10" x14ac:dyDescent="0.2">
      <c r="A176" s="422"/>
      <c r="B176" s="423"/>
      <c r="C176" s="423" t="s">
        <v>487</v>
      </c>
      <c r="D176" s="423"/>
      <c r="E176" s="21">
        <v>8.2204136209520595E-4</v>
      </c>
      <c r="F176" s="424"/>
      <c r="G176" s="423"/>
      <c r="H176" s="423"/>
      <c r="I176" s="423"/>
      <c r="J176" s="425"/>
    </row>
    <row r="177" spans="1:11" x14ac:dyDescent="0.2">
      <c r="A177" s="422"/>
      <c r="B177" s="423"/>
      <c r="C177" s="423" t="s">
        <v>488</v>
      </c>
      <c r="D177" s="423"/>
      <c r="E177" s="429">
        <v>-0.60833919031192607</v>
      </c>
      <c r="F177" s="424"/>
      <c r="G177" s="423"/>
      <c r="H177" s="423"/>
      <c r="I177" s="423"/>
      <c r="J177" s="425"/>
    </row>
    <row r="178" spans="1:11" x14ac:dyDescent="0.2">
      <c r="A178" s="422"/>
      <c r="B178" s="423"/>
      <c r="C178" s="423" t="s">
        <v>489</v>
      </c>
      <c r="D178" s="423"/>
      <c r="E178" s="430">
        <v>2.8282840594878578</v>
      </c>
      <c r="F178" s="424"/>
      <c r="G178" s="423"/>
      <c r="H178" s="423"/>
      <c r="I178" s="423"/>
      <c r="J178" s="425"/>
    </row>
    <row r="179" spans="1:11" x14ac:dyDescent="0.2">
      <c r="A179" s="422"/>
      <c r="B179" s="423"/>
      <c r="C179" s="423" t="s">
        <v>490</v>
      </c>
      <c r="D179" s="423"/>
      <c r="E179" s="429">
        <v>0.58026255678595351</v>
      </c>
      <c r="F179" s="424"/>
      <c r="G179" s="423"/>
      <c r="H179" s="423"/>
      <c r="I179" s="423"/>
      <c r="J179" s="425"/>
    </row>
    <row r="180" spans="1:11" x14ac:dyDescent="0.2">
      <c r="A180" s="422"/>
      <c r="B180" s="423"/>
      <c r="C180" s="423" t="s">
        <v>491</v>
      </c>
      <c r="D180" s="423"/>
      <c r="E180" s="21">
        <v>-4.5017478461553684E-2</v>
      </c>
      <c r="F180" s="424"/>
      <c r="G180" s="423"/>
      <c r="H180" s="423"/>
      <c r="I180" s="423"/>
      <c r="J180" s="425"/>
    </row>
    <row r="181" spans="1:11" x14ac:dyDescent="0.2">
      <c r="A181" s="422"/>
      <c r="B181" s="423"/>
      <c r="C181" s="423" t="s">
        <v>492</v>
      </c>
      <c r="D181" s="423"/>
      <c r="E181" s="21">
        <v>0.10592191669133455</v>
      </c>
      <c r="F181" s="424"/>
      <c r="G181" s="423"/>
      <c r="H181" s="423"/>
      <c r="I181" s="423"/>
      <c r="J181" s="425"/>
    </row>
    <row r="182" spans="1:11" x14ac:dyDescent="0.2">
      <c r="A182" s="422"/>
      <c r="B182" s="423"/>
      <c r="C182" s="423" t="s">
        <v>493</v>
      </c>
      <c r="D182" s="423"/>
      <c r="E182" s="21">
        <v>0.15093939515288823</v>
      </c>
      <c r="F182" s="424"/>
      <c r="G182" s="423"/>
      <c r="H182" s="423"/>
      <c r="I182" s="423"/>
      <c r="J182" s="425"/>
    </row>
    <row r="183" spans="1:11" x14ac:dyDescent="0.2">
      <c r="A183" s="422"/>
      <c r="B183" s="423"/>
      <c r="C183" s="423" t="s">
        <v>494</v>
      </c>
      <c r="D183" s="423"/>
      <c r="E183" s="21">
        <v>2.8671263698958337E-4</v>
      </c>
      <c r="F183" s="424"/>
      <c r="G183" s="423"/>
      <c r="H183" s="423"/>
      <c r="I183" s="423"/>
      <c r="J183" s="425"/>
    </row>
    <row r="184" spans="1:11" x14ac:dyDescent="0.2">
      <c r="A184" s="422"/>
      <c r="B184" s="423"/>
      <c r="C184" s="423"/>
      <c r="D184" s="423"/>
      <c r="E184" s="423"/>
      <c r="F184" s="424"/>
      <c r="G184" s="423"/>
      <c r="H184" s="423"/>
      <c r="I184" s="423"/>
      <c r="J184" s="425"/>
    </row>
    <row r="185" spans="1:11" x14ac:dyDescent="0.2">
      <c r="A185" s="431" t="s">
        <v>502</v>
      </c>
      <c r="B185" s="432"/>
      <c r="C185" s="432"/>
      <c r="D185" s="432"/>
      <c r="E185" s="432"/>
      <c r="F185" s="433"/>
      <c r="G185" s="432"/>
      <c r="H185" s="432"/>
      <c r="I185" s="432"/>
      <c r="J185" s="434" t="s">
        <v>501</v>
      </c>
      <c r="K185" s="886"/>
    </row>
    <row r="186" spans="1:11" x14ac:dyDescent="0.2">
      <c r="A186" s="422"/>
      <c r="B186" s="423"/>
      <c r="C186" s="423"/>
      <c r="D186" s="423"/>
      <c r="E186" s="423"/>
      <c r="F186" s="424"/>
      <c r="G186" s="423"/>
      <c r="H186" s="423"/>
      <c r="I186" s="423"/>
      <c r="J186" s="425"/>
    </row>
    <row r="187" spans="1:11" x14ac:dyDescent="0.2">
      <c r="A187" s="422"/>
      <c r="B187" s="423" t="s">
        <v>496</v>
      </c>
      <c r="C187" s="423"/>
      <c r="D187" s="423"/>
      <c r="E187" s="426" t="s">
        <v>479</v>
      </c>
      <c r="F187" s="424"/>
      <c r="G187" s="423"/>
      <c r="H187" s="423"/>
      <c r="I187" s="423"/>
      <c r="J187" s="425"/>
    </row>
    <row r="188" spans="1:11" x14ac:dyDescent="0.2">
      <c r="A188" s="422"/>
      <c r="B188" s="423"/>
      <c r="C188" s="423" t="s">
        <v>531</v>
      </c>
      <c r="D188" s="423"/>
      <c r="E188" s="21">
        <v>-4.5017478461553684E-2</v>
      </c>
      <c r="F188" s="424"/>
      <c r="G188" s="423"/>
      <c r="H188" s="423"/>
      <c r="I188" s="423"/>
      <c r="J188" s="425"/>
    </row>
    <row r="189" spans="1:11" x14ac:dyDescent="0.2">
      <c r="A189" s="422"/>
      <c r="B189" s="423"/>
      <c r="C189" s="423" t="s">
        <v>532</v>
      </c>
      <c r="D189" s="423"/>
      <c r="E189" s="21">
        <v>7.822313356003141E-3</v>
      </c>
      <c r="F189" s="424"/>
      <c r="G189" s="423"/>
      <c r="H189" s="423"/>
      <c r="I189" s="423"/>
      <c r="J189" s="425"/>
    </row>
    <row r="190" spans="1:11" x14ac:dyDescent="0.2">
      <c r="A190" s="422"/>
      <c r="B190" s="423"/>
      <c r="C190" s="423" t="s">
        <v>533</v>
      </c>
      <c r="D190" s="423"/>
      <c r="E190" s="21">
        <v>2.4825796536354999E-2</v>
      </c>
      <c r="F190" s="424"/>
      <c r="G190" s="423"/>
      <c r="H190" s="423"/>
      <c r="I190" s="423"/>
      <c r="J190" s="425"/>
    </row>
    <row r="191" spans="1:11" x14ac:dyDescent="0.2">
      <c r="A191" s="422"/>
      <c r="B191" s="423"/>
      <c r="C191" s="423" t="s">
        <v>534</v>
      </c>
      <c r="D191" s="423"/>
      <c r="E191" s="21">
        <v>3.6919229320389997E-2</v>
      </c>
      <c r="F191" s="424"/>
      <c r="G191" s="423"/>
      <c r="H191" s="423"/>
      <c r="I191" s="423"/>
      <c r="J191" s="425"/>
    </row>
    <row r="192" spans="1:11" x14ac:dyDescent="0.2">
      <c r="A192" s="422"/>
      <c r="B192" s="423"/>
      <c r="C192" s="423" t="s">
        <v>535</v>
      </c>
      <c r="D192" s="423"/>
      <c r="E192" s="21">
        <v>4.6323448940816997E-2</v>
      </c>
      <c r="F192" s="424"/>
      <c r="G192" s="423"/>
      <c r="H192" s="423"/>
      <c r="I192" s="423"/>
      <c r="J192" s="425"/>
    </row>
    <row r="193" spans="1:11" x14ac:dyDescent="0.2">
      <c r="A193" s="422"/>
      <c r="B193" s="423"/>
      <c r="C193" s="423" t="s">
        <v>536</v>
      </c>
      <c r="D193" s="423"/>
      <c r="E193" s="21">
        <v>5.4168727247171998E-2</v>
      </c>
      <c r="F193" s="424"/>
      <c r="G193" s="423"/>
      <c r="H193" s="423"/>
      <c r="I193" s="423"/>
      <c r="J193" s="425"/>
    </row>
    <row r="194" spans="1:11" x14ac:dyDescent="0.2">
      <c r="A194" s="422"/>
      <c r="B194" s="423"/>
      <c r="C194" s="423" t="s">
        <v>537</v>
      </c>
      <c r="D194" s="423"/>
      <c r="E194" s="21">
        <v>6.0821921001392998E-2</v>
      </c>
      <c r="F194" s="424"/>
      <c r="G194" s="423"/>
      <c r="H194" s="423"/>
      <c r="I194" s="423"/>
      <c r="J194" s="425"/>
    </row>
    <row r="195" spans="1:11" x14ac:dyDescent="0.2">
      <c r="A195" s="422"/>
      <c r="B195" s="423"/>
      <c r="C195" s="423" t="s">
        <v>538</v>
      </c>
      <c r="D195" s="423"/>
      <c r="E195" s="21">
        <v>6.7175127284031994E-2</v>
      </c>
      <c r="F195" s="424"/>
      <c r="G195" s="423"/>
      <c r="H195" s="423"/>
      <c r="I195" s="423"/>
      <c r="J195" s="425"/>
    </row>
    <row r="196" spans="1:11" x14ac:dyDescent="0.2">
      <c r="A196" s="422"/>
      <c r="B196" s="423"/>
      <c r="C196" s="423" t="s">
        <v>539</v>
      </c>
      <c r="D196" s="423"/>
      <c r="E196" s="21">
        <v>7.4578176224739001E-2</v>
      </c>
      <c r="F196" s="424"/>
      <c r="G196" s="423"/>
      <c r="H196" s="423"/>
      <c r="I196" s="423"/>
      <c r="J196" s="425"/>
    </row>
    <row r="197" spans="1:11" x14ac:dyDescent="0.2">
      <c r="A197" s="422"/>
      <c r="B197" s="423"/>
      <c r="C197" s="423" t="s">
        <v>540</v>
      </c>
      <c r="D197" s="423"/>
      <c r="E197" s="21">
        <v>8.3401285838020006E-2</v>
      </c>
      <c r="F197" s="424"/>
      <c r="G197" s="423"/>
      <c r="H197" s="423"/>
      <c r="I197" s="423"/>
      <c r="J197" s="425"/>
    </row>
    <row r="198" spans="1:11" x14ac:dyDescent="0.2">
      <c r="A198" s="422"/>
      <c r="B198" s="423"/>
      <c r="C198" s="423" t="s">
        <v>541</v>
      </c>
      <c r="D198" s="423"/>
      <c r="E198" s="21">
        <v>0.10592191669133499</v>
      </c>
      <c r="F198" s="424"/>
      <c r="G198" s="423"/>
      <c r="H198" s="423"/>
      <c r="I198" s="423"/>
      <c r="J198" s="425"/>
    </row>
    <row r="199" spans="1:11" x14ac:dyDescent="0.2">
      <c r="A199" s="422"/>
      <c r="B199" s="423"/>
      <c r="C199" s="423"/>
      <c r="D199" s="423"/>
      <c r="E199" s="423"/>
      <c r="F199" s="424"/>
      <c r="G199" s="423"/>
      <c r="H199" s="423"/>
      <c r="I199" s="423"/>
      <c r="J199" s="425"/>
    </row>
    <row r="200" spans="1:11" x14ac:dyDescent="0.2">
      <c r="A200" s="431" t="s">
        <v>503</v>
      </c>
      <c r="B200" s="432"/>
      <c r="C200" s="432"/>
      <c r="D200" s="432"/>
      <c r="E200" s="432"/>
      <c r="F200" s="433"/>
      <c r="G200" s="432"/>
      <c r="H200" s="432"/>
      <c r="I200" s="432"/>
      <c r="J200" s="434" t="s">
        <v>504</v>
      </c>
      <c r="K200" s="886"/>
    </row>
    <row r="201" spans="1:11" x14ac:dyDescent="0.2">
      <c r="A201" s="422"/>
      <c r="B201" s="423"/>
      <c r="C201" s="423"/>
      <c r="D201" s="423"/>
      <c r="E201" s="423"/>
      <c r="F201" s="424"/>
      <c r="G201" s="423"/>
      <c r="H201" s="423"/>
      <c r="I201" s="423"/>
      <c r="J201" s="425"/>
    </row>
    <row r="202" spans="1:11" x14ac:dyDescent="0.2">
      <c r="A202" s="422"/>
      <c r="B202" s="423" t="s">
        <v>476</v>
      </c>
      <c r="C202" s="423"/>
      <c r="D202" s="423"/>
      <c r="E202" s="423"/>
      <c r="F202" s="424"/>
      <c r="G202" s="423"/>
      <c r="H202" s="423"/>
      <c r="I202" s="423"/>
      <c r="J202" s="425"/>
    </row>
    <row r="203" spans="1:11" x14ac:dyDescent="0.2">
      <c r="A203" s="422"/>
      <c r="B203" s="423"/>
      <c r="C203" s="423" t="s">
        <v>651</v>
      </c>
      <c r="D203" s="423"/>
      <c r="E203" s="423"/>
      <c r="F203" s="424"/>
      <c r="G203" s="423"/>
      <c r="H203" s="423"/>
      <c r="I203" s="423"/>
      <c r="J203" s="425"/>
    </row>
    <row r="204" spans="1:11" x14ac:dyDescent="0.2">
      <c r="A204" s="422"/>
      <c r="B204" s="423"/>
      <c r="C204" s="423" t="s">
        <v>477</v>
      </c>
      <c r="D204" s="423"/>
      <c r="E204" s="423"/>
      <c r="F204" s="424"/>
      <c r="G204" s="423"/>
      <c r="H204" s="423"/>
      <c r="I204" s="423"/>
      <c r="J204" s="425"/>
    </row>
    <row r="205" spans="1:11" x14ac:dyDescent="0.2">
      <c r="A205" s="422"/>
      <c r="B205" s="423"/>
      <c r="C205" s="423" t="s">
        <v>652</v>
      </c>
      <c r="D205" s="423"/>
      <c r="E205" s="423"/>
      <c r="F205" s="424"/>
      <c r="G205" s="423"/>
      <c r="H205" s="423"/>
      <c r="I205" s="423"/>
      <c r="J205" s="425"/>
    </row>
    <row r="206" spans="1:11" x14ac:dyDescent="0.2">
      <c r="A206" s="422"/>
      <c r="B206" s="423"/>
      <c r="C206" s="423" t="s">
        <v>653</v>
      </c>
      <c r="D206" s="423"/>
      <c r="E206" s="423"/>
      <c r="F206" s="424"/>
      <c r="G206" s="423"/>
      <c r="H206" s="423"/>
      <c r="I206" s="423"/>
      <c r="J206" s="425"/>
    </row>
    <row r="207" spans="1:11" x14ac:dyDescent="0.2">
      <c r="A207" s="422"/>
      <c r="B207" s="423"/>
      <c r="C207" s="423" t="s">
        <v>642</v>
      </c>
      <c r="D207" s="423"/>
      <c r="E207" s="423"/>
      <c r="F207" s="424"/>
      <c r="G207" s="423"/>
      <c r="H207" s="423"/>
      <c r="I207" s="423"/>
      <c r="J207" s="425"/>
    </row>
    <row r="208" spans="1:11" x14ac:dyDescent="0.2">
      <c r="A208" s="422"/>
      <c r="B208" s="423"/>
      <c r="C208" s="423"/>
      <c r="D208" s="423"/>
      <c r="E208" s="423"/>
      <c r="F208" s="424"/>
      <c r="G208" s="423"/>
      <c r="H208" s="423"/>
      <c r="I208" s="423"/>
      <c r="J208" s="425"/>
    </row>
    <row r="209" spans="1:10" x14ac:dyDescent="0.2">
      <c r="A209" s="422"/>
      <c r="B209" s="423"/>
      <c r="C209" s="423"/>
      <c r="D209" s="423"/>
      <c r="E209" s="423"/>
      <c r="F209" s="424"/>
      <c r="G209" s="423"/>
      <c r="H209" s="423"/>
      <c r="I209" s="423"/>
      <c r="J209" s="425"/>
    </row>
    <row r="210" spans="1:10" x14ac:dyDescent="0.2">
      <c r="A210" s="422"/>
      <c r="B210" s="423"/>
      <c r="C210" s="423"/>
      <c r="D210" s="423"/>
      <c r="E210" s="423"/>
      <c r="F210" s="424"/>
      <c r="G210" s="423"/>
      <c r="H210" s="423"/>
      <c r="I210" s="423"/>
      <c r="J210" s="425"/>
    </row>
    <row r="211" spans="1:10" x14ac:dyDescent="0.2">
      <c r="A211" s="422"/>
      <c r="B211" s="423"/>
      <c r="C211" s="423"/>
      <c r="D211" s="423"/>
      <c r="E211" s="423"/>
      <c r="F211" s="424"/>
      <c r="G211" s="423"/>
      <c r="H211" s="423"/>
      <c r="I211" s="423"/>
      <c r="J211" s="425"/>
    </row>
    <row r="212" spans="1:10" x14ac:dyDescent="0.2">
      <c r="A212" s="422"/>
      <c r="B212" s="423"/>
      <c r="C212" s="423"/>
      <c r="D212" s="423"/>
      <c r="E212" s="423"/>
      <c r="F212" s="424"/>
      <c r="G212" s="423"/>
      <c r="H212" s="423"/>
      <c r="I212" s="423"/>
      <c r="J212" s="425"/>
    </row>
    <row r="213" spans="1:10" x14ac:dyDescent="0.2">
      <c r="A213" s="422"/>
      <c r="B213" s="423"/>
      <c r="C213" s="423"/>
      <c r="D213" s="423"/>
      <c r="E213" s="423"/>
      <c r="F213" s="424"/>
      <c r="G213" s="423"/>
      <c r="H213" s="423"/>
      <c r="I213" s="423"/>
      <c r="J213" s="425"/>
    </row>
    <row r="214" spans="1:10" x14ac:dyDescent="0.2">
      <c r="A214" s="422"/>
      <c r="B214" s="423"/>
      <c r="C214" s="423"/>
      <c r="D214" s="423"/>
      <c r="E214" s="423"/>
      <c r="F214" s="424"/>
      <c r="G214" s="423"/>
      <c r="H214" s="423"/>
      <c r="I214" s="423"/>
      <c r="J214" s="425"/>
    </row>
    <row r="215" spans="1:10" x14ac:dyDescent="0.2">
      <c r="A215" s="422"/>
      <c r="B215" s="423"/>
      <c r="C215" s="423"/>
      <c r="D215" s="423"/>
      <c r="E215" s="423"/>
      <c r="F215" s="424"/>
      <c r="G215" s="423"/>
      <c r="H215" s="423"/>
      <c r="I215" s="423"/>
      <c r="J215" s="425"/>
    </row>
    <row r="216" spans="1:10" x14ac:dyDescent="0.2">
      <c r="A216" s="422"/>
      <c r="B216" s="423"/>
      <c r="C216" s="423"/>
      <c r="D216" s="423"/>
      <c r="E216" s="423"/>
      <c r="F216" s="424"/>
      <c r="G216" s="423"/>
      <c r="H216" s="423"/>
      <c r="I216" s="423"/>
      <c r="J216" s="425"/>
    </row>
    <row r="217" spans="1:10" x14ac:dyDescent="0.2">
      <c r="A217" s="422"/>
      <c r="B217" s="423"/>
      <c r="C217" s="423"/>
      <c r="D217" s="423"/>
      <c r="E217" s="423"/>
      <c r="F217" s="424"/>
      <c r="G217" s="423"/>
      <c r="H217" s="423"/>
      <c r="I217" s="423"/>
      <c r="J217" s="425"/>
    </row>
    <row r="218" spans="1:10" x14ac:dyDescent="0.2">
      <c r="A218" s="422"/>
      <c r="B218" s="423"/>
      <c r="C218" s="423"/>
      <c r="D218" s="423"/>
      <c r="E218" s="423"/>
      <c r="F218" s="424"/>
      <c r="G218" s="423"/>
      <c r="H218" s="423"/>
      <c r="I218" s="423"/>
      <c r="J218" s="425"/>
    </row>
    <row r="219" spans="1:10" x14ac:dyDescent="0.2">
      <c r="A219" s="422"/>
      <c r="B219" s="423"/>
      <c r="C219" s="423"/>
      <c r="D219" s="423"/>
      <c r="E219" s="423"/>
      <c r="F219" s="424"/>
      <c r="G219" s="423"/>
      <c r="H219" s="423"/>
      <c r="I219" s="423"/>
      <c r="J219" s="425"/>
    </row>
    <row r="220" spans="1:10" x14ac:dyDescent="0.2">
      <c r="A220" s="422"/>
      <c r="B220" s="423"/>
      <c r="C220" s="423"/>
      <c r="D220" s="423"/>
      <c r="E220" s="423"/>
      <c r="F220" s="424"/>
      <c r="G220" s="423"/>
      <c r="H220" s="423"/>
      <c r="I220" s="423"/>
      <c r="J220" s="425"/>
    </row>
    <row r="221" spans="1:10" x14ac:dyDescent="0.2">
      <c r="A221" s="422"/>
      <c r="B221" s="423"/>
      <c r="C221" s="423"/>
      <c r="D221" s="423"/>
      <c r="E221" s="423"/>
      <c r="F221" s="424"/>
      <c r="G221" s="423"/>
      <c r="H221" s="423"/>
      <c r="I221" s="423"/>
      <c r="J221" s="425"/>
    </row>
    <row r="222" spans="1:10" x14ac:dyDescent="0.2">
      <c r="A222" s="422"/>
      <c r="B222" s="423"/>
      <c r="C222" s="423"/>
      <c r="D222" s="423"/>
      <c r="E222" s="423"/>
      <c r="F222" s="424"/>
      <c r="G222" s="423"/>
      <c r="H222" s="423"/>
      <c r="I222" s="423"/>
      <c r="J222" s="425"/>
    </row>
    <row r="223" spans="1:10" x14ac:dyDescent="0.2">
      <c r="A223" s="422"/>
      <c r="B223" s="423"/>
      <c r="C223" s="423"/>
      <c r="D223" s="423"/>
      <c r="E223" s="423"/>
      <c r="F223" s="424"/>
      <c r="G223" s="423"/>
      <c r="H223" s="423"/>
      <c r="I223" s="423"/>
      <c r="J223" s="425"/>
    </row>
    <row r="224" spans="1:10" x14ac:dyDescent="0.2">
      <c r="A224" s="422"/>
      <c r="B224" s="423"/>
      <c r="C224" s="423"/>
      <c r="D224" s="423"/>
      <c r="E224" s="423"/>
      <c r="F224" s="424"/>
      <c r="G224" s="423"/>
      <c r="H224" s="423"/>
      <c r="I224" s="423"/>
      <c r="J224" s="425"/>
    </row>
    <row r="225" spans="1:10" x14ac:dyDescent="0.2">
      <c r="A225" s="422"/>
      <c r="B225" s="423"/>
      <c r="C225" s="423"/>
      <c r="D225" s="423"/>
      <c r="E225" s="423"/>
      <c r="F225" s="424"/>
      <c r="G225" s="423"/>
      <c r="H225" s="423"/>
      <c r="I225" s="423"/>
      <c r="J225" s="425"/>
    </row>
    <row r="226" spans="1:10" x14ac:dyDescent="0.2">
      <c r="A226" s="422"/>
      <c r="B226" s="423"/>
      <c r="C226" s="423"/>
      <c r="D226" s="423"/>
      <c r="E226" s="423"/>
      <c r="F226" s="424"/>
      <c r="G226" s="423"/>
      <c r="H226" s="423"/>
      <c r="I226" s="423"/>
      <c r="J226" s="425"/>
    </row>
    <row r="227" spans="1:10" x14ac:dyDescent="0.2">
      <c r="A227" s="422"/>
      <c r="B227" s="423" t="s">
        <v>478</v>
      </c>
      <c r="C227" s="423"/>
      <c r="D227" s="423"/>
      <c r="E227" s="426" t="s">
        <v>479</v>
      </c>
      <c r="F227" s="424"/>
      <c r="G227" s="423"/>
      <c r="H227" s="423"/>
      <c r="I227" s="423"/>
      <c r="J227" s="425"/>
    </row>
    <row r="228" spans="1:10" x14ac:dyDescent="0.2">
      <c r="A228" s="422"/>
      <c r="B228" s="423"/>
      <c r="C228" s="423" t="s">
        <v>480</v>
      </c>
      <c r="D228" s="423"/>
      <c r="E228" s="427">
        <v>10000</v>
      </c>
      <c r="F228" s="424"/>
      <c r="G228" s="423"/>
      <c r="H228" s="423"/>
      <c r="I228" s="423"/>
      <c r="J228" s="425"/>
    </row>
    <row r="229" spans="1:10" x14ac:dyDescent="0.2">
      <c r="A229" s="422"/>
      <c r="B229" s="423"/>
      <c r="C229" s="423" t="s">
        <v>481</v>
      </c>
      <c r="D229" s="423"/>
      <c r="E229" s="21">
        <v>1.1632780148073341E-2</v>
      </c>
      <c r="F229" s="424"/>
      <c r="G229" s="423"/>
      <c r="H229" s="423"/>
      <c r="I229" s="423"/>
      <c r="J229" s="425"/>
    </row>
    <row r="230" spans="1:10" x14ac:dyDescent="0.2">
      <c r="A230" s="422"/>
      <c r="B230" s="423"/>
      <c r="C230" s="423" t="s">
        <v>482</v>
      </c>
      <c r="D230" s="423"/>
      <c r="E230" s="21">
        <v>-3.3417879305248279E-3</v>
      </c>
      <c r="F230" s="424"/>
      <c r="G230" s="423"/>
      <c r="H230" s="423"/>
      <c r="I230" s="423"/>
      <c r="J230" s="425"/>
    </row>
    <row r="231" spans="1:10" x14ac:dyDescent="0.2">
      <c r="A231" s="422"/>
      <c r="B231" s="423"/>
      <c r="C231" s="423" t="s">
        <v>483</v>
      </c>
      <c r="D231" s="423"/>
      <c r="E231" s="21">
        <v>2.3086623465845557E-3</v>
      </c>
      <c r="F231" s="424"/>
      <c r="G231" s="423"/>
      <c r="H231" s="423"/>
      <c r="I231" s="423"/>
      <c r="J231" s="425"/>
    </row>
    <row r="232" spans="1:10" x14ac:dyDescent="0.2">
      <c r="A232" s="422"/>
      <c r="B232" s="423"/>
      <c r="C232" s="423" t="s">
        <v>484</v>
      </c>
      <c r="D232" s="423"/>
      <c r="E232" s="428" t="s">
        <v>485</v>
      </c>
      <c r="F232" s="424"/>
      <c r="G232" s="423"/>
      <c r="H232" s="423"/>
      <c r="I232" s="423"/>
      <c r="J232" s="425"/>
    </row>
    <row r="233" spans="1:10" x14ac:dyDescent="0.2">
      <c r="A233" s="422"/>
      <c r="B233" s="423"/>
      <c r="C233" s="423" t="s">
        <v>486</v>
      </c>
      <c r="D233" s="423"/>
      <c r="E233" s="21">
        <v>3.0819692038351682E-2</v>
      </c>
      <c r="F233" s="424"/>
      <c r="G233" s="423"/>
      <c r="H233" s="423"/>
      <c r="I233" s="423"/>
      <c r="J233" s="425"/>
    </row>
    <row r="234" spans="1:10" x14ac:dyDescent="0.2">
      <c r="A234" s="422"/>
      <c r="B234" s="423"/>
      <c r="C234" s="423" t="s">
        <v>487</v>
      </c>
      <c r="D234" s="423"/>
      <c r="E234" s="21">
        <v>9.4985341733883804E-4</v>
      </c>
      <c r="F234" s="424"/>
      <c r="G234" s="423"/>
      <c r="H234" s="423"/>
      <c r="I234" s="423"/>
      <c r="J234" s="425"/>
    </row>
    <row r="235" spans="1:10" x14ac:dyDescent="0.2">
      <c r="A235" s="422"/>
      <c r="B235" s="423"/>
      <c r="C235" s="423" t="s">
        <v>488</v>
      </c>
      <c r="D235" s="423"/>
      <c r="E235" s="429">
        <v>-0.71203486655266846</v>
      </c>
      <c r="F235" s="424"/>
      <c r="G235" s="423"/>
      <c r="H235" s="423"/>
      <c r="I235" s="423"/>
      <c r="J235" s="425"/>
    </row>
    <row r="236" spans="1:10" x14ac:dyDescent="0.2">
      <c r="A236" s="422"/>
      <c r="B236" s="423"/>
      <c r="C236" s="423" t="s">
        <v>489</v>
      </c>
      <c r="D236" s="423"/>
      <c r="E236" s="430">
        <v>3.0607772233583637</v>
      </c>
      <c r="F236" s="424"/>
      <c r="G236" s="423"/>
      <c r="H236" s="423"/>
      <c r="I236" s="423"/>
      <c r="J236" s="425"/>
    </row>
    <row r="237" spans="1:10" x14ac:dyDescent="0.2">
      <c r="A237" s="422"/>
      <c r="B237" s="423"/>
      <c r="C237" s="423" t="s">
        <v>490</v>
      </c>
      <c r="D237" s="423"/>
      <c r="E237" s="430">
        <v>-9.2225158146140789</v>
      </c>
      <c r="F237" s="424"/>
      <c r="G237" s="423"/>
      <c r="H237" s="423"/>
      <c r="I237" s="423"/>
      <c r="J237" s="425"/>
    </row>
    <row r="238" spans="1:10" x14ac:dyDescent="0.2">
      <c r="A238" s="422"/>
      <c r="B238" s="423"/>
      <c r="C238" s="423" t="s">
        <v>491</v>
      </c>
      <c r="D238" s="423"/>
      <c r="E238" s="21">
        <v>-0.1160817994151977</v>
      </c>
      <c r="F238" s="424"/>
      <c r="G238" s="423"/>
      <c r="H238" s="423"/>
      <c r="I238" s="423"/>
      <c r="J238" s="425"/>
    </row>
    <row r="239" spans="1:10" x14ac:dyDescent="0.2">
      <c r="A239" s="422"/>
      <c r="B239" s="423"/>
      <c r="C239" s="423" t="s">
        <v>492</v>
      </c>
      <c r="D239" s="423"/>
      <c r="E239" s="21">
        <v>5.7584204995467569E-2</v>
      </c>
      <c r="F239" s="424"/>
      <c r="G239" s="423"/>
      <c r="H239" s="423"/>
      <c r="I239" s="423"/>
      <c r="J239" s="425"/>
    </row>
    <row r="240" spans="1:10" x14ac:dyDescent="0.2">
      <c r="A240" s="422"/>
      <c r="B240" s="423"/>
      <c r="C240" s="423" t="s">
        <v>493</v>
      </c>
      <c r="D240" s="423"/>
      <c r="E240" s="21">
        <v>0.17366600441066526</v>
      </c>
      <c r="F240" s="424"/>
      <c r="G240" s="423"/>
      <c r="H240" s="423"/>
      <c r="I240" s="423"/>
      <c r="J240" s="425"/>
    </row>
    <row r="241" spans="1:11" x14ac:dyDescent="0.2">
      <c r="A241" s="422"/>
      <c r="B241" s="423"/>
      <c r="C241" s="423" t="s">
        <v>494</v>
      </c>
      <c r="D241" s="423"/>
      <c r="E241" s="21">
        <v>3.0819692038351685E-4</v>
      </c>
      <c r="F241" s="424"/>
      <c r="G241" s="423"/>
      <c r="H241" s="423"/>
      <c r="I241" s="423"/>
      <c r="J241" s="425"/>
    </row>
    <row r="242" spans="1:11" x14ac:dyDescent="0.2">
      <c r="A242" s="422"/>
      <c r="B242" s="423"/>
      <c r="C242" s="423"/>
      <c r="D242" s="423"/>
      <c r="E242" s="423"/>
      <c r="F242" s="424"/>
      <c r="G242" s="423"/>
      <c r="H242" s="423"/>
      <c r="I242" s="423"/>
      <c r="J242" s="425"/>
    </row>
    <row r="243" spans="1:11" x14ac:dyDescent="0.2">
      <c r="A243" s="431" t="s">
        <v>505</v>
      </c>
      <c r="B243" s="432"/>
      <c r="C243" s="432"/>
      <c r="D243" s="432"/>
      <c r="E243" s="432"/>
      <c r="F243" s="433"/>
      <c r="G243" s="432"/>
      <c r="H243" s="432"/>
      <c r="I243" s="432"/>
      <c r="J243" s="434" t="s">
        <v>504</v>
      </c>
      <c r="K243" s="886"/>
    </row>
    <row r="244" spans="1:11" x14ac:dyDescent="0.2">
      <c r="A244" s="422"/>
      <c r="B244" s="423"/>
      <c r="C244" s="423"/>
      <c r="D244" s="423"/>
      <c r="E244" s="423"/>
      <c r="F244" s="424"/>
      <c r="G244" s="423"/>
      <c r="H244" s="423"/>
      <c r="I244" s="423"/>
      <c r="J244" s="425"/>
    </row>
    <row r="245" spans="1:11" x14ac:dyDescent="0.2">
      <c r="A245" s="422"/>
      <c r="B245" s="423" t="s">
        <v>496</v>
      </c>
      <c r="C245" s="423"/>
      <c r="D245" s="423"/>
      <c r="E245" s="426" t="s">
        <v>479</v>
      </c>
      <c r="F245" s="424"/>
      <c r="G245" s="423"/>
      <c r="H245" s="423"/>
      <c r="I245" s="423"/>
      <c r="J245" s="425"/>
    </row>
    <row r="246" spans="1:11" x14ac:dyDescent="0.2">
      <c r="A246" s="422"/>
      <c r="B246" s="423"/>
      <c r="C246" s="423" t="s">
        <v>531</v>
      </c>
      <c r="D246" s="423"/>
      <c r="E246" s="21">
        <v>-0.1160817994151977</v>
      </c>
      <c r="F246" s="424"/>
      <c r="G246" s="423"/>
      <c r="H246" s="423"/>
      <c r="I246" s="423"/>
      <c r="J246" s="425"/>
    </row>
    <row r="247" spans="1:11" x14ac:dyDescent="0.2">
      <c r="A247" s="422"/>
      <c r="B247" s="423"/>
      <c r="C247" s="423" t="s">
        <v>532</v>
      </c>
      <c r="D247" s="423"/>
      <c r="E247" s="21">
        <v>-4.7633963527131562E-2</v>
      </c>
      <c r="F247" s="424"/>
      <c r="G247" s="423"/>
      <c r="H247" s="423"/>
      <c r="I247" s="423"/>
      <c r="J247" s="425"/>
    </row>
    <row r="248" spans="1:11" x14ac:dyDescent="0.2">
      <c r="A248" s="422"/>
      <c r="B248" s="423"/>
      <c r="C248" s="423" t="s">
        <v>533</v>
      </c>
      <c r="D248" s="423"/>
      <c r="E248" s="21">
        <v>-2.8900220596083437E-2</v>
      </c>
      <c r="F248" s="424"/>
      <c r="G248" s="423"/>
      <c r="H248" s="423"/>
      <c r="I248" s="423"/>
      <c r="J248" s="425"/>
    </row>
    <row r="249" spans="1:11" x14ac:dyDescent="0.2">
      <c r="A249" s="422"/>
      <c r="B249" s="423"/>
      <c r="C249" s="423" t="s">
        <v>534</v>
      </c>
      <c r="D249" s="423"/>
      <c r="E249" s="21">
        <v>-1.6018742597476043E-2</v>
      </c>
      <c r="F249" s="424"/>
      <c r="G249" s="423"/>
      <c r="H249" s="423"/>
      <c r="I249" s="423"/>
      <c r="J249" s="425"/>
    </row>
    <row r="250" spans="1:11" x14ac:dyDescent="0.2">
      <c r="A250" s="422"/>
      <c r="B250" s="423"/>
      <c r="C250" s="423" t="s">
        <v>535</v>
      </c>
      <c r="D250" s="423"/>
      <c r="E250" s="21">
        <v>-6.0199564786459492E-3</v>
      </c>
      <c r="F250" s="424"/>
      <c r="G250" s="423"/>
      <c r="H250" s="423"/>
      <c r="I250" s="423"/>
      <c r="J250" s="425"/>
    </row>
    <row r="251" spans="1:11" x14ac:dyDescent="0.2">
      <c r="A251" s="422"/>
      <c r="B251" s="423"/>
      <c r="C251" s="423" t="s">
        <v>536</v>
      </c>
      <c r="D251" s="423"/>
      <c r="E251" s="21">
        <v>2.3084332671916563E-3</v>
      </c>
      <c r="F251" s="424"/>
      <c r="G251" s="423"/>
      <c r="H251" s="423"/>
      <c r="I251" s="423"/>
      <c r="J251" s="425"/>
    </row>
    <row r="252" spans="1:11" x14ac:dyDescent="0.2">
      <c r="A252" s="422"/>
      <c r="B252" s="423"/>
      <c r="C252" s="423" t="s">
        <v>537</v>
      </c>
      <c r="D252" s="423"/>
      <c r="E252" s="21">
        <v>9.3935632307624584E-3</v>
      </c>
      <c r="F252" s="424"/>
      <c r="G252" s="423"/>
      <c r="H252" s="423"/>
      <c r="I252" s="423"/>
      <c r="J252" s="425"/>
    </row>
    <row r="253" spans="1:11" x14ac:dyDescent="0.2">
      <c r="A253" s="422"/>
      <c r="B253" s="423"/>
      <c r="C253" s="423" t="s">
        <v>538</v>
      </c>
      <c r="D253" s="423"/>
      <c r="E253" s="21">
        <v>1.5970390549988001E-2</v>
      </c>
      <c r="F253" s="424"/>
      <c r="G253" s="423"/>
      <c r="H253" s="423"/>
      <c r="I253" s="423"/>
      <c r="J253" s="425"/>
    </row>
    <row r="254" spans="1:11" x14ac:dyDescent="0.2">
      <c r="A254" s="422"/>
      <c r="B254" s="423"/>
      <c r="C254" s="423" t="s">
        <v>539</v>
      </c>
      <c r="D254" s="423"/>
      <c r="E254" s="21">
        <v>2.3371441847917E-2</v>
      </c>
      <c r="F254" s="424"/>
      <c r="G254" s="423"/>
      <c r="H254" s="423"/>
      <c r="I254" s="423"/>
      <c r="J254" s="425"/>
    </row>
    <row r="255" spans="1:11" x14ac:dyDescent="0.2">
      <c r="A255" s="422"/>
      <c r="B255" s="423"/>
      <c r="C255" s="423" t="s">
        <v>540</v>
      </c>
      <c r="D255" s="423"/>
      <c r="E255" s="21">
        <v>3.2398737577528001E-2</v>
      </c>
      <c r="F255" s="424"/>
      <c r="G255" s="423"/>
      <c r="H255" s="423"/>
      <c r="I255" s="423"/>
      <c r="J255" s="425"/>
    </row>
    <row r="256" spans="1:11" x14ac:dyDescent="0.2">
      <c r="A256" s="422"/>
      <c r="B256" s="423"/>
      <c r="C256" s="423" t="s">
        <v>541</v>
      </c>
      <c r="D256" s="423"/>
      <c r="E256" s="21">
        <v>5.7584204995468E-2</v>
      </c>
      <c r="F256" s="424"/>
      <c r="G256" s="423"/>
      <c r="H256" s="423"/>
      <c r="I256" s="423"/>
      <c r="J256" s="425"/>
    </row>
    <row r="257" spans="1:11" x14ac:dyDescent="0.2">
      <c r="A257" s="422"/>
      <c r="B257" s="423"/>
      <c r="C257" s="423"/>
      <c r="D257" s="423"/>
      <c r="E257" s="423"/>
      <c r="F257" s="424"/>
      <c r="G257" s="423"/>
      <c r="H257" s="423"/>
      <c r="I257" s="423"/>
      <c r="J257" s="425"/>
    </row>
    <row r="258" spans="1:11" x14ac:dyDescent="0.2">
      <c r="A258" s="431" t="s">
        <v>506</v>
      </c>
      <c r="B258" s="432"/>
      <c r="C258" s="432"/>
      <c r="D258" s="432"/>
      <c r="E258" s="432"/>
      <c r="F258" s="433"/>
      <c r="G258" s="432"/>
      <c r="H258" s="432"/>
      <c r="I258" s="432"/>
      <c r="J258" s="434" t="s">
        <v>507</v>
      </c>
      <c r="K258" s="886"/>
    </row>
    <row r="259" spans="1:11" x14ac:dyDescent="0.2">
      <c r="A259" s="422"/>
      <c r="B259" s="423"/>
      <c r="C259" s="423"/>
      <c r="D259" s="423"/>
      <c r="E259" s="423"/>
      <c r="F259" s="424"/>
      <c r="G259" s="423"/>
      <c r="H259" s="423"/>
      <c r="I259" s="423"/>
      <c r="J259" s="425"/>
    </row>
    <row r="260" spans="1:11" x14ac:dyDescent="0.2">
      <c r="A260" s="422"/>
      <c r="B260" s="423" t="s">
        <v>476</v>
      </c>
      <c r="C260" s="423"/>
      <c r="D260" s="423"/>
      <c r="E260" s="423"/>
      <c r="F260" s="424"/>
      <c r="G260" s="423"/>
      <c r="H260" s="423"/>
      <c r="I260" s="423"/>
      <c r="J260" s="425"/>
    </row>
    <row r="261" spans="1:11" x14ac:dyDescent="0.2">
      <c r="A261" s="422"/>
      <c r="B261" s="423"/>
      <c r="C261" s="423" t="s">
        <v>654</v>
      </c>
      <c r="D261" s="423"/>
      <c r="E261" s="423"/>
      <c r="F261" s="424"/>
      <c r="G261" s="423"/>
      <c r="H261" s="423"/>
      <c r="I261" s="423"/>
      <c r="J261" s="425"/>
    </row>
    <row r="262" spans="1:11" x14ac:dyDescent="0.2">
      <c r="A262" s="422"/>
      <c r="B262" s="423"/>
      <c r="C262" s="423" t="s">
        <v>477</v>
      </c>
      <c r="D262" s="423"/>
      <c r="E262" s="423"/>
      <c r="F262" s="424"/>
      <c r="G262" s="423"/>
      <c r="H262" s="423"/>
      <c r="I262" s="423"/>
      <c r="J262" s="425"/>
    </row>
    <row r="263" spans="1:11" x14ac:dyDescent="0.2">
      <c r="A263" s="422"/>
      <c r="B263" s="423"/>
      <c r="C263" s="423" t="s">
        <v>655</v>
      </c>
      <c r="D263" s="423"/>
      <c r="E263" s="423"/>
      <c r="F263" s="424"/>
      <c r="G263" s="423"/>
      <c r="H263" s="423"/>
      <c r="I263" s="423"/>
      <c r="J263" s="425"/>
    </row>
    <row r="264" spans="1:11" x14ac:dyDescent="0.2">
      <c r="A264" s="422"/>
      <c r="B264" s="423"/>
      <c r="C264" s="423" t="s">
        <v>656</v>
      </c>
      <c r="D264" s="423"/>
      <c r="E264" s="423"/>
      <c r="F264" s="424"/>
      <c r="G264" s="423"/>
      <c r="H264" s="423"/>
      <c r="I264" s="423"/>
      <c r="J264" s="425"/>
    </row>
    <row r="265" spans="1:11" x14ac:dyDescent="0.2">
      <c r="A265" s="422"/>
      <c r="B265" s="423"/>
      <c r="C265" s="423" t="s">
        <v>642</v>
      </c>
      <c r="D265" s="423"/>
      <c r="E265" s="423"/>
      <c r="F265" s="424"/>
      <c r="G265" s="423"/>
      <c r="H265" s="423"/>
      <c r="I265" s="423"/>
      <c r="J265" s="425"/>
    </row>
    <row r="266" spans="1:11" x14ac:dyDescent="0.2">
      <c r="A266" s="422"/>
      <c r="B266" s="423"/>
      <c r="C266" s="423"/>
      <c r="D266" s="423"/>
      <c r="E266" s="423"/>
      <c r="F266" s="424"/>
      <c r="G266" s="423"/>
      <c r="H266" s="423"/>
      <c r="I266" s="423"/>
      <c r="J266" s="425"/>
    </row>
    <row r="267" spans="1:11" x14ac:dyDescent="0.2">
      <c r="A267" s="422"/>
      <c r="B267" s="423"/>
      <c r="C267" s="423"/>
      <c r="D267" s="423"/>
      <c r="E267" s="423"/>
      <c r="F267" s="424"/>
      <c r="G267" s="423"/>
      <c r="H267" s="423"/>
      <c r="I267" s="423"/>
      <c r="J267" s="425"/>
    </row>
    <row r="268" spans="1:11" x14ac:dyDescent="0.2">
      <c r="A268" s="422"/>
      <c r="B268" s="423"/>
      <c r="C268" s="423"/>
      <c r="D268" s="423"/>
      <c r="E268" s="423"/>
      <c r="F268" s="424"/>
      <c r="G268" s="423"/>
      <c r="H268" s="423"/>
      <c r="I268" s="423"/>
      <c r="J268" s="425"/>
    </row>
    <row r="269" spans="1:11" x14ac:dyDescent="0.2">
      <c r="A269" s="422"/>
      <c r="B269" s="423"/>
      <c r="C269" s="423"/>
      <c r="D269" s="423"/>
      <c r="E269" s="423"/>
      <c r="F269" s="424"/>
      <c r="G269" s="423"/>
      <c r="H269" s="423"/>
      <c r="I269" s="423"/>
      <c r="J269" s="425"/>
    </row>
    <row r="270" spans="1:11" x14ac:dyDescent="0.2">
      <c r="A270" s="422"/>
      <c r="B270" s="423"/>
      <c r="C270" s="423"/>
      <c r="D270" s="423"/>
      <c r="E270" s="423"/>
      <c r="F270" s="424"/>
      <c r="G270" s="423"/>
      <c r="H270" s="423"/>
      <c r="I270" s="423"/>
      <c r="J270" s="425"/>
    </row>
    <row r="271" spans="1:11" x14ac:dyDescent="0.2">
      <c r="A271" s="422"/>
      <c r="B271" s="423"/>
      <c r="C271" s="423"/>
      <c r="D271" s="423"/>
      <c r="E271" s="423"/>
      <c r="F271" s="424"/>
      <c r="G271" s="423"/>
      <c r="H271" s="423"/>
      <c r="I271" s="423"/>
      <c r="J271" s="425"/>
    </row>
    <row r="272" spans="1:11" x14ac:dyDescent="0.2">
      <c r="A272" s="422"/>
      <c r="B272" s="423"/>
      <c r="C272" s="423"/>
      <c r="D272" s="423"/>
      <c r="E272" s="423"/>
      <c r="F272" s="424"/>
      <c r="G272" s="423"/>
      <c r="H272" s="423"/>
      <c r="I272" s="423"/>
      <c r="J272" s="425"/>
    </row>
    <row r="273" spans="1:10" x14ac:dyDescent="0.2">
      <c r="A273" s="422"/>
      <c r="B273" s="423"/>
      <c r="C273" s="423"/>
      <c r="D273" s="423"/>
      <c r="E273" s="423"/>
      <c r="F273" s="424"/>
      <c r="G273" s="423"/>
      <c r="H273" s="423"/>
      <c r="I273" s="423"/>
      <c r="J273" s="425"/>
    </row>
    <row r="274" spans="1:10" x14ac:dyDescent="0.2">
      <c r="A274" s="422"/>
      <c r="B274" s="423"/>
      <c r="C274" s="423"/>
      <c r="D274" s="423"/>
      <c r="E274" s="423"/>
      <c r="F274" s="424"/>
      <c r="G274" s="423"/>
      <c r="H274" s="423"/>
      <c r="I274" s="423"/>
      <c r="J274" s="425"/>
    </row>
    <row r="275" spans="1:10" x14ac:dyDescent="0.2">
      <c r="A275" s="422"/>
      <c r="B275" s="423"/>
      <c r="C275" s="423"/>
      <c r="D275" s="423"/>
      <c r="E275" s="423"/>
      <c r="F275" s="424"/>
      <c r="G275" s="423"/>
      <c r="H275" s="423"/>
      <c r="I275" s="423"/>
      <c r="J275" s="425"/>
    </row>
    <row r="276" spans="1:10" x14ac:dyDescent="0.2">
      <c r="A276" s="422"/>
      <c r="B276" s="423"/>
      <c r="C276" s="423"/>
      <c r="D276" s="423"/>
      <c r="E276" s="423"/>
      <c r="F276" s="424"/>
      <c r="G276" s="423"/>
      <c r="H276" s="423"/>
      <c r="I276" s="423"/>
      <c r="J276" s="425"/>
    </row>
    <row r="277" spans="1:10" x14ac:dyDescent="0.2">
      <c r="A277" s="422"/>
      <c r="B277" s="423"/>
      <c r="C277" s="423"/>
      <c r="D277" s="423"/>
      <c r="E277" s="423"/>
      <c r="F277" s="424"/>
      <c r="G277" s="423"/>
      <c r="H277" s="423"/>
      <c r="I277" s="423"/>
      <c r="J277" s="425"/>
    </row>
    <row r="278" spans="1:10" x14ac:dyDescent="0.2">
      <c r="A278" s="422"/>
      <c r="B278" s="423"/>
      <c r="C278" s="423"/>
      <c r="D278" s="423"/>
      <c r="E278" s="423"/>
      <c r="F278" s="424"/>
      <c r="G278" s="423"/>
      <c r="H278" s="423"/>
      <c r="I278" s="423"/>
      <c r="J278" s="425"/>
    </row>
    <row r="279" spans="1:10" x14ac:dyDescent="0.2">
      <c r="A279" s="422"/>
      <c r="B279" s="423"/>
      <c r="C279" s="423"/>
      <c r="D279" s="423"/>
      <c r="E279" s="423"/>
      <c r="F279" s="424"/>
      <c r="G279" s="423"/>
      <c r="H279" s="423"/>
      <c r="I279" s="423"/>
      <c r="J279" s="425"/>
    </row>
    <row r="280" spans="1:10" x14ac:dyDescent="0.2">
      <c r="A280" s="422"/>
      <c r="B280" s="423"/>
      <c r="C280" s="423"/>
      <c r="D280" s="423"/>
      <c r="E280" s="423"/>
      <c r="F280" s="424"/>
      <c r="G280" s="423"/>
      <c r="H280" s="423"/>
      <c r="I280" s="423"/>
      <c r="J280" s="425"/>
    </row>
    <row r="281" spans="1:10" x14ac:dyDescent="0.2">
      <c r="A281" s="422"/>
      <c r="B281" s="423"/>
      <c r="C281" s="423"/>
      <c r="D281" s="423"/>
      <c r="E281" s="423"/>
      <c r="F281" s="424"/>
      <c r="G281" s="423"/>
      <c r="H281" s="423"/>
      <c r="I281" s="423"/>
      <c r="J281" s="425"/>
    </row>
    <row r="282" spans="1:10" x14ac:dyDescent="0.2">
      <c r="A282" s="422"/>
      <c r="B282" s="423"/>
      <c r="C282" s="423"/>
      <c r="D282" s="423"/>
      <c r="E282" s="423"/>
      <c r="F282" s="424"/>
      <c r="G282" s="423"/>
      <c r="H282" s="423"/>
      <c r="I282" s="423"/>
      <c r="J282" s="425"/>
    </row>
    <row r="283" spans="1:10" x14ac:dyDescent="0.2">
      <c r="A283" s="422"/>
      <c r="B283" s="423"/>
      <c r="C283" s="423"/>
      <c r="D283" s="423"/>
      <c r="E283" s="423"/>
      <c r="F283" s="424"/>
      <c r="G283" s="423"/>
      <c r="H283" s="423"/>
      <c r="I283" s="423"/>
      <c r="J283" s="425"/>
    </row>
    <row r="284" spans="1:10" x14ac:dyDescent="0.2">
      <c r="A284" s="422"/>
      <c r="B284" s="423"/>
      <c r="C284" s="423"/>
      <c r="D284" s="423"/>
      <c r="E284" s="423"/>
      <c r="F284" s="424"/>
      <c r="G284" s="423"/>
      <c r="H284" s="423"/>
      <c r="I284" s="423"/>
      <c r="J284" s="425"/>
    </row>
    <row r="285" spans="1:10" x14ac:dyDescent="0.2">
      <c r="A285" s="422"/>
      <c r="B285" s="423" t="s">
        <v>478</v>
      </c>
      <c r="C285" s="423"/>
      <c r="D285" s="423"/>
      <c r="E285" s="426" t="s">
        <v>479</v>
      </c>
      <c r="F285" s="424"/>
      <c r="G285" s="423"/>
      <c r="H285" s="423"/>
      <c r="I285" s="423"/>
      <c r="J285" s="425"/>
    </row>
    <row r="286" spans="1:10" x14ac:dyDescent="0.2">
      <c r="A286" s="422"/>
      <c r="B286" s="423"/>
      <c r="C286" s="423" t="s">
        <v>480</v>
      </c>
      <c r="D286" s="423"/>
      <c r="E286" s="427">
        <v>10000</v>
      </c>
      <c r="F286" s="424"/>
      <c r="G286" s="423"/>
      <c r="H286" s="423"/>
      <c r="I286" s="423"/>
      <c r="J286" s="425"/>
    </row>
    <row r="287" spans="1:10" x14ac:dyDescent="0.2">
      <c r="A287" s="422"/>
      <c r="B287" s="423"/>
      <c r="C287" s="423" t="s">
        <v>481</v>
      </c>
      <c r="D287" s="423"/>
      <c r="E287" s="21">
        <v>0.19059896935753962</v>
      </c>
      <c r="F287" s="424"/>
      <c r="G287" s="423"/>
      <c r="H287" s="423"/>
      <c r="I287" s="423"/>
      <c r="J287" s="425"/>
    </row>
    <row r="288" spans="1:10" x14ac:dyDescent="0.2">
      <c r="A288" s="422"/>
      <c r="B288" s="423"/>
      <c r="C288" s="423" t="s">
        <v>482</v>
      </c>
      <c r="D288" s="423"/>
      <c r="E288" s="21">
        <v>0.17673255015032058</v>
      </c>
      <c r="F288" s="424"/>
      <c r="G288" s="423"/>
      <c r="H288" s="423"/>
      <c r="I288" s="423"/>
      <c r="J288" s="425"/>
    </row>
    <row r="289" spans="1:11" x14ac:dyDescent="0.2">
      <c r="A289" s="422"/>
      <c r="B289" s="423"/>
      <c r="C289" s="423" t="s">
        <v>483</v>
      </c>
      <c r="D289" s="423"/>
      <c r="E289" s="21">
        <v>0.18124508891992408</v>
      </c>
      <c r="F289" s="424"/>
      <c r="G289" s="423"/>
      <c r="H289" s="423"/>
      <c r="I289" s="423"/>
      <c r="J289" s="425"/>
    </row>
    <row r="290" spans="1:11" x14ac:dyDescent="0.2">
      <c r="A290" s="422"/>
      <c r="B290" s="423"/>
      <c r="C290" s="423" t="s">
        <v>484</v>
      </c>
      <c r="D290" s="423"/>
      <c r="E290" s="428" t="s">
        <v>485</v>
      </c>
      <c r="F290" s="424"/>
      <c r="G290" s="423"/>
      <c r="H290" s="423"/>
      <c r="I290" s="423"/>
      <c r="J290" s="425"/>
    </row>
    <row r="291" spans="1:11" x14ac:dyDescent="0.2">
      <c r="A291" s="422"/>
      <c r="B291" s="423"/>
      <c r="C291" s="423" t="s">
        <v>486</v>
      </c>
      <c r="D291" s="423"/>
      <c r="E291" s="21">
        <v>3.0830832479545291E-2</v>
      </c>
      <c r="F291" s="424"/>
      <c r="G291" s="423"/>
      <c r="H291" s="423"/>
      <c r="I291" s="423"/>
      <c r="J291" s="425"/>
    </row>
    <row r="292" spans="1:11" x14ac:dyDescent="0.2">
      <c r="A292" s="422"/>
      <c r="B292" s="423"/>
      <c r="C292" s="423" t="s">
        <v>487</v>
      </c>
      <c r="D292" s="423"/>
      <c r="E292" s="21">
        <v>9.5054023138178476E-4</v>
      </c>
      <c r="F292" s="424"/>
      <c r="G292" s="423"/>
      <c r="H292" s="423"/>
      <c r="I292" s="423"/>
      <c r="J292" s="425"/>
    </row>
    <row r="293" spans="1:11" x14ac:dyDescent="0.2">
      <c r="A293" s="422"/>
      <c r="B293" s="423"/>
      <c r="C293" s="423" t="s">
        <v>488</v>
      </c>
      <c r="D293" s="423"/>
      <c r="E293" s="429">
        <v>-0.50865449236481342</v>
      </c>
      <c r="F293" s="424"/>
      <c r="G293" s="423"/>
      <c r="H293" s="423"/>
      <c r="I293" s="423"/>
      <c r="J293" s="425"/>
    </row>
    <row r="294" spans="1:11" x14ac:dyDescent="0.2">
      <c r="A294" s="422"/>
      <c r="B294" s="423"/>
      <c r="C294" s="423" t="s">
        <v>489</v>
      </c>
      <c r="D294" s="423"/>
      <c r="E294" s="430">
        <v>2.6636089311832718</v>
      </c>
      <c r="F294" s="424"/>
      <c r="G294" s="423"/>
      <c r="H294" s="423"/>
      <c r="I294" s="423"/>
      <c r="J294" s="425"/>
    </row>
    <row r="295" spans="1:11" x14ac:dyDescent="0.2">
      <c r="A295" s="422"/>
      <c r="B295" s="423"/>
      <c r="C295" s="423" t="s">
        <v>490</v>
      </c>
      <c r="D295" s="423"/>
      <c r="E295" s="429">
        <v>0.17444908961774164</v>
      </c>
      <c r="F295" s="424"/>
      <c r="G295" s="423"/>
      <c r="H295" s="423"/>
      <c r="I295" s="423"/>
      <c r="J295" s="425"/>
    </row>
    <row r="296" spans="1:11" x14ac:dyDescent="0.2">
      <c r="A296" s="422"/>
      <c r="B296" s="423"/>
      <c r="C296" s="423" t="s">
        <v>491</v>
      </c>
      <c r="D296" s="423"/>
      <c r="E296" s="21">
        <v>8.402991075631383E-2</v>
      </c>
      <c r="F296" s="424"/>
      <c r="G296" s="423"/>
      <c r="H296" s="423"/>
      <c r="I296" s="423"/>
      <c r="J296" s="425"/>
    </row>
    <row r="297" spans="1:11" x14ac:dyDescent="0.2">
      <c r="A297" s="422"/>
      <c r="B297" s="423"/>
      <c r="C297" s="423" t="s">
        <v>492</v>
      </c>
      <c r="D297" s="423"/>
      <c r="E297" s="21">
        <v>0.23760066796251511</v>
      </c>
      <c r="F297" s="424"/>
      <c r="G297" s="423"/>
      <c r="H297" s="423"/>
      <c r="I297" s="423"/>
      <c r="J297" s="425"/>
    </row>
    <row r="298" spans="1:11" x14ac:dyDescent="0.2">
      <c r="A298" s="422"/>
      <c r="B298" s="423"/>
      <c r="C298" s="423" t="s">
        <v>493</v>
      </c>
      <c r="D298" s="423"/>
      <c r="E298" s="21">
        <v>0.15357075720620128</v>
      </c>
      <c r="F298" s="424"/>
      <c r="G298" s="423"/>
      <c r="H298" s="423"/>
      <c r="I298" s="423"/>
      <c r="J298" s="425"/>
    </row>
    <row r="299" spans="1:11" x14ac:dyDescent="0.2">
      <c r="A299" s="422"/>
      <c r="B299" s="423"/>
      <c r="C299" s="423" t="s">
        <v>494</v>
      </c>
      <c r="D299" s="423"/>
      <c r="E299" s="21">
        <v>3.0830832479545293E-4</v>
      </c>
      <c r="F299" s="424"/>
      <c r="G299" s="423"/>
      <c r="H299" s="423"/>
      <c r="I299" s="423"/>
      <c r="J299" s="425"/>
    </row>
    <row r="300" spans="1:11" x14ac:dyDescent="0.2">
      <c r="A300" s="422"/>
      <c r="B300" s="423"/>
      <c r="C300" s="423"/>
      <c r="D300" s="423"/>
      <c r="E300" s="423"/>
      <c r="F300" s="424"/>
      <c r="G300" s="423"/>
      <c r="H300" s="423"/>
      <c r="I300" s="423"/>
      <c r="J300" s="425"/>
    </row>
    <row r="301" spans="1:11" x14ac:dyDescent="0.2">
      <c r="A301" s="431" t="s">
        <v>508</v>
      </c>
      <c r="B301" s="432"/>
      <c r="C301" s="432"/>
      <c r="D301" s="432"/>
      <c r="E301" s="432"/>
      <c r="F301" s="433"/>
      <c r="G301" s="432"/>
      <c r="H301" s="432"/>
      <c r="I301" s="432"/>
      <c r="J301" s="434" t="s">
        <v>507</v>
      </c>
      <c r="K301" s="886"/>
    </row>
    <row r="302" spans="1:11" x14ac:dyDescent="0.2">
      <c r="A302" s="422"/>
      <c r="B302" s="423"/>
      <c r="C302" s="423"/>
      <c r="D302" s="423"/>
      <c r="E302" s="423"/>
      <c r="F302" s="424"/>
      <c r="G302" s="423"/>
      <c r="H302" s="423"/>
      <c r="I302" s="423"/>
      <c r="J302" s="425"/>
    </row>
    <row r="303" spans="1:11" x14ac:dyDescent="0.2">
      <c r="A303" s="422"/>
      <c r="B303" s="423" t="s">
        <v>496</v>
      </c>
      <c r="C303" s="423"/>
      <c r="D303" s="423"/>
      <c r="E303" s="426" t="s">
        <v>479</v>
      </c>
      <c r="F303" s="424"/>
      <c r="G303" s="423"/>
      <c r="H303" s="423"/>
      <c r="I303" s="423"/>
      <c r="J303" s="425"/>
    </row>
    <row r="304" spans="1:11" x14ac:dyDescent="0.2">
      <c r="A304" s="422"/>
      <c r="B304" s="423"/>
      <c r="C304" s="423" t="s">
        <v>531</v>
      </c>
      <c r="D304" s="423"/>
      <c r="E304" s="21">
        <v>8.4029910756313997E-2</v>
      </c>
      <c r="F304" s="424"/>
      <c r="G304" s="423"/>
      <c r="H304" s="423"/>
      <c r="I304" s="423"/>
      <c r="J304" s="425"/>
    </row>
    <row r="305" spans="1:11" x14ac:dyDescent="0.2">
      <c r="A305" s="422"/>
      <c r="B305" s="423"/>
      <c r="C305" s="423" t="s">
        <v>532</v>
      </c>
      <c r="D305" s="423"/>
      <c r="E305" s="21">
        <v>0.13185206086194701</v>
      </c>
      <c r="F305" s="424"/>
      <c r="G305" s="423"/>
      <c r="H305" s="423"/>
      <c r="I305" s="423"/>
      <c r="J305" s="425"/>
    </row>
    <row r="306" spans="1:11" x14ac:dyDescent="0.2">
      <c r="A306" s="422"/>
      <c r="B306" s="423"/>
      <c r="C306" s="423" t="s">
        <v>533</v>
      </c>
      <c r="D306" s="423"/>
      <c r="E306" s="21">
        <v>0.14981076574080501</v>
      </c>
      <c r="F306" s="424"/>
      <c r="G306" s="423"/>
      <c r="H306" s="423"/>
      <c r="I306" s="423"/>
      <c r="J306" s="425"/>
    </row>
    <row r="307" spans="1:11" x14ac:dyDescent="0.2">
      <c r="A307" s="422"/>
      <c r="B307" s="423"/>
      <c r="C307" s="423" t="s">
        <v>534</v>
      </c>
      <c r="D307" s="423"/>
      <c r="E307" s="21">
        <v>0.162837639552048</v>
      </c>
      <c r="F307" s="424"/>
      <c r="G307" s="423"/>
      <c r="H307" s="423"/>
      <c r="I307" s="423"/>
      <c r="J307" s="425"/>
    </row>
    <row r="308" spans="1:11" x14ac:dyDescent="0.2">
      <c r="A308" s="422"/>
      <c r="B308" s="423"/>
      <c r="C308" s="423" t="s">
        <v>535</v>
      </c>
      <c r="D308" s="423"/>
      <c r="E308" s="21">
        <v>0.17279778795752199</v>
      </c>
      <c r="F308" s="424"/>
      <c r="G308" s="423"/>
      <c r="H308" s="423"/>
      <c r="I308" s="423"/>
      <c r="J308" s="425"/>
    </row>
    <row r="309" spans="1:11" x14ac:dyDescent="0.2">
      <c r="A309" s="422"/>
      <c r="B309" s="423"/>
      <c r="C309" s="423" t="s">
        <v>536</v>
      </c>
      <c r="D309" s="423"/>
      <c r="E309" s="21">
        <v>0.181243510156435</v>
      </c>
      <c r="F309" s="424"/>
      <c r="G309" s="423"/>
      <c r="H309" s="423"/>
      <c r="I309" s="423"/>
      <c r="J309" s="425"/>
    </row>
    <row r="310" spans="1:11" x14ac:dyDescent="0.2">
      <c r="A310" s="422"/>
      <c r="B310" s="423"/>
      <c r="C310" s="423" t="s">
        <v>537</v>
      </c>
      <c r="D310" s="423"/>
      <c r="E310" s="21">
        <v>0.18866466615362201</v>
      </c>
      <c r="F310" s="424"/>
      <c r="G310" s="423"/>
      <c r="H310" s="423"/>
      <c r="I310" s="423"/>
      <c r="J310" s="425"/>
    </row>
    <row r="311" spans="1:11" x14ac:dyDescent="0.2">
      <c r="A311" s="422"/>
      <c r="B311" s="423"/>
      <c r="C311" s="423" t="s">
        <v>538</v>
      </c>
      <c r="D311" s="423"/>
      <c r="E311" s="21">
        <v>0.19580663464822301</v>
      </c>
      <c r="F311" s="424"/>
      <c r="G311" s="423"/>
      <c r="H311" s="423"/>
      <c r="I311" s="423"/>
      <c r="J311" s="425"/>
    </row>
    <row r="312" spans="1:11" x14ac:dyDescent="0.2">
      <c r="A312" s="422"/>
      <c r="B312" s="423"/>
      <c r="C312" s="423" t="s">
        <v>539</v>
      </c>
      <c r="D312" s="423"/>
      <c r="E312" s="21">
        <v>0.20399308370063701</v>
      </c>
      <c r="F312" s="424"/>
      <c r="G312" s="423"/>
      <c r="H312" s="423"/>
      <c r="I312" s="423"/>
      <c r="J312" s="425"/>
    </row>
    <row r="313" spans="1:11" x14ac:dyDescent="0.2">
      <c r="A313" s="422"/>
      <c r="B313" s="423"/>
      <c r="C313" s="423" t="s">
        <v>540</v>
      </c>
      <c r="D313" s="423"/>
      <c r="E313" s="21">
        <v>0.21423222273440601</v>
      </c>
      <c r="F313" s="424"/>
      <c r="G313" s="423"/>
      <c r="H313" s="423"/>
      <c r="I313" s="423"/>
      <c r="J313" s="425"/>
    </row>
    <row r="314" spans="1:11" x14ac:dyDescent="0.2">
      <c r="A314" s="422"/>
      <c r="B314" s="423"/>
      <c r="C314" s="423" t="s">
        <v>541</v>
      </c>
      <c r="D314" s="423"/>
      <c r="E314" s="21">
        <v>0.237600667962515</v>
      </c>
      <c r="F314" s="424"/>
      <c r="G314" s="423"/>
      <c r="H314" s="423"/>
      <c r="I314" s="423"/>
      <c r="J314" s="425"/>
    </row>
    <row r="315" spans="1:11" x14ac:dyDescent="0.2">
      <c r="A315" s="422"/>
      <c r="B315" s="423"/>
      <c r="C315" s="423"/>
      <c r="D315" s="423"/>
      <c r="E315" s="423"/>
      <c r="F315" s="424"/>
      <c r="G315" s="423"/>
      <c r="H315" s="423"/>
      <c r="I315" s="423"/>
      <c r="J315" s="425"/>
    </row>
    <row r="316" spans="1:11" x14ac:dyDescent="0.2">
      <c r="A316" s="431" t="s">
        <v>509</v>
      </c>
      <c r="B316" s="432"/>
      <c r="C316" s="432"/>
      <c r="D316" s="432"/>
      <c r="E316" s="432"/>
      <c r="F316" s="433"/>
      <c r="G316" s="432"/>
      <c r="H316" s="432"/>
      <c r="I316" s="432"/>
      <c r="J316" s="434" t="s">
        <v>510</v>
      </c>
      <c r="K316" s="886"/>
    </row>
    <row r="317" spans="1:11" x14ac:dyDescent="0.2">
      <c r="A317" s="422"/>
      <c r="B317" s="423"/>
      <c r="C317" s="423"/>
      <c r="D317" s="423"/>
      <c r="E317" s="423"/>
      <c r="F317" s="424"/>
      <c r="G317" s="423"/>
      <c r="H317" s="423"/>
      <c r="I317" s="423"/>
      <c r="J317" s="425"/>
    </row>
    <row r="318" spans="1:11" x14ac:dyDescent="0.2">
      <c r="A318" s="422"/>
      <c r="B318" s="423" t="s">
        <v>476</v>
      </c>
      <c r="C318" s="423"/>
      <c r="D318" s="423"/>
      <c r="E318" s="423"/>
      <c r="F318" s="424"/>
      <c r="G318" s="423"/>
      <c r="H318" s="423"/>
      <c r="I318" s="423"/>
      <c r="J318" s="425"/>
    </row>
    <row r="319" spans="1:11" x14ac:dyDescent="0.2">
      <c r="A319" s="422"/>
      <c r="B319" s="423"/>
      <c r="C319" s="423" t="s">
        <v>657</v>
      </c>
      <c r="D319" s="423"/>
      <c r="E319" s="423"/>
      <c r="F319" s="424"/>
      <c r="G319" s="423"/>
      <c r="H319" s="423"/>
      <c r="I319" s="423"/>
      <c r="J319" s="425"/>
    </row>
    <row r="320" spans="1:11" x14ac:dyDescent="0.2">
      <c r="A320" s="422"/>
      <c r="B320" s="423"/>
      <c r="C320" s="423" t="s">
        <v>477</v>
      </c>
      <c r="D320" s="423"/>
      <c r="E320" s="423"/>
      <c r="F320" s="424"/>
      <c r="G320" s="423"/>
      <c r="H320" s="423"/>
      <c r="I320" s="423"/>
      <c r="J320" s="425"/>
    </row>
    <row r="321" spans="1:10" x14ac:dyDescent="0.2">
      <c r="A321" s="422"/>
      <c r="B321" s="423"/>
      <c r="C321" s="423" t="s">
        <v>658</v>
      </c>
      <c r="D321" s="423"/>
      <c r="E321" s="423"/>
      <c r="F321" s="424"/>
      <c r="G321" s="423"/>
      <c r="H321" s="423"/>
      <c r="I321" s="423"/>
      <c r="J321" s="425"/>
    </row>
    <row r="322" spans="1:10" x14ac:dyDescent="0.2">
      <c r="A322" s="422"/>
      <c r="B322" s="423"/>
      <c r="C322" s="423" t="s">
        <v>659</v>
      </c>
      <c r="D322" s="423"/>
      <c r="E322" s="423"/>
      <c r="F322" s="424"/>
      <c r="G322" s="423"/>
      <c r="H322" s="423"/>
      <c r="I322" s="423"/>
      <c r="J322" s="425"/>
    </row>
    <row r="323" spans="1:10" x14ac:dyDescent="0.2">
      <c r="A323" s="422"/>
      <c r="B323" s="423"/>
      <c r="C323" s="423" t="s">
        <v>642</v>
      </c>
      <c r="D323" s="423"/>
      <c r="E323" s="423"/>
      <c r="F323" s="424"/>
      <c r="G323" s="423"/>
      <c r="H323" s="423"/>
      <c r="I323" s="423"/>
      <c r="J323" s="425"/>
    </row>
    <row r="324" spans="1:10" x14ac:dyDescent="0.2">
      <c r="A324" s="422"/>
      <c r="B324" s="423"/>
      <c r="C324" s="423"/>
      <c r="D324" s="423"/>
      <c r="E324" s="423"/>
      <c r="F324" s="424"/>
      <c r="G324" s="423"/>
      <c r="H324" s="423"/>
      <c r="I324" s="423"/>
      <c r="J324" s="425"/>
    </row>
    <row r="325" spans="1:10" x14ac:dyDescent="0.2">
      <c r="A325" s="422"/>
      <c r="B325" s="423"/>
      <c r="C325" s="423"/>
      <c r="D325" s="423"/>
      <c r="E325" s="423"/>
      <c r="F325" s="424"/>
      <c r="G325" s="423"/>
      <c r="H325" s="423"/>
      <c r="I325" s="423"/>
      <c r="J325" s="425"/>
    </row>
    <row r="326" spans="1:10" x14ac:dyDescent="0.2">
      <c r="A326" s="422"/>
      <c r="B326" s="423"/>
      <c r="C326" s="423"/>
      <c r="D326" s="423"/>
      <c r="E326" s="423"/>
      <c r="F326" s="424"/>
      <c r="G326" s="423"/>
      <c r="H326" s="423"/>
      <c r="I326" s="423"/>
      <c r="J326" s="425"/>
    </row>
    <row r="327" spans="1:10" x14ac:dyDescent="0.2">
      <c r="A327" s="422"/>
      <c r="B327" s="423"/>
      <c r="C327" s="423"/>
      <c r="D327" s="423"/>
      <c r="E327" s="423"/>
      <c r="F327" s="424"/>
      <c r="G327" s="423"/>
      <c r="H327" s="423"/>
      <c r="I327" s="423"/>
      <c r="J327" s="425"/>
    </row>
    <row r="328" spans="1:10" x14ac:dyDescent="0.2">
      <c r="A328" s="422"/>
      <c r="B328" s="423"/>
      <c r="C328" s="423"/>
      <c r="D328" s="423"/>
      <c r="E328" s="423"/>
      <c r="F328" s="424"/>
      <c r="G328" s="423"/>
      <c r="H328" s="423"/>
      <c r="I328" s="423"/>
      <c r="J328" s="425"/>
    </row>
    <row r="329" spans="1:10" x14ac:dyDescent="0.2">
      <c r="A329" s="422"/>
      <c r="B329" s="423"/>
      <c r="C329" s="423"/>
      <c r="D329" s="423"/>
      <c r="E329" s="423"/>
      <c r="F329" s="424"/>
      <c r="G329" s="423"/>
      <c r="H329" s="423"/>
      <c r="I329" s="423"/>
      <c r="J329" s="425"/>
    </row>
    <row r="330" spans="1:10" x14ac:dyDescent="0.2">
      <c r="A330" s="422"/>
      <c r="B330" s="423"/>
      <c r="C330" s="423"/>
      <c r="D330" s="423"/>
      <c r="E330" s="423"/>
      <c r="F330" s="424"/>
      <c r="G330" s="423"/>
      <c r="H330" s="423"/>
      <c r="I330" s="423"/>
      <c r="J330" s="425"/>
    </row>
    <row r="331" spans="1:10" x14ac:dyDescent="0.2">
      <c r="A331" s="422"/>
      <c r="B331" s="423"/>
      <c r="C331" s="423"/>
      <c r="D331" s="423"/>
      <c r="E331" s="423"/>
      <c r="F331" s="424"/>
      <c r="G331" s="423"/>
      <c r="H331" s="423"/>
      <c r="I331" s="423"/>
      <c r="J331" s="425"/>
    </row>
    <row r="332" spans="1:10" x14ac:dyDescent="0.2">
      <c r="A332" s="422"/>
      <c r="B332" s="423"/>
      <c r="C332" s="423"/>
      <c r="D332" s="423"/>
      <c r="E332" s="423"/>
      <c r="F332" s="424"/>
      <c r="G332" s="423"/>
      <c r="H332" s="423"/>
      <c r="I332" s="423"/>
      <c r="J332" s="425"/>
    </row>
    <row r="333" spans="1:10" x14ac:dyDescent="0.2">
      <c r="A333" s="422"/>
      <c r="B333" s="423"/>
      <c r="C333" s="423"/>
      <c r="D333" s="423"/>
      <c r="E333" s="423"/>
      <c r="F333" s="424"/>
      <c r="G333" s="423"/>
      <c r="H333" s="423"/>
      <c r="I333" s="423"/>
      <c r="J333" s="425"/>
    </row>
    <row r="334" spans="1:10" x14ac:dyDescent="0.2">
      <c r="A334" s="422"/>
      <c r="B334" s="423"/>
      <c r="C334" s="423"/>
      <c r="D334" s="423"/>
      <c r="E334" s="423"/>
      <c r="F334" s="424"/>
      <c r="G334" s="423"/>
      <c r="H334" s="423"/>
      <c r="I334" s="423"/>
      <c r="J334" s="425"/>
    </row>
    <row r="335" spans="1:10" x14ac:dyDescent="0.2">
      <c r="A335" s="422"/>
      <c r="B335" s="423"/>
      <c r="C335" s="423"/>
      <c r="D335" s="423"/>
      <c r="E335" s="423"/>
      <c r="F335" s="424"/>
      <c r="G335" s="423"/>
      <c r="H335" s="423"/>
      <c r="I335" s="423"/>
      <c r="J335" s="425"/>
    </row>
    <row r="336" spans="1:10" x14ac:dyDescent="0.2">
      <c r="A336" s="422"/>
      <c r="B336" s="423"/>
      <c r="C336" s="423"/>
      <c r="D336" s="423"/>
      <c r="E336" s="423"/>
      <c r="F336" s="424"/>
      <c r="G336" s="423"/>
      <c r="H336" s="423"/>
      <c r="I336" s="423"/>
      <c r="J336" s="425"/>
    </row>
    <row r="337" spans="1:10" x14ac:dyDescent="0.2">
      <c r="A337" s="422"/>
      <c r="B337" s="423"/>
      <c r="C337" s="423"/>
      <c r="D337" s="423"/>
      <c r="E337" s="423"/>
      <c r="F337" s="424"/>
      <c r="G337" s="423"/>
      <c r="H337" s="423"/>
      <c r="I337" s="423"/>
      <c r="J337" s="425"/>
    </row>
    <row r="338" spans="1:10" x14ac:dyDescent="0.2">
      <c r="A338" s="422"/>
      <c r="B338" s="423"/>
      <c r="C338" s="423"/>
      <c r="D338" s="423"/>
      <c r="E338" s="423"/>
      <c r="F338" s="424"/>
      <c r="G338" s="423"/>
      <c r="H338" s="423"/>
      <c r="I338" s="423"/>
      <c r="J338" s="425"/>
    </row>
    <row r="339" spans="1:10" x14ac:dyDescent="0.2">
      <c r="A339" s="422"/>
      <c r="B339" s="423"/>
      <c r="C339" s="423"/>
      <c r="D339" s="423"/>
      <c r="E339" s="423"/>
      <c r="F339" s="424"/>
      <c r="G339" s="423"/>
      <c r="H339" s="423"/>
      <c r="I339" s="423"/>
      <c r="J339" s="425"/>
    </row>
    <row r="340" spans="1:10" x14ac:dyDescent="0.2">
      <c r="A340" s="422"/>
      <c r="B340" s="423"/>
      <c r="C340" s="423"/>
      <c r="D340" s="423"/>
      <c r="E340" s="423"/>
      <c r="F340" s="424"/>
      <c r="G340" s="423"/>
      <c r="H340" s="423"/>
      <c r="I340" s="423"/>
      <c r="J340" s="425"/>
    </row>
    <row r="341" spans="1:10" x14ac:dyDescent="0.2">
      <c r="A341" s="422"/>
      <c r="B341" s="423"/>
      <c r="C341" s="423"/>
      <c r="D341" s="423"/>
      <c r="E341" s="423"/>
      <c r="F341" s="424"/>
      <c r="G341" s="423"/>
      <c r="H341" s="423"/>
      <c r="I341" s="423"/>
      <c r="J341" s="425"/>
    </row>
    <row r="342" spans="1:10" x14ac:dyDescent="0.2">
      <c r="A342" s="422"/>
      <c r="B342" s="423"/>
      <c r="C342" s="423"/>
      <c r="D342" s="423"/>
      <c r="E342" s="423"/>
      <c r="F342" s="424"/>
      <c r="G342" s="423"/>
      <c r="H342" s="423"/>
      <c r="I342" s="423"/>
      <c r="J342" s="425"/>
    </row>
    <row r="343" spans="1:10" x14ac:dyDescent="0.2">
      <c r="A343" s="422"/>
      <c r="B343" s="423" t="s">
        <v>478</v>
      </c>
      <c r="C343" s="423"/>
      <c r="D343" s="423"/>
      <c r="E343" s="426" t="s">
        <v>479</v>
      </c>
      <c r="F343" s="424"/>
      <c r="G343" s="423"/>
      <c r="H343" s="423"/>
      <c r="I343" s="423"/>
      <c r="J343" s="425"/>
    </row>
    <row r="344" spans="1:10" x14ac:dyDescent="0.2">
      <c r="A344" s="422"/>
      <c r="B344" s="423"/>
      <c r="C344" s="423" t="s">
        <v>480</v>
      </c>
      <c r="D344" s="423"/>
      <c r="E344" s="427">
        <v>10000</v>
      </c>
      <c r="F344" s="424"/>
      <c r="G344" s="423"/>
      <c r="H344" s="423"/>
      <c r="I344" s="423"/>
      <c r="J344" s="425"/>
    </row>
    <row r="345" spans="1:10" x14ac:dyDescent="0.2">
      <c r="A345" s="422"/>
      <c r="B345" s="423"/>
      <c r="C345" s="423" t="s">
        <v>481</v>
      </c>
      <c r="D345" s="423"/>
      <c r="E345" s="21">
        <v>0.1508254025055864</v>
      </c>
      <c r="F345" s="424"/>
      <c r="G345" s="423"/>
      <c r="H345" s="423"/>
      <c r="I345" s="423"/>
      <c r="J345" s="425"/>
    </row>
    <row r="346" spans="1:10" x14ac:dyDescent="0.2">
      <c r="A346" s="422"/>
      <c r="B346" s="423"/>
      <c r="C346" s="423" t="s">
        <v>482</v>
      </c>
      <c r="D346" s="423"/>
      <c r="E346" s="21">
        <v>0.13554503721655245</v>
      </c>
      <c r="F346" s="424"/>
      <c r="G346" s="423"/>
      <c r="H346" s="423"/>
      <c r="I346" s="423"/>
      <c r="J346" s="425"/>
    </row>
    <row r="347" spans="1:10" x14ac:dyDescent="0.2">
      <c r="A347" s="422"/>
      <c r="B347" s="423"/>
      <c r="C347" s="423" t="s">
        <v>483</v>
      </c>
      <c r="D347" s="423"/>
      <c r="E347" s="21">
        <v>0.14061182657149418</v>
      </c>
      <c r="F347" s="424"/>
      <c r="G347" s="423"/>
      <c r="H347" s="423"/>
      <c r="I347" s="423"/>
      <c r="J347" s="425"/>
    </row>
    <row r="348" spans="1:10" x14ac:dyDescent="0.2">
      <c r="A348" s="422"/>
      <c r="B348" s="423"/>
      <c r="C348" s="423" t="s">
        <v>484</v>
      </c>
      <c r="D348" s="423"/>
      <c r="E348" s="428" t="s">
        <v>485</v>
      </c>
      <c r="F348" s="424"/>
      <c r="G348" s="423"/>
      <c r="H348" s="423"/>
      <c r="I348" s="423"/>
      <c r="J348" s="425"/>
    </row>
    <row r="349" spans="1:10" x14ac:dyDescent="0.2">
      <c r="A349" s="422"/>
      <c r="B349" s="423"/>
      <c r="C349" s="423" t="s">
        <v>486</v>
      </c>
      <c r="D349" s="423"/>
      <c r="E349" s="21">
        <v>3.308718359747536E-2</v>
      </c>
      <c r="F349" s="424"/>
      <c r="G349" s="423"/>
      <c r="H349" s="423"/>
      <c r="I349" s="423"/>
      <c r="J349" s="425"/>
    </row>
    <row r="350" spans="1:10" x14ac:dyDescent="0.2">
      <c r="A350" s="422"/>
      <c r="B350" s="423"/>
      <c r="C350" s="423" t="s">
        <v>487</v>
      </c>
      <c r="D350" s="423"/>
      <c r="E350" s="21">
        <v>1.0947617184130425E-3</v>
      </c>
      <c r="F350" s="424"/>
      <c r="G350" s="423"/>
      <c r="H350" s="423"/>
      <c r="I350" s="423"/>
      <c r="J350" s="425"/>
    </row>
    <row r="351" spans="1:10" x14ac:dyDescent="0.2">
      <c r="A351" s="422"/>
      <c r="B351" s="423"/>
      <c r="C351" s="423" t="s">
        <v>488</v>
      </c>
      <c r="D351" s="423"/>
      <c r="E351" s="429">
        <v>-0.53982759052742779</v>
      </c>
      <c r="F351" s="424"/>
      <c r="G351" s="423"/>
      <c r="H351" s="423"/>
      <c r="I351" s="423"/>
      <c r="J351" s="425"/>
    </row>
    <row r="352" spans="1:10" x14ac:dyDescent="0.2">
      <c r="A352" s="422"/>
      <c r="B352" s="423"/>
      <c r="C352" s="423" t="s">
        <v>489</v>
      </c>
      <c r="D352" s="423"/>
      <c r="E352" s="430">
        <v>2.7144060435376631</v>
      </c>
      <c r="F352" s="424"/>
      <c r="G352" s="423"/>
      <c r="H352" s="423"/>
      <c r="I352" s="423"/>
      <c r="J352" s="425"/>
    </row>
    <row r="353" spans="1:11" x14ac:dyDescent="0.2">
      <c r="A353" s="422"/>
      <c r="B353" s="423"/>
      <c r="C353" s="423" t="s">
        <v>490</v>
      </c>
      <c r="D353" s="423"/>
      <c r="E353" s="429">
        <v>0.24410472177313203</v>
      </c>
      <c r="F353" s="424"/>
      <c r="G353" s="423"/>
      <c r="H353" s="423"/>
      <c r="I353" s="423"/>
      <c r="J353" s="425"/>
    </row>
    <row r="354" spans="1:11" x14ac:dyDescent="0.2">
      <c r="A354" s="422"/>
      <c r="B354" s="423"/>
      <c r="C354" s="423" t="s">
        <v>491</v>
      </c>
      <c r="D354" s="423"/>
      <c r="E354" s="21">
        <v>3.2466345185892864E-2</v>
      </c>
      <c r="F354" s="424"/>
      <c r="G354" s="423"/>
      <c r="H354" s="423"/>
      <c r="I354" s="423"/>
      <c r="J354" s="425"/>
    </row>
    <row r="355" spans="1:11" x14ac:dyDescent="0.2">
      <c r="A355" s="422"/>
      <c r="B355" s="423"/>
      <c r="C355" s="423" t="s">
        <v>492</v>
      </c>
      <c r="D355" s="423"/>
      <c r="E355" s="21">
        <v>0.20178009943273167</v>
      </c>
      <c r="F355" s="424"/>
      <c r="G355" s="423"/>
      <c r="H355" s="423"/>
      <c r="I355" s="423"/>
      <c r="J355" s="425"/>
    </row>
    <row r="356" spans="1:11" x14ac:dyDescent="0.2">
      <c r="A356" s="422"/>
      <c r="B356" s="423"/>
      <c r="C356" s="423" t="s">
        <v>493</v>
      </c>
      <c r="D356" s="423"/>
      <c r="E356" s="21">
        <v>0.16931375424683881</v>
      </c>
      <c r="F356" s="424"/>
      <c r="G356" s="423"/>
      <c r="H356" s="423"/>
      <c r="I356" s="423"/>
      <c r="J356" s="425"/>
    </row>
    <row r="357" spans="1:11" x14ac:dyDescent="0.2">
      <c r="A357" s="422"/>
      <c r="B357" s="423"/>
      <c r="C357" s="423" t="s">
        <v>494</v>
      </c>
      <c r="D357" s="423"/>
      <c r="E357" s="21">
        <v>3.3087183597475361E-4</v>
      </c>
      <c r="F357" s="424"/>
      <c r="G357" s="423"/>
      <c r="H357" s="423"/>
      <c r="I357" s="423"/>
      <c r="J357" s="425"/>
    </row>
    <row r="358" spans="1:11" x14ac:dyDescent="0.2">
      <c r="A358" s="422"/>
      <c r="B358" s="423"/>
      <c r="C358" s="423"/>
      <c r="D358" s="423"/>
      <c r="E358" s="423"/>
      <c r="F358" s="424"/>
      <c r="G358" s="423"/>
      <c r="H358" s="423"/>
      <c r="I358" s="423"/>
      <c r="J358" s="425"/>
    </row>
    <row r="359" spans="1:11" x14ac:dyDescent="0.2">
      <c r="A359" s="431" t="s">
        <v>511</v>
      </c>
      <c r="B359" s="432"/>
      <c r="C359" s="432"/>
      <c r="D359" s="432"/>
      <c r="E359" s="432"/>
      <c r="F359" s="433"/>
      <c r="G359" s="432"/>
      <c r="H359" s="432"/>
      <c r="I359" s="432"/>
      <c r="J359" s="434" t="s">
        <v>510</v>
      </c>
      <c r="K359" s="886"/>
    </row>
    <row r="360" spans="1:11" x14ac:dyDescent="0.2">
      <c r="A360" s="422"/>
      <c r="B360" s="423"/>
      <c r="C360" s="423"/>
      <c r="D360" s="423"/>
      <c r="E360" s="423"/>
      <c r="F360" s="424"/>
      <c r="G360" s="423"/>
      <c r="H360" s="423"/>
      <c r="I360" s="423"/>
      <c r="J360" s="425"/>
    </row>
    <row r="361" spans="1:11" x14ac:dyDescent="0.2">
      <c r="A361" s="422"/>
      <c r="B361" s="423" t="s">
        <v>496</v>
      </c>
      <c r="C361" s="423"/>
      <c r="D361" s="423"/>
      <c r="E361" s="426" t="s">
        <v>479</v>
      </c>
      <c r="F361" s="424"/>
      <c r="G361" s="423"/>
      <c r="H361" s="423"/>
      <c r="I361" s="423"/>
      <c r="J361" s="425"/>
    </row>
    <row r="362" spans="1:11" x14ac:dyDescent="0.2">
      <c r="A362" s="422"/>
      <c r="B362" s="423"/>
      <c r="C362" s="423" t="s">
        <v>531</v>
      </c>
      <c r="D362" s="423"/>
      <c r="E362" s="21">
        <v>3.2466345185893003E-2</v>
      </c>
      <c r="F362" s="424"/>
      <c r="G362" s="423"/>
      <c r="H362" s="423"/>
      <c r="I362" s="423"/>
      <c r="J362" s="425"/>
    </row>
    <row r="363" spans="1:11" x14ac:dyDescent="0.2">
      <c r="A363" s="422"/>
      <c r="B363" s="423"/>
      <c r="C363" s="423" t="s">
        <v>532</v>
      </c>
      <c r="D363" s="423"/>
      <c r="E363" s="21">
        <v>8.7592072269239998E-2</v>
      </c>
      <c r="F363" s="424"/>
      <c r="G363" s="423"/>
      <c r="H363" s="423"/>
      <c r="I363" s="423"/>
      <c r="J363" s="425"/>
    </row>
    <row r="364" spans="1:11" x14ac:dyDescent="0.2">
      <c r="A364" s="422"/>
      <c r="B364" s="423"/>
      <c r="C364" s="423" t="s">
        <v>533</v>
      </c>
      <c r="D364" s="423"/>
      <c r="E364" s="21">
        <v>0.106664270471859</v>
      </c>
      <c r="F364" s="424"/>
      <c r="G364" s="423"/>
      <c r="H364" s="423"/>
      <c r="I364" s="423"/>
      <c r="J364" s="425"/>
    </row>
    <row r="365" spans="1:11" x14ac:dyDescent="0.2">
      <c r="A365" s="422"/>
      <c r="B365" s="423"/>
      <c r="C365" s="423" t="s">
        <v>534</v>
      </c>
      <c r="D365" s="423"/>
      <c r="E365" s="21">
        <v>0.120681829978524</v>
      </c>
      <c r="F365" s="424"/>
      <c r="G365" s="423"/>
      <c r="H365" s="423"/>
      <c r="I365" s="423"/>
      <c r="J365" s="425"/>
    </row>
    <row r="366" spans="1:11" x14ac:dyDescent="0.2">
      <c r="A366" s="422"/>
      <c r="B366" s="423"/>
      <c r="C366" s="423" t="s">
        <v>535</v>
      </c>
      <c r="D366" s="423"/>
      <c r="E366" s="21">
        <v>0.13155936475378899</v>
      </c>
      <c r="F366" s="424"/>
      <c r="G366" s="423"/>
      <c r="H366" s="423"/>
      <c r="I366" s="423"/>
      <c r="J366" s="425"/>
    </row>
    <row r="367" spans="1:11" x14ac:dyDescent="0.2">
      <c r="A367" s="422"/>
      <c r="B367" s="423"/>
      <c r="C367" s="423" t="s">
        <v>536</v>
      </c>
      <c r="D367" s="423"/>
      <c r="E367" s="21">
        <v>0.140601936993586</v>
      </c>
      <c r="F367" s="424"/>
      <c r="G367" s="423"/>
      <c r="H367" s="423"/>
      <c r="I367" s="423"/>
      <c r="J367" s="425"/>
    </row>
    <row r="368" spans="1:11" x14ac:dyDescent="0.2">
      <c r="A368" s="422"/>
      <c r="B368" s="423"/>
      <c r="C368" s="423" t="s">
        <v>537</v>
      </c>
      <c r="D368" s="423"/>
      <c r="E368" s="21">
        <v>0.14844037261061799</v>
      </c>
      <c r="F368" s="424"/>
      <c r="G368" s="423"/>
      <c r="H368" s="423"/>
      <c r="I368" s="423"/>
      <c r="J368" s="425"/>
    </row>
    <row r="369" spans="1:11" x14ac:dyDescent="0.2">
      <c r="A369" s="422"/>
      <c r="B369" s="423"/>
      <c r="C369" s="423" t="s">
        <v>538</v>
      </c>
      <c r="D369" s="423"/>
      <c r="E369" s="21">
        <v>0.156062514768539</v>
      </c>
      <c r="F369" s="424"/>
      <c r="G369" s="423"/>
      <c r="H369" s="423"/>
      <c r="I369" s="423"/>
      <c r="J369" s="425"/>
    </row>
    <row r="370" spans="1:11" x14ac:dyDescent="0.2">
      <c r="A370" s="422"/>
      <c r="B370" s="423"/>
      <c r="C370" s="423" t="s">
        <v>539</v>
      </c>
      <c r="D370" s="423"/>
      <c r="E370" s="21">
        <v>0.164748166983443</v>
      </c>
      <c r="F370" s="424"/>
      <c r="G370" s="423"/>
      <c r="H370" s="423"/>
      <c r="I370" s="423"/>
      <c r="J370" s="425"/>
    </row>
    <row r="371" spans="1:11" x14ac:dyDescent="0.2">
      <c r="A371" s="422"/>
      <c r="B371" s="423"/>
      <c r="C371" s="423" t="s">
        <v>540</v>
      </c>
      <c r="D371" s="423"/>
      <c r="E371" s="21">
        <v>0.175357985465834</v>
      </c>
      <c r="F371" s="424"/>
      <c r="G371" s="423"/>
      <c r="H371" s="423"/>
      <c r="I371" s="423"/>
      <c r="J371" s="425"/>
    </row>
    <row r="372" spans="1:11" x14ac:dyDescent="0.2">
      <c r="A372" s="422"/>
      <c r="B372" s="423"/>
      <c r="C372" s="423" t="s">
        <v>541</v>
      </c>
      <c r="D372" s="423"/>
      <c r="E372" s="21">
        <v>0.20178009943273201</v>
      </c>
      <c r="F372" s="424"/>
      <c r="G372" s="423"/>
      <c r="H372" s="423"/>
      <c r="I372" s="423"/>
      <c r="J372" s="425"/>
    </row>
    <row r="373" spans="1:11" x14ac:dyDescent="0.2">
      <c r="A373" s="422"/>
      <c r="B373" s="423"/>
      <c r="C373" s="423"/>
      <c r="D373" s="423"/>
      <c r="E373" s="423"/>
      <c r="F373" s="424"/>
      <c r="G373" s="423"/>
      <c r="H373" s="423"/>
      <c r="I373" s="423"/>
      <c r="J373" s="425"/>
    </row>
    <row r="374" spans="1:11" x14ac:dyDescent="0.2">
      <c r="A374" s="431" t="s">
        <v>512</v>
      </c>
      <c r="B374" s="432"/>
      <c r="C374" s="432"/>
      <c r="D374" s="432"/>
      <c r="E374" s="432"/>
      <c r="F374" s="433"/>
      <c r="G374" s="432"/>
      <c r="H374" s="432"/>
      <c r="I374" s="432"/>
      <c r="J374" s="434" t="s">
        <v>513</v>
      </c>
      <c r="K374" s="886"/>
    </row>
    <row r="375" spans="1:11" x14ac:dyDescent="0.2">
      <c r="A375" s="422"/>
      <c r="B375" s="423"/>
      <c r="C375" s="423"/>
      <c r="D375" s="423"/>
      <c r="E375" s="423"/>
      <c r="F375" s="424"/>
      <c r="G375" s="423"/>
      <c r="H375" s="423"/>
      <c r="I375" s="423"/>
      <c r="J375" s="425"/>
    </row>
    <row r="376" spans="1:11" x14ac:dyDescent="0.2">
      <c r="A376" s="422"/>
      <c r="B376" s="423" t="s">
        <v>476</v>
      </c>
      <c r="C376" s="423"/>
      <c r="D376" s="423"/>
      <c r="E376" s="423"/>
      <c r="F376" s="424"/>
      <c r="G376" s="423"/>
      <c r="H376" s="423"/>
      <c r="I376" s="423"/>
      <c r="J376" s="425"/>
    </row>
    <row r="377" spans="1:11" x14ac:dyDescent="0.2">
      <c r="A377" s="422"/>
      <c r="B377" s="423"/>
      <c r="C377" s="423" t="s">
        <v>660</v>
      </c>
      <c r="D377" s="423"/>
      <c r="E377" s="423"/>
      <c r="F377" s="424"/>
      <c r="G377" s="423"/>
      <c r="H377" s="423"/>
      <c r="I377" s="423"/>
      <c r="J377" s="425"/>
    </row>
    <row r="378" spans="1:11" x14ac:dyDescent="0.2">
      <c r="A378" s="422"/>
      <c r="B378" s="423"/>
      <c r="C378" s="423" t="s">
        <v>477</v>
      </c>
      <c r="D378" s="423"/>
      <c r="E378" s="423"/>
      <c r="F378" s="424"/>
      <c r="G378" s="423"/>
      <c r="H378" s="423"/>
      <c r="I378" s="423"/>
      <c r="J378" s="425"/>
    </row>
    <row r="379" spans="1:11" x14ac:dyDescent="0.2">
      <c r="A379" s="422"/>
      <c r="B379" s="423"/>
      <c r="C379" s="423" t="s">
        <v>661</v>
      </c>
      <c r="D379" s="423"/>
      <c r="E379" s="423"/>
      <c r="F379" s="424"/>
      <c r="G379" s="423"/>
      <c r="H379" s="423"/>
      <c r="I379" s="423"/>
      <c r="J379" s="425"/>
    </row>
    <row r="380" spans="1:11" x14ac:dyDescent="0.2">
      <c r="A380" s="422"/>
      <c r="B380" s="423"/>
      <c r="C380" s="423" t="s">
        <v>662</v>
      </c>
      <c r="D380" s="423"/>
      <c r="E380" s="423"/>
      <c r="F380" s="424"/>
      <c r="G380" s="423"/>
      <c r="H380" s="423"/>
      <c r="I380" s="423"/>
      <c r="J380" s="425"/>
    </row>
    <row r="381" spans="1:11" x14ac:dyDescent="0.2">
      <c r="A381" s="422"/>
      <c r="B381" s="423"/>
      <c r="C381" s="423" t="s">
        <v>642</v>
      </c>
      <c r="D381" s="423"/>
      <c r="E381" s="423"/>
      <c r="F381" s="424"/>
      <c r="G381" s="423"/>
      <c r="H381" s="423"/>
      <c r="I381" s="423"/>
      <c r="J381" s="425"/>
    </row>
    <row r="382" spans="1:11" x14ac:dyDescent="0.2">
      <c r="A382" s="422"/>
      <c r="B382" s="423"/>
      <c r="C382" s="423"/>
      <c r="D382" s="423"/>
      <c r="E382" s="423"/>
      <c r="F382" s="424"/>
      <c r="G382" s="423"/>
      <c r="H382" s="423"/>
      <c r="I382" s="423"/>
      <c r="J382" s="425"/>
    </row>
    <row r="383" spans="1:11" x14ac:dyDescent="0.2">
      <c r="A383" s="422"/>
      <c r="B383" s="423"/>
      <c r="C383" s="423"/>
      <c r="D383" s="423"/>
      <c r="E383" s="423"/>
      <c r="F383" s="424"/>
      <c r="G383" s="423"/>
      <c r="H383" s="423"/>
      <c r="I383" s="423"/>
      <c r="J383" s="425"/>
    </row>
    <row r="384" spans="1:11" x14ac:dyDescent="0.2">
      <c r="A384" s="422"/>
      <c r="B384" s="423"/>
      <c r="C384" s="423"/>
      <c r="D384" s="423"/>
      <c r="E384" s="423"/>
      <c r="F384" s="424"/>
      <c r="G384" s="423"/>
      <c r="H384" s="423"/>
      <c r="I384" s="423"/>
      <c r="J384" s="425"/>
    </row>
    <row r="385" spans="1:10" x14ac:dyDescent="0.2">
      <c r="A385" s="422"/>
      <c r="B385" s="423"/>
      <c r="C385" s="423"/>
      <c r="D385" s="423"/>
      <c r="E385" s="423"/>
      <c r="F385" s="424"/>
      <c r="G385" s="423"/>
      <c r="H385" s="423"/>
      <c r="I385" s="423"/>
      <c r="J385" s="425"/>
    </row>
    <row r="386" spans="1:10" x14ac:dyDescent="0.2">
      <c r="A386" s="422"/>
      <c r="B386" s="423"/>
      <c r="C386" s="423"/>
      <c r="D386" s="423"/>
      <c r="E386" s="423"/>
      <c r="F386" s="424"/>
      <c r="G386" s="423"/>
      <c r="H386" s="423"/>
      <c r="I386" s="423"/>
      <c r="J386" s="425"/>
    </row>
    <row r="387" spans="1:10" x14ac:dyDescent="0.2">
      <c r="A387" s="422"/>
      <c r="B387" s="423"/>
      <c r="C387" s="423"/>
      <c r="D387" s="423"/>
      <c r="E387" s="423"/>
      <c r="F387" s="424"/>
      <c r="G387" s="423"/>
      <c r="H387" s="423"/>
      <c r="I387" s="423"/>
      <c r="J387" s="425"/>
    </row>
    <row r="388" spans="1:10" x14ac:dyDescent="0.2">
      <c r="A388" s="422"/>
      <c r="B388" s="423"/>
      <c r="C388" s="423"/>
      <c r="D388" s="423"/>
      <c r="E388" s="423"/>
      <c r="F388" s="424"/>
      <c r="G388" s="423"/>
      <c r="H388" s="423"/>
      <c r="I388" s="423"/>
      <c r="J388" s="425"/>
    </row>
    <row r="389" spans="1:10" x14ac:dyDescent="0.2">
      <c r="A389" s="422"/>
      <c r="B389" s="423"/>
      <c r="C389" s="423"/>
      <c r="D389" s="423"/>
      <c r="E389" s="423"/>
      <c r="F389" s="424"/>
      <c r="G389" s="423"/>
      <c r="H389" s="423"/>
      <c r="I389" s="423"/>
      <c r="J389" s="425"/>
    </row>
    <row r="390" spans="1:10" x14ac:dyDescent="0.2">
      <c r="A390" s="422"/>
      <c r="B390" s="423"/>
      <c r="C390" s="423"/>
      <c r="D390" s="423"/>
      <c r="E390" s="423"/>
      <c r="F390" s="424"/>
      <c r="G390" s="423"/>
      <c r="H390" s="423"/>
      <c r="I390" s="423"/>
      <c r="J390" s="425"/>
    </row>
    <row r="391" spans="1:10" x14ac:dyDescent="0.2">
      <c r="A391" s="422"/>
      <c r="B391" s="423"/>
      <c r="C391" s="423"/>
      <c r="D391" s="423"/>
      <c r="E391" s="423"/>
      <c r="F391" s="424"/>
      <c r="G391" s="423"/>
      <c r="H391" s="423"/>
      <c r="I391" s="423"/>
      <c r="J391" s="425"/>
    </row>
    <row r="392" spans="1:10" x14ac:dyDescent="0.2">
      <c r="A392" s="422"/>
      <c r="B392" s="423"/>
      <c r="C392" s="423"/>
      <c r="D392" s="423"/>
      <c r="E392" s="423"/>
      <c r="F392" s="424"/>
      <c r="G392" s="423"/>
      <c r="H392" s="423"/>
      <c r="I392" s="423"/>
      <c r="J392" s="425"/>
    </row>
    <row r="393" spans="1:10" x14ac:dyDescent="0.2">
      <c r="A393" s="422"/>
      <c r="B393" s="423"/>
      <c r="C393" s="423"/>
      <c r="D393" s="423"/>
      <c r="E393" s="423"/>
      <c r="F393" s="424"/>
      <c r="G393" s="423"/>
      <c r="H393" s="423"/>
      <c r="I393" s="423"/>
      <c r="J393" s="425"/>
    </row>
    <row r="394" spans="1:10" x14ac:dyDescent="0.2">
      <c r="A394" s="422"/>
      <c r="B394" s="423"/>
      <c r="C394" s="423"/>
      <c r="D394" s="423"/>
      <c r="E394" s="423"/>
      <c r="F394" s="424"/>
      <c r="G394" s="423"/>
      <c r="H394" s="423"/>
      <c r="I394" s="423"/>
      <c r="J394" s="425"/>
    </row>
    <row r="395" spans="1:10" x14ac:dyDescent="0.2">
      <c r="A395" s="422"/>
      <c r="B395" s="423"/>
      <c r="C395" s="423"/>
      <c r="D395" s="423"/>
      <c r="E395" s="423"/>
      <c r="F395" s="424"/>
      <c r="G395" s="423"/>
      <c r="H395" s="423"/>
      <c r="I395" s="423"/>
      <c r="J395" s="425"/>
    </row>
    <row r="396" spans="1:10" x14ac:dyDescent="0.2">
      <c r="A396" s="422"/>
      <c r="B396" s="423"/>
      <c r="C396" s="423"/>
      <c r="D396" s="423"/>
      <c r="E396" s="423"/>
      <c r="F396" s="424"/>
      <c r="G396" s="423"/>
      <c r="H396" s="423"/>
      <c r="I396" s="423"/>
      <c r="J396" s="425"/>
    </row>
    <row r="397" spans="1:10" x14ac:dyDescent="0.2">
      <c r="A397" s="422"/>
      <c r="B397" s="423"/>
      <c r="C397" s="423"/>
      <c r="D397" s="423"/>
      <c r="E397" s="423"/>
      <c r="F397" s="424"/>
      <c r="G397" s="423"/>
      <c r="H397" s="423"/>
      <c r="I397" s="423"/>
      <c r="J397" s="425"/>
    </row>
    <row r="398" spans="1:10" x14ac:dyDescent="0.2">
      <c r="A398" s="422"/>
      <c r="B398" s="423"/>
      <c r="C398" s="423"/>
      <c r="D398" s="423"/>
      <c r="E398" s="423"/>
      <c r="F398" s="424"/>
      <c r="G398" s="423"/>
      <c r="H398" s="423"/>
      <c r="I398" s="423"/>
      <c r="J398" s="425"/>
    </row>
    <row r="399" spans="1:10" x14ac:dyDescent="0.2">
      <c r="A399" s="422"/>
      <c r="B399" s="423"/>
      <c r="C399" s="423"/>
      <c r="D399" s="423"/>
      <c r="E399" s="423"/>
      <c r="F399" s="424"/>
      <c r="G399" s="423"/>
      <c r="H399" s="423"/>
      <c r="I399" s="423"/>
      <c r="J399" s="425"/>
    </row>
    <row r="400" spans="1:10" x14ac:dyDescent="0.2">
      <c r="A400" s="422"/>
      <c r="B400" s="423"/>
      <c r="C400" s="423"/>
      <c r="D400" s="423"/>
      <c r="E400" s="423"/>
      <c r="F400" s="424"/>
      <c r="G400" s="423"/>
      <c r="H400" s="423"/>
      <c r="I400" s="423"/>
      <c r="J400" s="425"/>
    </row>
    <row r="401" spans="1:10" x14ac:dyDescent="0.2">
      <c r="A401" s="422"/>
      <c r="B401" s="423" t="s">
        <v>478</v>
      </c>
      <c r="C401" s="423"/>
      <c r="D401" s="423"/>
      <c r="E401" s="426" t="s">
        <v>479</v>
      </c>
      <c r="F401" s="424"/>
      <c r="G401" s="423"/>
      <c r="H401" s="423"/>
      <c r="I401" s="423"/>
      <c r="J401" s="425"/>
    </row>
    <row r="402" spans="1:10" x14ac:dyDescent="0.2">
      <c r="A402" s="422"/>
      <c r="B402" s="423"/>
      <c r="C402" s="423" t="s">
        <v>480</v>
      </c>
      <c r="D402" s="423"/>
      <c r="E402" s="427">
        <v>10000</v>
      </c>
      <c r="F402" s="424"/>
      <c r="G402" s="423"/>
      <c r="H402" s="423"/>
      <c r="I402" s="423"/>
      <c r="J402" s="425"/>
    </row>
    <row r="403" spans="1:10" x14ac:dyDescent="0.2">
      <c r="A403" s="422"/>
      <c r="B403" s="423"/>
      <c r="C403" s="423" t="s">
        <v>481</v>
      </c>
      <c r="D403" s="423"/>
      <c r="E403" s="21">
        <v>0.13599680299285488</v>
      </c>
      <c r="F403" s="424"/>
      <c r="G403" s="423"/>
      <c r="H403" s="423"/>
      <c r="I403" s="423"/>
      <c r="J403" s="425"/>
    </row>
    <row r="404" spans="1:10" x14ac:dyDescent="0.2">
      <c r="A404" s="422"/>
      <c r="B404" s="423"/>
      <c r="C404" s="423" t="s">
        <v>482</v>
      </c>
      <c r="D404" s="423"/>
      <c r="E404" s="21">
        <v>0.12171177649538771</v>
      </c>
      <c r="F404" s="424"/>
      <c r="G404" s="423"/>
      <c r="H404" s="423"/>
      <c r="I404" s="423"/>
      <c r="J404" s="425"/>
    </row>
    <row r="405" spans="1:10" x14ac:dyDescent="0.2">
      <c r="A405" s="422"/>
      <c r="B405" s="423"/>
      <c r="C405" s="423" t="s">
        <v>483</v>
      </c>
      <c r="D405" s="423"/>
      <c r="E405" s="21">
        <v>0.12642806939925477</v>
      </c>
      <c r="F405" s="424"/>
      <c r="G405" s="423"/>
      <c r="H405" s="423"/>
      <c r="I405" s="423"/>
      <c r="J405" s="425"/>
    </row>
    <row r="406" spans="1:10" x14ac:dyDescent="0.2">
      <c r="A406" s="422"/>
      <c r="B406" s="423"/>
      <c r="C406" s="423" t="s">
        <v>484</v>
      </c>
      <c r="D406" s="423"/>
      <c r="E406" s="428" t="s">
        <v>485</v>
      </c>
      <c r="F406" s="424"/>
      <c r="G406" s="423"/>
      <c r="H406" s="423"/>
      <c r="I406" s="423"/>
      <c r="J406" s="425"/>
    </row>
    <row r="407" spans="1:10" x14ac:dyDescent="0.2">
      <c r="A407" s="422"/>
      <c r="B407" s="423"/>
      <c r="C407" s="423" t="s">
        <v>486</v>
      </c>
      <c r="D407" s="423"/>
      <c r="E407" s="21">
        <v>3.0984771012251035E-2</v>
      </c>
      <c r="F407" s="424"/>
      <c r="G407" s="423"/>
      <c r="H407" s="423"/>
      <c r="I407" s="423"/>
      <c r="J407" s="425"/>
    </row>
    <row r="408" spans="1:10" x14ac:dyDescent="0.2">
      <c r="A408" s="422"/>
      <c r="B408" s="423"/>
      <c r="C408" s="423" t="s">
        <v>487</v>
      </c>
      <c r="D408" s="423"/>
      <c r="E408" s="21">
        <v>9.6005603468163206E-4</v>
      </c>
      <c r="F408" s="424"/>
      <c r="G408" s="423"/>
      <c r="H408" s="423"/>
      <c r="I408" s="423"/>
      <c r="J408" s="425"/>
    </row>
    <row r="409" spans="1:10" x14ac:dyDescent="0.2">
      <c r="A409" s="422"/>
      <c r="B409" s="423"/>
      <c r="C409" s="423" t="s">
        <v>488</v>
      </c>
      <c r="D409" s="423"/>
      <c r="E409" s="429">
        <v>-0.54339577640696823</v>
      </c>
      <c r="F409" s="424"/>
      <c r="G409" s="423"/>
      <c r="H409" s="423"/>
      <c r="I409" s="423"/>
      <c r="J409" s="425"/>
    </row>
    <row r="410" spans="1:10" x14ac:dyDescent="0.2">
      <c r="A410" s="422"/>
      <c r="B410" s="423"/>
      <c r="C410" s="423" t="s">
        <v>489</v>
      </c>
      <c r="D410" s="423"/>
      <c r="E410" s="430">
        <v>2.7195635908834115</v>
      </c>
      <c r="F410" s="424"/>
      <c r="G410" s="423"/>
      <c r="H410" s="423"/>
      <c r="I410" s="423"/>
      <c r="J410" s="425"/>
    </row>
    <row r="411" spans="1:10" x14ac:dyDescent="0.2">
      <c r="A411" s="422"/>
      <c r="B411" s="423"/>
      <c r="C411" s="423" t="s">
        <v>490</v>
      </c>
      <c r="D411" s="423"/>
      <c r="E411" s="429">
        <v>0.25457496311727246</v>
      </c>
      <c r="F411" s="424"/>
      <c r="G411" s="423"/>
      <c r="H411" s="423"/>
      <c r="I411" s="423"/>
      <c r="J411" s="425"/>
    </row>
    <row r="412" spans="1:10" x14ac:dyDescent="0.2">
      <c r="A412" s="422"/>
      <c r="B412" s="423"/>
      <c r="C412" s="423" t="s">
        <v>491</v>
      </c>
      <c r="D412" s="423"/>
      <c r="E412" s="21">
        <v>2.5649035116698915E-2</v>
      </c>
      <c r="F412" s="424"/>
      <c r="G412" s="423"/>
      <c r="H412" s="423"/>
      <c r="I412" s="423"/>
      <c r="J412" s="425"/>
    </row>
    <row r="413" spans="1:10" x14ac:dyDescent="0.2">
      <c r="A413" s="422"/>
      <c r="B413" s="423"/>
      <c r="C413" s="423" t="s">
        <v>492</v>
      </c>
      <c r="D413" s="423"/>
      <c r="E413" s="21">
        <v>0.18374726846890721</v>
      </c>
      <c r="F413" s="424"/>
      <c r="G413" s="423"/>
      <c r="H413" s="423"/>
      <c r="I413" s="423"/>
      <c r="J413" s="425"/>
    </row>
    <row r="414" spans="1:10" x14ac:dyDescent="0.2">
      <c r="A414" s="422"/>
      <c r="B414" s="423"/>
      <c r="C414" s="423" t="s">
        <v>493</v>
      </c>
      <c r="D414" s="423"/>
      <c r="E414" s="21">
        <v>0.15809823335220829</v>
      </c>
      <c r="F414" s="424"/>
      <c r="G414" s="423"/>
      <c r="H414" s="423"/>
      <c r="I414" s="423"/>
      <c r="J414" s="425"/>
    </row>
    <row r="415" spans="1:10" x14ac:dyDescent="0.2">
      <c r="A415" s="422"/>
      <c r="B415" s="423"/>
      <c r="C415" s="423" t="s">
        <v>494</v>
      </c>
      <c r="D415" s="423"/>
      <c r="E415" s="21">
        <v>3.0984771012251036E-4</v>
      </c>
      <c r="F415" s="424"/>
      <c r="G415" s="423"/>
      <c r="H415" s="423"/>
      <c r="I415" s="423"/>
      <c r="J415" s="425"/>
    </row>
    <row r="416" spans="1:10" x14ac:dyDescent="0.2">
      <c r="A416" s="422"/>
      <c r="B416" s="423"/>
      <c r="C416" s="423"/>
      <c r="D416" s="423"/>
      <c r="E416" s="423"/>
      <c r="F416" s="424"/>
      <c r="G416" s="423"/>
      <c r="H416" s="423"/>
      <c r="I416" s="423"/>
      <c r="J416" s="425"/>
    </row>
    <row r="417" spans="1:11" x14ac:dyDescent="0.2">
      <c r="A417" s="431" t="s">
        <v>514</v>
      </c>
      <c r="B417" s="432"/>
      <c r="C417" s="432"/>
      <c r="D417" s="432"/>
      <c r="E417" s="432"/>
      <c r="F417" s="433"/>
      <c r="G417" s="432"/>
      <c r="H417" s="432"/>
      <c r="I417" s="432"/>
      <c r="J417" s="434" t="s">
        <v>513</v>
      </c>
      <c r="K417" s="886"/>
    </row>
    <row r="418" spans="1:11" x14ac:dyDescent="0.2">
      <c r="A418" s="422"/>
      <c r="B418" s="423"/>
      <c r="C418" s="423"/>
      <c r="D418" s="423"/>
      <c r="E418" s="423"/>
      <c r="F418" s="424"/>
      <c r="G418" s="423"/>
      <c r="H418" s="423"/>
      <c r="I418" s="423"/>
      <c r="J418" s="425"/>
    </row>
    <row r="419" spans="1:11" x14ac:dyDescent="0.2">
      <c r="A419" s="422"/>
      <c r="B419" s="423" t="s">
        <v>496</v>
      </c>
      <c r="C419" s="423"/>
      <c r="D419" s="423"/>
      <c r="E419" s="426" t="s">
        <v>479</v>
      </c>
      <c r="F419" s="424"/>
      <c r="G419" s="423"/>
      <c r="H419" s="423"/>
      <c r="I419" s="423"/>
      <c r="J419" s="425"/>
    </row>
    <row r="420" spans="1:11" x14ac:dyDescent="0.2">
      <c r="A420" s="422"/>
      <c r="B420" s="423"/>
      <c r="C420" s="423" t="s">
        <v>531</v>
      </c>
      <c r="D420" s="423"/>
      <c r="E420" s="21">
        <v>2.5649035116698998E-2</v>
      </c>
      <c r="F420" s="424"/>
      <c r="G420" s="423"/>
      <c r="H420" s="423"/>
      <c r="I420" s="423"/>
      <c r="J420" s="425"/>
    </row>
    <row r="421" spans="1:11" x14ac:dyDescent="0.2">
      <c r="A421" s="422"/>
      <c r="B421" s="423"/>
      <c r="C421" s="423" t="s">
        <v>532</v>
      </c>
      <c r="D421" s="423"/>
      <c r="E421" s="21">
        <v>7.6821607255739999E-2</v>
      </c>
      <c r="F421" s="424"/>
      <c r="G421" s="423"/>
      <c r="H421" s="423"/>
      <c r="I421" s="423"/>
      <c r="J421" s="425"/>
    </row>
    <row r="422" spans="1:11" x14ac:dyDescent="0.2">
      <c r="A422" s="422"/>
      <c r="B422" s="423"/>
      <c r="C422" s="423" t="s">
        <v>533</v>
      </c>
      <c r="D422" s="423"/>
      <c r="E422" s="21">
        <v>9.4808054930829999E-2</v>
      </c>
      <c r="F422" s="424"/>
      <c r="G422" s="423"/>
      <c r="H422" s="423"/>
      <c r="I422" s="423"/>
      <c r="J422" s="425"/>
    </row>
    <row r="423" spans="1:11" x14ac:dyDescent="0.2">
      <c r="A423" s="422"/>
      <c r="B423" s="423"/>
      <c r="C423" s="423" t="s">
        <v>534</v>
      </c>
      <c r="D423" s="423"/>
      <c r="E423" s="21">
        <v>0.107807275423871</v>
      </c>
      <c r="F423" s="424"/>
      <c r="G423" s="423"/>
      <c r="H423" s="423"/>
      <c r="I423" s="423"/>
      <c r="J423" s="425"/>
    </row>
    <row r="424" spans="1:11" x14ac:dyDescent="0.2">
      <c r="A424" s="422"/>
      <c r="B424" s="423"/>
      <c r="C424" s="423" t="s">
        <v>535</v>
      </c>
      <c r="D424" s="423"/>
      <c r="E424" s="21">
        <v>0.118012895435102</v>
      </c>
      <c r="F424" s="424"/>
      <c r="G424" s="423"/>
      <c r="H424" s="423"/>
      <c r="I424" s="423"/>
      <c r="J424" s="425"/>
    </row>
    <row r="425" spans="1:11" x14ac:dyDescent="0.2">
      <c r="A425" s="422"/>
      <c r="B425" s="423"/>
      <c r="C425" s="423" t="s">
        <v>536</v>
      </c>
      <c r="D425" s="423"/>
      <c r="E425" s="21">
        <v>0.126426076377054</v>
      </c>
      <c r="F425" s="424"/>
      <c r="G425" s="423"/>
      <c r="H425" s="423"/>
      <c r="I425" s="423"/>
      <c r="J425" s="425"/>
    </row>
    <row r="426" spans="1:11" x14ac:dyDescent="0.2">
      <c r="A426" s="422"/>
      <c r="B426" s="423"/>
      <c r="C426" s="423" t="s">
        <v>537</v>
      </c>
      <c r="D426" s="423"/>
      <c r="E426" s="21">
        <v>0.13384547005556899</v>
      </c>
      <c r="F426" s="424"/>
      <c r="G426" s="423"/>
      <c r="H426" s="423"/>
      <c r="I426" s="423"/>
      <c r="J426" s="425"/>
    </row>
    <row r="427" spans="1:11" x14ac:dyDescent="0.2">
      <c r="A427" s="422"/>
      <c r="B427" s="423"/>
      <c r="C427" s="423" t="s">
        <v>538</v>
      </c>
      <c r="D427" s="423"/>
      <c r="E427" s="21">
        <v>0.14088308558415899</v>
      </c>
      <c r="F427" s="424"/>
      <c r="G427" s="423"/>
      <c r="H427" s="423"/>
      <c r="I427" s="423"/>
      <c r="J427" s="425"/>
    </row>
    <row r="428" spans="1:11" x14ac:dyDescent="0.2">
      <c r="A428" s="422"/>
      <c r="B428" s="423"/>
      <c r="C428" s="423" t="s">
        <v>539</v>
      </c>
      <c r="D428" s="423"/>
      <c r="E428" s="21">
        <v>0.14900493967227399</v>
      </c>
      <c r="F428" s="424"/>
      <c r="G428" s="423"/>
      <c r="H428" s="423"/>
      <c r="I428" s="423"/>
      <c r="J428" s="425"/>
    </row>
    <row r="429" spans="1:11" x14ac:dyDescent="0.2">
      <c r="A429" s="422"/>
      <c r="B429" s="423"/>
      <c r="C429" s="423" t="s">
        <v>540</v>
      </c>
      <c r="D429" s="423"/>
      <c r="E429" s="21">
        <v>0.158981561979882</v>
      </c>
      <c r="F429" s="424"/>
      <c r="G429" s="423"/>
      <c r="H429" s="423"/>
      <c r="I429" s="423"/>
      <c r="J429" s="425"/>
    </row>
    <row r="430" spans="1:11" x14ac:dyDescent="0.2">
      <c r="A430" s="422"/>
      <c r="B430" s="423"/>
      <c r="C430" s="423" t="s">
        <v>541</v>
      </c>
      <c r="D430" s="423"/>
      <c r="E430" s="21">
        <v>0.18374726846890699</v>
      </c>
      <c r="F430" s="424"/>
      <c r="G430" s="423"/>
      <c r="H430" s="423"/>
      <c r="I430" s="423"/>
      <c r="J430" s="425"/>
    </row>
    <row r="431" spans="1:11" x14ac:dyDescent="0.2">
      <c r="A431" s="422"/>
      <c r="B431" s="423"/>
      <c r="C431" s="423"/>
      <c r="D431" s="423"/>
      <c r="E431" s="423"/>
      <c r="F431" s="424"/>
      <c r="G431" s="423"/>
      <c r="H431" s="423"/>
      <c r="I431" s="423"/>
      <c r="J431" s="425"/>
    </row>
    <row r="432" spans="1:11" x14ac:dyDescent="0.2">
      <c r="A432" s="431" t="s">
        <v>515</v>
      </c>
      <c r="B432" s="432"/>
      <c r="C432" s="432"/>
      <c r="D432" s="432"/>
      <c r="E432" s="432"/>
      <c r="F432" s="433"/>
      <c r="G432" s="432"/>
      <c r="H432" s="432"/>
      <c r="I432" s="432"/>
      <c r="J432" s="434" t="s">
        <v>516</v>
      </c>
      <c r="K432" s="886"/>
    </row>
    <row r="433" spans="1:10" x14ac:dyDescent="0.2">
      <c r="A433" s="422"/>
      <c r="B433" s="423"/>
      <c r="C433" s="423"/>
      <c r="D433" s="423"/>
      <c r="E433" s="423"/>
      <c r="F433" s="424"/>
      <c r="G433" s="423"/>
      <c r="H433" s="423"/>
      <c r="I433" s="423"/>
      <c r="J433" s="425"/>
    </row>
    <row r="434" spans="1:10" x14ac:dyDescent="0.2">
      <c r="A434" s="422"/>
      <c r="B434" s="423" t="s">
        <v>476</v>
      </c>
      <c r="C434" s="423"/>
      <c r="D434" s="423"/>
      <c r="E434" s="423"/>
      <c r="F434" s="424"/>
      <c r="G434" s="423"/>
      <c r="H434" s="423"/>
      <c r="I434" s="423"/>
      <c r="J434" s="425"/>
    </row>
    <row r="435" spans="1:10" x14ac:dyDescent="0.2">
      <c r="A435" s="422"/>
      <c r="B435" s="423"/>
      <c r="C435" s="423" t="s">
        <v>663</v>
      </c>
      <c r="D435" s="423"/>
      <c r="E435" s="423"/>
      <c r="F435" s="424"/>
      <c r="G435" s="423"/>
      <c r="H435" s="423"/>
      <c r="I435" s="423"/>
      <c r="J435" s="425"/>
    </row>
    <row r="436" spans="1:10" x14ac:dyDescent="0.2">
      <c r="A436" s="422"/>
      <c r="B436" s="423"/>
      <c r="C436" s="423" t="s">
        <v>477</v>
      </c>
      <c r="D436" s="423"/>
      <c r="E436" s="423"/>
      <c r="F436" s="424"/>
      <c r="G436" s="423"/>
      <c r="H436" s="423"/>
      <c r="I436" s="423"/>
      <c r="J436" s="425"/>
    </row>
    <row r="437" spans="1:10" x14ac:dyDescent="0.2">
      <c r="A437" s="422"/>
      <c r="B437" s="423"/>
      <c r="C437" s="423" t="s">
        <v>664</v>
      </c>
      <c r="D437" s="423"/>
      <c r="E437" s="423"/>
      <c r="F437" s="424"/>
      <c r="G437" s="423"/>
      <c r="H437" s="423"/>
      <c r="I437" s="423"/>
      <c r="J437" s="425"/>
    </row>
    <row r="438" spans="1:10" x14ac:dyDescent="0.2">
      <c r="A438" s="422"/>
      <c r="B438" s="423"/>
      <c r="C438" s="423" t="s">
        <v>665</v>
      </c>
      <c r="D438" s="423"/>
      <c r="E438" s="423"/>
      <c r="F438" s="424"/>
      <c r="G438" s="423"/>
      <c r="H438" s="423"/>
      <c r="I438" s="423"/>
      <c r="J438" s="425"/>
    </row>
    <row r="439" spans="1:10" x14ac:dyDescent="0.2">
      <c r="A439" s="422"/>
      <c r="B439" s="423"/>
      <c r="C439" s="423" t="s">
        <v>642</v>
      </c>
      <c r="D439" s="423"/>
      <c r="E439" s="423"/>
      <c r="F439" s="424"/>
      <c r="G439" s="423"/>
      <c r="H439" s="423"/>
      <c r="I439" s="423"/>
      <c r="J439" s="425"/>
    </row>
    <row r="440" spans="1:10" x14ac:dyDescent="0.2">
      <c r="A440" s="422"/>
      <c r="B440" s="423"/>
      <c r="C440" s="423"/>
      <c r="D440" s="423"/>
      <c r="E440" s="423"/>
      <c r="F440" s="424"/>
      <c r="G440" s="423"/>
      <c r="H440" s="423"/>
      <c r="I440" s="423"/>
      <c r="J440" s="425"/>
    </row>
    <row r="441" spans="1:10" x14ac:dyDescent="0.2">
      <c r="A441" s="422"/>
      <c r="B441" s="423"/>
      <c r="C441" s="423"/>
      <c r="D441" s="423"/>
      <c r="E441" s="423"/>
      <c r="F441" s="424"/>
      <c r="G441" s="423"/>
      <c r="H441" s="423"/>
      <c r="I441" s="423"/>
      <c r="J441" s="425"/>
    </row>
    <row r="442" spans="1:10" x14ac:dyDescent="0.2">
      <c r="A442" s="422"/>
      <c r="B442" s="423"/>
      <c r="C442" s="423"/>
      <c r="D442" s="423"/>
      <c r="E442" s="423"/>
      <c r="F442" s="424"/>
      <c r="G442" s="423"/>
      <c r="H442" s="423"/>
      <c r="I442" s="423"/>
      <c r="J442" s="425"/>
    </row>
    <row r="443" spans="1:10" x14ac:dyDescent="0.2">
      <c r="A443" s="422"/>
      <c r="B443" s="423"/>
      <c r="C443" s="423"/>
      <c r="D443" s="423"/>
      <c r="E443" s="423"/>
      <c r="F443" s="424"/>
      <c r="G443" s="423"/>
      <c r="H443" s="423"/>
      <c r="I443" s="423"/>
      <c r="J443" s="425"/>
    </row>
    <row r="444" spans="1:10" x14ac:dyDescent="0.2">
      <c r="A444" s="422"/>
      <c r="B444" s="423"/>
      <c r="C444" s="423"/>
      <c r="D444" s="423"/>
      <c r="E444" s="423"/>
      <c r="F444" s="424"/>
      <c r="G444" s="423"/>
      <c r="H444" s="423"/>
      <c r="I444" s="423"/>
      <c r="J444" s="425"/>
    </row>
    <row r="445" spans="1:10" x14ac:dyDescent="0.2">
      <c r="A445" s="422"/>
      <c r="B445" s="423"/>
      <c r="C445" s="423"/>
      <c r="D445" s="423"/>
      <c r="E445" s="423"/>
      <c r="F445" s="424"/>
      <c r="G445" s="423"/>
      <c r="H445" s="423"/>
      <c r="I445" s="423"/>
      <c r="J445" s="425"/>
    </row>
    <row r="446" spans="1:10" x14ac:dyDescent="0.2">
      <c r="A446" s="422"/>
      <c r="B446" s="423"/>
      <c r="C446" s="423"/>
      <c r="D446" s="423"/>
      <c r="E446" s="423"/>
      <c r="F446" s="424"/>
      <c r="G446" s="423"/>
      <c r="H446" s="423"/>
      <c r="I446" s="423"/>
      <c r="J446" s="425"/>
    </row>
    <row r="447" spans="1:10" x14ac:dyDescent="0.2">
      <c r="A447" s="422"/>
      <c r="B447" s="423"/>
      <c r="C447" s="423"/>
      <c r="D447" s="423"/>
      <c r="E447" s="423"/>
      <c r="F447" s="424"/>
      <c r="G447" s="423"/>
      <c r="H447" s="423"/>
      <c r="I447" s="423"/>
      <c r="J447" s="425"/>
    </row>
    <row r="448" spans="1:10" x14ac:dyDescent="0.2">
      <c r="A448" s="422"/>
      <c r="B448" s="423"/>
      <c r="C448" s="423"/>
      <c r="D448" s="423"/>
      <c r="E448" s="423"/>
      <c r="F448" s="424"/>
      <c r="G448" s="423"/>
      <c r="H448" s="423"/>
      <c r="I448" s="423"/>
      <c r="J448" s="425"/>
    </row>
    <row r="449" spans="1:10" x14ac:dyDescent="0.2">
      <c r="A449" s="422"/>
      <c r="B449" s="423"/>
      <c r="C449" s="423"/>
      <c r="D449" s="423"/>
      <c r="E449" s="423"/>
      <c r="F449" s="424"/>
      <c r="G449" s="423"/>
      <c r="H449" s="423"/>
      <c r="I449" s="423"/>
      <c r="J449" s="425"/>
    </row>
    <row r="450" spans="1:10" x14ac:dyDescent="0.2">
      <c r="A450" s="422"/>
      <c r="B450" s="423"/>
      <c r="C450" s="423"/>
      <c r="D450" s="423"/>
      <c r="E450" s="423"/>
      <c r="F450" s="424"/>
      <c r="G450" s="423"/>
      <c r="H450" s="423"/>
      <c r="I450" s="423"/>
      <c r="J450" s="425"/>
    </row>
    <row r="451" spans="1:10" x14ac:dyDescent="0.2">
      <c r="A451" s="422"/>
      <c r="B451" s="423"/>
      <c r="C451" s="423"/>
      <c r="D451" s="423"/>
      <c r="E451" s="423"/>
      <c r="F451" s="424"/>
      <c r="G451" s="423"/>
      <c r="H451" s="423"/>
      <c r="I451" s="423"/>
      <c r="J451" s="425"/>
    </row>
    <row r="452" spans="1:10" x14ac:dyDescent="0.2">
      <c r="A452" s="422"/>
      <c r="B452" s="423"/>
      <c r="C452" s="423"/>
      <c r="D452" s="423"/>
      <c r="E452" s="423"/>
      <c r="F452" s="424"/>
      <c r="G452" s="423"/>
      <c r="H452" s="423"/>
      <c r="I452" s="423"/>
      <c r="J452" s="425"/>
    </row>
    <row r="453" spans="1:10" x14ac:dyDescent="0.2">
      <c r="A453" s="422"/>
      <c r="B453" s="423"/>
      <c r="C453" s="423"/>
      <c r="D453" s="423"/>
      <c r="E453" s="423"/>
      <c r="F453" s="424"/>
      <c r="G453" s="423"/>
      <c r="H453" s="423"/>
      <c r="I453" s="423"/>
      <c r="J453" s="425"/>
    </row>
    <row r="454" spans="1:10" x14ac:dyDescent="0.2">
      <c r="A454" s="422"/>
      <c r="B454" s="423"/>
      <c r="C454" s="423"/>
      <c r="D454" s="423"/>
      <c r="E454" s="423"/>
      <c r="F454" s="424"/>
      <c r="G454" s="423"/>
      <c r="H454" s="423"/>
      <c r="I454" s="423"/>
      <c r="J454" s="425"/>
    </row>
    <row r="455" spans="1:10" x14ac:dyDescent="0.2">
      <c r="A455" s="422"/>
      <c r="B455" s="423"/>
      <c r="C455" s="423"/>
      <c r="D455" s="423"/>
      <c r="E455" s="423"/>
      <c r="F455" s="424"/>
      <c r="G455" s="423"/>
      <c r="H455" s="423"/>
      <c r="I455" s="423"/>
      <c r="J455" s="425"/>
    </row>
    <row r="456" spans="1:10" x14ac:dyDescent="0.2">
      <c r="A456" s="422"/>
      <c r="B456" s="423"/>
      <c r="C456" s="423"/>
      <c r="D456" s="423"/>
      <c r="E456" s="423"/>
      <c r="F456" s="424"/>
      <c r="G456" s="423"/>
      <c r="H456" s="423"/>
      <c r="I456" s="423"/>
      <c r="J456" s="425"/>
    </row>
    <row r="457" spans="1:10" x14ac:dyDescent="0.2">
      <c r="A457" s="422"/>
      <c r="B457" s="423"/>
      <c r="C457" s="423"/>
      <c r="D457" s="423"/>
      <c r="E457" s="423"/>
      <c r="F457" s="424"/>
      <c r="G457" s="423"/>
      <c r="H457" s="423"/>
      <c r="I457" s="423"/>
      <c r="J457" s="425"/>
    </row>
    <row r="458" spans="1:10" x14ac:dyDescent="0.2">
      <c r="A458" s="422"/>
      <c r="B458" s="423"/>
      <c r="C458" s="423"/>
      <c r="D458" s="423"/>
      <c r="E458" s="423"/>
      <c r="F458" s="424"/>
      <c r="G458" s="423"/>
      <c r="H458" s="423"/>
      <c r="I458" s="423"/>
      <c r="J458" s="425"/>
    </row>
    <row r="459" spans="1:10" x14ac:dyDescent="0.2">
      <c r="A459" s="422"/>
      <c r="B459" s="423" t="s">
        <v>478</v>
      </c>
      <c r="C459" s="423"/>
      <c r="D459" s="423"/>
      <c r="E459" s="426" t="s">
        <v>479</v>
      </c>
      <c r="F459" s="424"/>
      <c r="G459" s="423"/>
      <c r="H459" s="423"/>
      <c r="I459" s="423"/>
      <c r="J459" s="425"/>
    </row>
    <row r="460" spans="1:10" x14ac:dyDescent="0.2">
      <c r="A460" s="422"/>
      <c r="B460" s="423"/>
      <c r="C460" s="423" t="s">
        <v>480</v>
      </c>
      <c r="D460" s="423"/>
      <c r="E460" s="427">
        <v>10000</v>
      </c>
      <c r="F460" s="424"/>
      <c r="G460" s="423"/>
      <c r="H460" s="423"/>
      <c r="I460" s="423"/>
      <c r="J460" s="425"/>
    </row>
    <row r="461" spans="1:10" x14ac:dyDescent="0.2">
      <c r="A461" s="422"/>
      <c r="B461" s="423"/>
      <c r="C461" s="423" t="s">
        <v>481</v>
      </c>
      <c r="D461" s="423"/>
      <c r="E461" s="21">
        <v>8.960781241865079E-2</v>
      </c>
      <c r="F461" s="424"/>
      <c r="G461" s="423"/>
      <c r="H461" s="423"/>
      <c r="I461" s="423"/>
      <c r="J461" s="425"/>
    </row>
    <row r="462" spans="1:10" x14ac:dyDescent="0.2">
      <c r="A462" s="422"/>
      <c r="B462" s="423"/>
      <c r="C462" s="423" t="s">
        <v>482</v>
      </c>
      <c r="D462" s="423"/>
      <c r="E462" s="21">
        <v>7.8285247905436048E-2</v>
      </c>
      <c r="F462" s="424"/>
      <c r="G462" s="423"/>
      <c r="H462" s="423"/>
      <c r="I462" s="423"/>
      <c r="J462" s="425"/>
    </row>
    <row r="463" spans="1:10" x14ac:dyDescent="0.2">
      <c r="A463" s="422"/>
      <c r="B463" s="423"/>
      <c r="C463" s="423" t="s">
        <v>483</v>
      </c>
      <c r="D463" s="423"/>
      <c r="E463" s="21">
        <v>8.2103629213490015E-2</v>
      </c>
      <c r="F463" s="424"/>
      <c r="G463" s="423"/>
      <c r="H463" s="423"/>
      <c r="I463" s="423"/>
      <c r="J463" s="425"/>
    </row>
    <row r="464" spans="1:10" x14ac:dyDescent="0.2">
      <c r="A464" s="422"/>
      <c r="B464" s="423"/>
      <c r="C464" s="423" t="s">
        <v>484</v>
      </c>
      <c r="D464" s="423"/>
      <c r="E464" s="428" t="s">
        <v>485</v>
      </c>
      <c r="F464" s="424"/>
      <c r="G464" s="423"/>
      <c r="H464" s="423"/>
      <c r="I464" s="423"/>
      <c r="J464" s="425"/>
    </row>
    <row r="465" spans="1:11" x14ac:dyDescent="0.2">
      <c r="A465" s="422"/>
      <c r="B465" s="423"/>
      <c r="C465" s="423" t="s">
        <v>486</v>
      </c>
      <c r="D465" s="423"/>
      <c r="E465" s="21">
        <v>2.4737057871691174E-2</v>
      </c>
      <c r="F465" s="424"/>
      <c r="G465" s="423"/>
      <c r="H465" s="423"/>
      <c r="I465" s="423"/>
      <c r="J465" s="425"/>
    </row>
    <row r="466" spans="1:11" x14ac:dyDescent="0.2">
      <c r="A466" s="422"/>
      <c r="B466" s="423"/>
      <c r="C466" s="423" t="s">
        <v>487</v>
      </c>
      <c r="D466" s="423"/>
      <c r="E466" s="21">
        <v>6.1192203214739834E-4</v>
      </c>
      <c r="F466" s="424"/>
      <c r="G466" s="423"/>
      <c r="H466" s="423"/>
      <c r="I466" s="423"/>
      <c r="J466" s="425"/>
    </row>
    <row r="467" spans="1:11" x14ac:dyDescent="0.2">
      <c r="A467" s="422"/>
      <c r="B467" s="423"/>
      <c r="C467" s="423" t="s">
        <v>488</v>
      </c>
      <c r="D467" s="423"/>
      <c r="E467" s="429">
        <v>-0.5567646237897822</v>
      </c>
      <c r="F467" s="424"/>
      <c r="G467" s="423"/>
      <c r="H467" s="423"/>
      <c r="I467" s="423"/>
      <c r="J467" s="425"/>
    </row>
    <row r="468" spans="1:11" x14ac:dyDescent="0.2">
      <c r="A468" s="422"/>
      <c r="B468" s="423"/>
      <c r="C468" s="423" t="s">
        <v>489</v>
      </c>
      <c r="D468" s="423"/>
      <c r="E468" s="430">
        <v>2.7334565567004323</v>
      </c>
      <c r="F468" s="424"/>
      <c r="G468" s="423"/>
      <c r="H468" s="423"/>
      <c r="I468" s="423"/>
      <c r="J468" s="425"/>
    </row>
    <row r="469" spans="1:11" x14ac:dyDescent="0.2">
      <c r="A469" s="422"/>
      <c r="B469" s="423"/>
      <c r="C469" s="423" t="s">
        <v>490</v>
      </c>
      <c r="D469" s="423"/>
      <c r="E469" s="429">
        <v>0.31598619833933561</v>
      </c>
      <c r="F469" s="424"/>
      <c r="G469" s="423"/>
      <c r="H469" s="423"/>
      <c r="I469" s="423"/>
      <c r="J469" s="425"/>
    </row>
    <row r="470" spans="1:11" x14ac:dyDescent="0.2">
      <c r="A470" s="422"/>
      <c r="B470" s="423"/>
      <c r="C470" s="423" t="s">
        <v>491</v>
      </c>
      <c r="D470" s="423"/>
      <c r="E470" s="21">
        <v>1.7586039692816247E-3</v>
      </c>
      <c r="F470" s="424"/>
      <c r="G470" s="423"/>
      <c r="H470" s="423"/>
      <c r="I470" s="423"/>
      <c r="J470" s="425"/>
    </row>
    <row r="471" spans="1:11" x14ac:dyDescent="0.2">
      <c r="A471" s="422"/>
      <c r="B471" s="423"/>
      <c r="C471" s="423" t="s">
        <v>492</v>
      </c>
      <c r="D471" s="423"/>
      <c r="E471" s="21">
        <v>0.12610671942727558</v>
      </c>
      <c r="F471" s="424"/>
      <c r="G471" s="423"/>
      <c r="H471" s="423"/>
      <c r="I471" s="423"/>
      <c r="J471" s="425"/>
    </row>
    <row r="472" spans="1:11" x14ac:dyDescent="0.2">
      <c r="A472" s="422"/>
      <c r="B472" s="423"/>
      <c r="C472" s="423" t="s">
        <v>493</v>
      </c>
      <c r="D472" s="423"/>
      <c r="E472" s="21">
        <v>0.12434811545799396</v>
      </c>
      <c r="F472" s="424"/>
      <c r="G472" s="423"/>
      <c r="H472" s="423"/>
      <c r="I472" s="423"/>
      <c r="J472" s="425"/>
    </row>
    <row r="473" spans="1:11" x14ac:dyDescent="0.2">
      <c r="A473" s="422"/>
      <c r="B473" s="423"/>
      <c r="C473" s="423" t="s">
        <v>494</v>
      </c>
      <c r="D473" s="423"/>
      <c r="E473" s="21">
        <v>2.4737057871691175E-4</v>
      </c>
      <c r="F473" s="424"/>
      <c r="G473" s="423"/>
      <c r="H473" s="423"/>
      <c r="I473" s="423"/>
      <c r="J473" s="425"/>
    </row>
    <row r="474" spans="1:11" x14ac:dyDescent="0.2">
      <c r="A474" s="422"/>
      <c r="B474" s="423"/>
      <c r="C474" s="423"/>
      <c r="D474" s="423"/>
      <c r="E474" s="423"/>
      <c r="F474" s="424"/>
      <c r="G474" s="423"/>
      <c r="H474" s="423"/>
      <c r="I474" s="423"/>
      <c r="J474" s="425"/>
    </row>
    <row r="475" spans="1:11" x14ac:dyDescent="0.2">
      <c r="A475" s="431" t="s">
        <v>517</v>
      </c>
      <c r="B475" s="432"/>
      <c r="C475" s="432"/>
      <c r="D475" s="432"/>
      <c r="E475" s="432"/>
      <c r="F475" s="433"/>
      <c r="G475" s="432"/>
      <c r="H475" s="432"/>
      <c r="I475" s="432"/>
      <c r="J475" s="434" t="s">
        <v>516</v>
      </c>
      <c r="K475" s="886"/>
    </row>
    <row r="476" spans="1:11" x14ac:dyDescent="0.2">
      <c r="A476" s="422"/>
      <c r="B476" s="423"/>
      <c r="C476" s="423"/>
      <c r="D476" s="423"/>
      <c r="E476" s="423"/>
      <c r="F476" s="424"/>
      <c r="G476" s="423"/>
      <c r="H476" s="423"/>
      <c r="I476" s="423"/>
      <c r="J476" s="425"/>
    </row>
    <row r="477" spans="1:11" x14ac:dyDescent="0.2">
      <c r="A477" s="422"/>
      <c r="B477" s="423" t="s">
        <v>496</v>
      </c>
      <c r="C477" s="423"/>
      <c r="D477" s="423"/>
      <c r="E477" s="426" t="s">
        <v>479</v>
      </c>
      <c r="F477" s="424"/>
      <c r="G477" s="423"/>
      <c r="H477" s="423"/>
      <c r="I477" s="423"/>
      <c r="J477" s="425"/>
    </row>
    <row r="478" spans="1:11" x14ac:dyDescent="0.2">
      <c r="A478" s="422"/>
      <c r="B478" s="423"/>
      <c r="C478" s="423" t="s">
        <v>531</v>
      </c>
      <c r="D478" s="423"/>
      <c r="E478" s="21">
        <v>1.7586039692816247E-3</v>
      </c>
      <c r="F478" s="424"/>
      <c r="G478" s="423"/>
      <c r="H478" s="423"/>
      <c r="I478" s="423"/>
      <c r="J478" s="425"/>
    </row>
    <row r="479" spans="1:11" x14ac:dyDescent="0.2">
      <c r="A479" s="422"/>
      <c r="B479" s="423"/>
      <c r="C479" s="423" t="s">
        <v>532</v>
      </c>
      <c r="D479" s="423"/>
      <c r="E479" s="21">
        <v>4.2149264891532E-2</v>
      </c>
      <c r="F479" s="424"/>
      <c r="G479" s="423"/>
      <c r="H479" s="423"/>
      <c r="I479" s="423"/>
      <c r="J479" s="425"/>
    </row>
    <row r="480" spans="1:11" x14ac:dyDescent="0.2">
      <c r="A480" s="422"/>
      <c r="B480" s="423"/>
      <c r="C480" s="423" t="s">
        <v>533</v>
      </c>
      <c r="D480" s="423"/>
      <c r="E480" s="21">
        <v>5.6932154802599E-2</v>
      </c>
      <c r="F480" s="424"/>
      <c r="G480" s="423"/>
      <c r="H480" s="423"/>
      <c r="I480" s="423"/>
      <c r="J480" s="425"/>
    </row>
    <row r="481" spans="1:10" x14ac:dyDescent="0.2">
      <c r="A481" s="422"/>
      <c r="B481" s="423"/>
      <c r="C481" s="423" t="s">
        <v>534</v>
      </c>
      <c r="D481" s="423"/>
      <c r="E481" s="21">
        <v>6.7376527410139997E-2</v>
      </c>
      <c r="F481" s="424"/>
      <c r="G481" s="423"/>
      <c r="H481" s="423"/>
      <c r="I481" s="423"/>
      <c r="J481" s="425"/>
    </row>
    <row r="482" spans="1:10" x14ac:dyDescent="0.2">
      <c r="A482" s="422"/>
      <c r="B482" s="423"/>
      <c r="C482" s="423" t="s">
        <v>535</v>
      </c>
      <c r="D482" s="423"/>
      <c r="E482" s="21">
        <v>7.5466090187729998E-2</v>
      </c>
      <c r="F482" s="424"/>
      <c r="G482" s="423"/>
      <c r="H482" s="423"/>
      <c r="I482" s="423"/>
      <c r="J482" s="425"/>
    </row>
    <row r="483" spans="1:10" x14ac:dyDescent="0.2">
      <c r="A483" s="422"/>
      <c r="B483" s="423"/>
      <c r="C483" s="423" t="s">
        <v>536</v>
      </c>
      <c r="D483" s="423"/>
      <c r="E483" s="21">
        <v>8.2098834432715997E-2</v>
      </c>
      <c r="F483" s="424"/>
      <c r="G483" s="423"/>
      <c r="H483" s="423"/>
      <c r="I483" s="423"/>
      <c r="J483" s="425"/>
    </row>
    <row r="484" spans="1:10" x14ac:dyDescent="0.2">
      <c r="A484" s="422"/>
      <c r="B484" s="423"/>
      <c r="C484" s="423" t="s">
        <v>537</v>
      </c>
      <c r="D484" s="423"/>
      <c r="E484" s="21">
        <v>8.7992223206669995E-2</v>
      </c>
      <c r="F484" s="424"/>
      <c r="G484" s="423"/>
      <c r="H484" s="423"/>
      <c r="I484" s="423"/>
      <c r="J484" s="425"/>
    </row>
    <row r="485" spans="1:10" x14ac:dyDescent="0.2">
      <c r="A485" s="422"/>
      <c r="B485" s="423"/>
      <c r="C485" s="423" t="s">
        <v>538</v>
      </c>
      <c r="D485" s="423"/>
      <c r="E485" s="21">
        <v>9.3680553718014994E-2</v>
      </c>
      <c r="F485" s="424"/>
      <c r="G485" s="423"/>
      <c r="H485" s="423"/>
      <c r="I485" s="423"/>
      <c r="J485" s="425"/>
    </row>
    <row r="486" spans="1:10" x14ac:dyDescent="0.2">
      <c r="A486" s="422"/>
      <c r="B486" s="423"/>
      <c r="C486" s="423" t="s">
        <v>539</v>
      </c>
      <c r="D486" s="423"/>
      <c r="E486" s="21">
        <v>0.100045106738946</v>
      </c>
      <c r="F486" s="424"/>
      <c r="G486" s="423"/>
      <c r="H486" s="423"/>
      <c r="I486" s="423"/>
      <c r="J486" s="425"/>
    </row>
    <row r="487" spans="1:10" x14ac:dyDescent="0.2">
      <c r="A487" s="422"/>
      <c r="B487" s="423"/>
      <c r="C487" s="423" t="s">
        <v>540</v>
      </c>
      <c r="D487" s="423"/>
      <c r="E487" s="21">
        <v>0.107997200468718</v>
      </c>
      <c r="F487" s="424"/>
      <c r="G487" s="423"/>
      <c r="H487" s="423"/>
      <c r="I487" s="423"/>
      <c r="J487" s="425"/>
    </row>
    <row r="488" spans="1:10" x14ac:dyDescent="0.2">
      <c r="A488" s="887"/>
      <c r="B488" s="435"/>
      <c r="C488" s="435" t="s">
        <v>541</v>
      </c>
      <c r="D488" s="435"/>
      <c r="E488" s="436">
        <v>0.126106719427276</v>
      </c>
      <c r="F488" s="437"/>
      <c r="G488" s="435"/>
      <c r="H488" s="435"/>
      <c r="I488" s="435"/>
      <c r="J488" s="438"/>
    </row>
    <row r="490" spans="1:10" x14ac:dyDescent="0.2">
      <c r="A490" t="s">
        <v>518</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M193"/>
  <sheetViews>
    <sheetView showGridLines="0" zoomScale="70" zoomScaleNormal="70" workbookViewId="0">
      <pane xSplit="3" ySplit="3" topLeftCell="D4" activePane="bottomRight" state="frozen"/>
      <selection activeCell="I26" sqref="I26"/>
      <selection pane="topRight" activeCell="I26" sqref="I26"/>
      <selection pane="bottomLeft" activeCell="I26" sqref="I26"/>
      <selection pane="bottomRight"/>
    </sheetView>
  </sheetViews>
  <sheetFormatPr defaultColWidth="8.85546875" defaultRowHeight="12.75" outlineLevelRow="1" x14ac:dyDescent="0.2"/>
  <cols>
    <col min="1" max="1" width="3.140625" style="107" customWidth="1"/>
    <col min="2" max="2" width="8.7109375" style="112" bestFit="1" customWidth="1"/>
    <col min="3" max="3" width="24.28515625" style="107" bestFit="1" customWidth="1"/>
    <col min="4" max="4" width="7" style="107" customWidth="1"/>
    <col min="5" max="10" width="10.42578125" style="107" hidden="1" customWidth="1"/>
    <col min="11" max="14" width="11.42578125" style="107" bestFit="1" customWidth="1"/>
    <col min="15" max="15" width="12.140625" style="107" bestFit="1" customWidth="1"/>
    <col min="16" max="20" width="11.42578125" style="107" bestFit="1" customWidth="1"/>
    <col min="21" max="21" width="12" style="107" bestFit="1" customWidth="1"/>
    <col min="22" max="30" width="11.42578125" style="107" bestFit="1" customWidth="1"/>
    <col min="31" max="31" width="11.42578125" style="146" bestFit="1" customWidth="1"/>
    <col min="32" max="32" width="11.42578125" style="107" bestFit="1" customWidth="1"/>
    <col min="33" max="33" width="9.7109375" style="107" bestFit="1" customWidth="1"/>
    <col min="34" max="16384" width="8.85546875" style="107"/>
  </cols>
  <sheetData>
    <row r="1" spans="2:31" ht="20.25" x14ac:dyDescent="0.3">
      <c r="B1" s="40" t="s">
        <v>370</v>
      </c>
      <c r="Q1" s="291" t="s">
        <v>668</v>
      </c>
    </row>
    <row r="2" spans="2:31" ht="18" x14ac:dyDescent="0.25">
      <c r="B2" s="63" t="s">
        <v>372</v>
      </c>
      <c r="K2" s="140" t="s">
        <v>304</v>
      </c>
      <c r="L2" s="140" t="s">
        <v>268</v>
      </c>
      <c r="M2" s="140" t="s">
        <v>269</v>
      </c>
      <c r="N2" s="140" t="s">
        <v>270</v>
      </c>
      <c r="O2" s="140" t="s">
        <v>271</v>
      </c>
      <c r="P2" s="140" t="s">
        <v>272</v>
      </c>
      <c r="Q2" s="140" t="s">
        <v>273</v>
      </c>
      <c r="R2" s="140" t="s">
        <v>274</v>
      </c>
      <c r="S2" s="140" t="s">
        <v>275</v>
      </c>
      <c r="T2" s="140" t="s">
        <v>276</v>
      </c>
      <c r="U2" s="140" t="s">
        <v>277</v>
      </c>
      <c r="V2" s="140" t="s">
        <v>278</v>
      </c>
      <c r="W2" s="140" t="s">
        <v>279</v>
      </c>
      <c r="X2" s="140" t="s">
        <v>280</v>
      </c>
      <c r="Y2" s="140" t="s">
        <v>281</v>
      </c>
      <c r="Z2" s="140" t="s">
        <v>282</v>
      </c>
      <c r="AA2" s="140" t="s">
        <v>283</v>
      </c>
      <c r="AB2" s="140" t="s">
        <v>284</v>
      </c>
      <c r="AC2" s="140" t="s">
        <v>285</v>
      </c>
      <c r="AD2" s="140" t="s">
        <v>286</v>
      </c>
      <c r="AE2" s="141" t="s">
        <v>287</v>
      </c>
    </row>
    <row r="3" spans="2:31" s="111" customFormat="1" x14ac:dyDescent="0.2">
      <c r="B3" s="119"/>
      <c r="K3" s="111">
        <v>2008</v>
      </c>
      <c r="L3" s="111">
        <v>2009</v>
      </c>
      <c r="M3" s="111">
        <v>2010</v>
      </c>
      <c r="N3" s="111">
        <v>2011</v>
      </c>
      <c r="O3" s="111">
        <v>2012</v>
      </c>
      <c r="P3" s="111">
        <v>2013</v>
      </c>
      <c r="Q3" s="111">
        <v>2014</v>
      </c>
      <c r="R3" s="111">
        <v>2015</v>
      </c>
      <c r="S3" s="111">
        <v>2016</v>
      </c>
      <c r="T3" s="111">
        <v>2017</v>
      </c>
      <c r="U3" s="111">
        <v>2018</v>
      </c>
      <c r="V3" s="111">
        <v>2019</v>
      </c>
      <c r="W3" s="111">
        <v>2020</v>
      </c>
      <c r="X3" s="111">
        <v>2021</v>
      </c>
      <c r="Y3" s="111">
        <v>2022</v>
      </c>
      <c r="Z3" s="111">
        <v>2023</v>
      </c>
      <c r="AA3" s="111">
        <v>2024</v>
      </c>
      <c r="AB3" s="111">
        <v>2025</v>
      </c>
      <c r="AC3" s="111">
        <v>2026</v>
      </c>
      <c r="AD3" s="111">
        <v>2027</v>
      </c>
      <c r="AE3" s="142">
        <v>2028</v>
      </c>
    </row>
    <row r="4" spans="2:31" s="111" customFormat="1" x14ac:dyDescent="0.2">
      <c r="B4" s="119"/>
      <c r="D4" s="111" t="s">
        <v>235</v>
      </c>
      <c r="AE4" s="142"/>
    </row>
    <row r="5" spans="2:31" x14ac:dyDescent="0.2">
      <c r="B5" s="972" t="s">
        <v>34</v>
      </c>
      <c r="C5" s="107" t="s">
        <v>233</v>
      </c>
      <c r="K5" s="108">
        <f>SUM(Tanga!D80:D81)</f>
        <v>0</v>
      </c>
      <c r="L5" s="108">
        <f>SUM(Tanga!E80:E81)</f>
        <v>0</v>
      </c>
      <c r="M5" s="108">
        <f>SUM(Tanga!F80:F81)</f>
        <v>0</v>
      </c>
      <c r="N5" s="108">
        <f>SUM(Tanga!G80:G81)</f>
        <v>0</v>
      </c>
      <c r="O5" s="108">
        <f>SUM(Tanga!H80:H81)</f>
        <v>0</v>
      </c>
      <c r="P5" s="108">
        <f>SUM(Tanga!I80:I81)</f>
        <v>1652.143783327994</v>
      </c>
      <c r="Q5" s="108">
        <f>SUM(Tanga!J80:J81)</f>
        <v>2192.8217621138365</v>
      </c>
      <c r="R5" s="108">
        <f>SUM(Tanga!K80:K81)</f>
        <v>2355.0480281250561</v>
      </c>
      <c r="S5" s="108">
        <f>SUM(Tanga!L80:L81)</f>
        <v>2409.2141327719369</v>
      </c>
      <c r="T5" s="108">
        <f>SUM(Tanga!M80:M81)</f>
        <v>2464.6260578256897</v>
      </c>
      <c r="U5" s="108">
        <f>SUM(Tanga!N80:N81)</f>
        <v>2521.3124571556846</v>
      </c>
      <c r="V5" s="108">
        <f>SUM(Tanga!O80:O81)</f>
        <v>2579.3026436702598</v>
      </c>
      <c r="W5" s="108">
        <f>SUM(Tanga!P80:P81)</f>
        <v>2638.6266044746758</v>
      </c>
      <c r="X5" s="108">
        <f>SUM(Tanga!Q80:Q81)</f>
        <v>2699.3150163775936</v>
      </c>
      <c r="Y5" s="108">
        <f>SUM(Tanga!R80:R81)</f>
        <v>2761.3992617542754</v>
      </c>
      <c r="Z5" s="108">
        <f>SUM(Tanga!S80:S81)</f>
        <v>2824.9114447746269</v>
      </c>
      <c r="AA5" s="108">
        <f>SUM(Tanga!T80:T81)</f>
        <v>2889.8844080044423</v>
      </c>
      <c r="AB5" s="108">
        <f>SUM(Tanga!U80:U81)</f>
        <v>2956.3517493885397</v>
      </c>
      <c r="AC5" s="108">
        <f>SUM(Tanga!V80:V81)</f>
        <v>3024.3478396244759</v>
      </c>
      <c r="AD5" s="108">
        <f>SUM(Tanga!W80:W81)</f>
        <v>3093.9078399358368</v>
      </c>
      <c r="AE5" s="143">
        <f>SUM(Tanga!X80:X81)</f>
        <v>3165.0677202543698</v>
      </c>
    </row>
    <row r="6" spans="2:31" s="113" customFormat="1" ht="13.15" customHeight="1" outlineLevel="1" x14ac:dyDescent="0.2">
      <c r="B6" s="972"/>
      <c r="C6" s="114" t="s">
        <v>10</v>
      </c>
      <c r="D6" s="115">
        <f>Tanga!D69/Tanga!F70</f>
        <v>7.4698734258678262E-2</v>
      </c>
      <c r="E6" s="115"/>
      <c r="F6" s="115"/>
      <c r="G6" s="115"/>
      <c r="H6" s="115"/>
      <c r="I6" s="115"/>
      <c r="J6" s="115"/>
      <c r="K6" s="116">
        <f t="shared" ref="K6:O8" si="0">$D6*K$5</f>
        <v>0</v>
      </c>
      <c r="L6" s="116">
        <f t="shared" si="0"/>
        <v>0</v>
      </c>
      <c r="M6" s="116">
        <f t="shared" si="0"/>
        <v>0</v>
      </c>
      <c r="N6" s="116">
        <f t="shared" si="0"/>
        <v>0</v>
      </c>
      <c r="O6" s="116">
        <f t="shared" si="0"/>
        <v>0</v>
      </c>
      <c r="P6" s="116">
        <f>$D6*P$5</f>
        <v>123.41304942794514</v>
      </c>
      <c r="Q6" s="876">
        <f>$D6*Q$5</f>
        <v>163.80101008478806</v>
      </c>
      <c r="R6" s="116">
        <f t="shared" ref="Q6:AE8" si="1">$D6*R$5</f>
        <v>175.91910681933783</v>
      </c>
      <c r="S6" s="116">
        <f t="shared" si="1"/>
        <v>179.96524627618291</v>
      </c>
      <c r="T6" s="116">
        <f t="shared" si="1"/>
        <v>184.10444694053501</v>
      </c>
      <c r="U6" s="116">
        <f t="shared" si="1"/>
        <v>188.33884922016759</v>
      </c>
      <c r="V6" s="116">
        <f t="shared" si="1"/>
        <v>192.67064275223106</v>
      </c>
      <c r="W6" s="116">
        <f t="shared" si="1"/>
        <v>197.10206753553237</v>
      </c>
      <c r="X6" s="116">
        <f t="shared" si="1"/>
        <v>201.63541508884961</v>
      </c>
      <c r="Y6" s="116">
        <f t="shared" si="1"/>
        <v>206.27302963589295</v>
      </c>
      <c r="Z6" s="116">
        <f t="shared" si="1"/>
        <v>211.01730931751874</v>
      </c>
      <c r="AA6" s="116">
        <f t="shared" si="1"/>
        <v>215.87070743182159</v>
      </c>
      <c r="AB6" s="116">
        <f t="shared" si="1"/>
        <v>220.83573370275312</v>
      </c>
      <c r="AC6" s="116">
        <f t="shared" si="1"/>
        <v>225.91495557791643</v>
      </c>
      <c r="AD6" s="116">
        <f t="shared" si="1"/>
        <v>231.11099955620836</v>
      </c>
      <c r="AE6" s="144">
        <f t="shared" si="1"/>
        <v>236.4265525460018</v>
      </c>
    </row>
    <row r="7" spans="2:31" s="113" customFormat="1" ht="13.15" customHeight="1" outlineLevel="1" x14ac:dyDescent="0.2">
      <c r="B7" s="972"/>
      <c r="C7" s="114" t="s">
        <v>44</v>
      </c>
      <c r="D7" s="115">
        <f>Tanga!E69/Tanga!F70</f>
        <v>0.47883804011973247</v>
      </c>
      <c r="E7" s="115"/>
      <c r="F7" s="115"/>
      <c r="G7" s="115"/>
      <c r="H7" s="115"/>
      <c r="I7" s="115"/>
      <c r="J7" s="115"/>
      <c r="K7" s="116">
        <f t="shared" si="0"/>
        <v>0</v>
      </c>
      <c r="L7" s="116">
        <f t="shared" si="0"/>
        <v>0</v>
      </c>
      <c r="M7" s="116">
        <f t="shared" si="0"/>
        <v>0</v>
      </c>
      <c r="N7" s="116">
        <f t="shared" si="0"/>
        <v>0</v>
      </c>
      <c r="O7" s="116">
        <f t="shared" si="0"/>
        <v>0</v>
      </c>
      <c r="P7" s="116">
        <f t="shared" ref="P7:AE8" si="2">$D7*P$5</f>
        <v>791.10929120477658</v>
      </c>
      <c r="Q7" s="116">
        <f t="shared" si="2"/>
        <v>1050.0064749024878</v>
      </c>
      <c r="R7" s="116">
        <f t="shared" si="2"/>
        <v>1127.6865821752424</v>
      </c>
      <c r="S7" s="116">
        <f t="shared" si="2"/>
        <v>1153.6233735652752</v>
      </c>
      <c r="T7" s="116">
        <f t="shared" si="2"/>
        <v>1180.1567111572756</v>
      </c>
      <c r="U7" s="116">
        <f t="shared" si="2"/>
        <v>1207.3003155138949</v>
      </c>
      <c r="V7" s="116">
        <f t="shared" si="2"/>
        <v>1235.0682227707118</v>
      </c>
      <c r="W7" s="116">
        <f t="shared" si="2"/>
        <v>1263.4747918944383</v>
      </c>
      <c r="X7" s="116">
        <f t="shared" si="2"/>
        <v>1292.5347121080104</v>
      </c>
      <c r="Y7" s="116">
        <f t="shared" si="2"/>
        <v>1322.2630104864934</v>
      </c>
      <c r="Z7" s="116">
        <f t="shared" si="2"/>
        <v>1352.6750597276841</v>
      </c>
      <c r="AA7" s="116">
        <f t="shared" si="2"/>
        <v>1383.7865861014204</v>
      </c>
      <c r="AB7" s="116">
        <f t="shared" si="2"/>
        <v>1415.6136775817508</v>
      </c>
      <c r="AC7" s="116">
        <f t="shared" si="2"/>
        <v>1448.1727921661311</v>
      </c>
      <c r="AD7" s="116">
        <f t="shared" si="2"/>
        <v>1481.480766385951</v>
      </c>
      <c r="AE7" s="144">
        <f t="shared" si="2"/>
        <v>1515.5548240128321</v>
      </c>
    </row>
    <row r="8" spans="2:31" s="113" customFormat="1" ht="13.15" customHeight="1" outlineLevel="1" x14ac:dyDescent="0.2">
      <c r="B8" s="972"/>
      <c r="C8" s="114" t="s">
        <v>45</v>
      </c>
      <c r="D8" s="115">
        <f>Tanga!F69/Tanga!F70</f>
        <v>0.4464632256215893</v>
      </c>
      <c r="E8" s="115"/>
      <c r="F8" s="115"/>
      <c r="G8" s="115"/>
      <c r="H8" s="115"/>
      <c r="I8" s="115"/>
      <c r="J8" s="115"/>
      <c r="K8" s="116">
        <f t="shared" si="0"/>
        <v>0</v>
      </c>
      <c r="L8" s="116">
        <f t="shared" si="0"/>
        <v>0</v>
      </c>
      <c r="M8" s="116">
        <f t="shared" si="0"/>
        <v>0</v>
      </c>
      <c r="N8" s="116">
        <f t="shared" si="0"/>
        <v>0</v>
      </c>
      <c r="O8" s="116">
        <f t="shared" si="0"/>
        <v>0</v>
      </c>
      <c r="P8" s="116">
        <f t="shared" si="2"/>
        <v>737.62144269527232</v>
      </c>
      <c r="Q8" s="116">
        <f t="shared" si="1"/>
        <v>979.01427712656084</v>
      </c>
      <c r="R8" s="116">
        <f t="shared" si="1"/>
        <v>1051.4423391304758</v>
      </c>
      <c r="S8" s="116">
        <f t="shared" si="1"/>
        <v>1075.6255129304789</v>
      </c>
      <c r="T8" s="116">
        <f t="shared" si="1"/>
        <v>1100.364899727879</v>
      </c>
      <c r="U8" s="116">
        <f t="shared" si="1"/>
        <v>1125.6732924216221</v>
      </c>
      <c r="V8" s="116">
        <f t="shared" si="1"/>
        <v>1151.563778147317</v>
      </c>
      <c r="W8" s="116">
        <f t="shared" si="1"/>
        <v>1178.0497450447053</v>
      </c>
      <c r="X8" s="116">
        <f t="shared" si="1"/>
        <v>1205.1448891807336</v>
      </c>
      <c r="Y8" s="116">
        <f t="shared" si="1"/>
        <v>1232.8632216318892</v>
      </c>
      <c r="Z8" s="116">
        <f t="shared" si="1"/>
        <v>1261.219075729424</v>
      </c>
      <c r="AA8" s="116">
        <f t="shared" si="1"/>
        <v>1290.2271144712004</v>
      </c>
      <c r="AB8" s="116">
        <f t="shared" si="1"/>
        <v>1319.9023381040358</v>
      </c>
      <c r="AC8" s="116">
        <f t="shared" si="1"/>
        <v>1350.2600918804285</v>
      </c>
      <c r="AD8" s="116">
        <f t="shared" si="1"/>
        <v>1381.3160739936775</v>
      </c>
      <c r="AE8" s="144">
        <f t="shared" si="1"/>
        <v>1413.086343695536</v>
      </c>
    </row>
    <row r="9" spans="2:31" x14ac:dyDescent="0.2">
      <c r="B9" s="972"/>
      <c r="C9" s="107" t="s">
        <v>234</v>
      </c>
      <c r="D9" s="106"/>
      <c r="E9" s="106"/>
      <c r="F9" s="106"/>
      <c r="G9" s="106"/>
      <c r="H9" s="106"/>
      <c r="I9" s="106"/>
      <c r="J9" s="106"/>
      <c r="K9" s="108">
        <f>Tanga!D112-Tanga!D81</f>
        <v>0</v>
      </c>
      <c r="L9" s="108">
        <f>Tanga!E112-Tanga!E81</f>
        <v>0</v>
      </c>
      <c r="M9" s="108">
        <f>Tanga!F112-Tanga!F81</f>
        <v>0</v>
      </c>
      <c r="N9" s="108">
        <f>Tanga!G112-Tanga!G81</f>
        <v>0</v>
      </c>
      <c r="O9" s="108">
        <f>Tanga!H112-Tanga!H81</f>
        <v>51397</v>
      </c>
      <c r="P9" s="108">
        <f>Tanga!I112-Tanga!I81</f>
        <v>51397</v>
      </c>
      <c r="Q9" s="108">
        <f>Tanga!J112-Tanga!J81</f>
        <v>52579.130999999994</v>
      </c>
      <c r="R9" s="108">
        <f>Tanga!K112-Tanga!K81</f>
        <v>53788.451012999991</v>
      </c>
      <c r="S9" s="108">
        <f>Tanga!L112-Tanga!L81</f>
        <v>55025.585386298982</v>
      </c>
      <c r="T9" s="108">
        <f>Tanga!M112-Tanga!M81</f>
        <v>56291.173850183855</v>
      </c>
      <c r="U9" s="108">
        <f>Tanga!N112-Tanga!N81</f>
        <v>57585.870848738079</v>
      </c>
      <c r="V9" s="108">
        <f>Tanga!O112-Tanga!O81</f>
        <v>58910.345878259053</v>
      </c>
      <c r="W9" s="108">
        <f>Tanga!P112-Tanga!P81</f>
        <v>60265.283833459005</v>
      </c>
      <c r="X9" s="108">
        <f>Tanga!Q112-Tanga!Q81</f>
        <v>61651.385361628556</v>
      </c>
      <c r="Y9" s="108">
        <f>Tanga!R112-Tanga!R81</f>
        <v>63069.367224946007</v>
      </c>
      <c r="Z9" s="108">
        <f>Tanga!S112-Tanga!S81</f>
        <v>64519.962671119756</v>
      </c>
      <c r="AA9" s="108">
        <f>Tanga!T112-Tanga!T81</f>
        <v>66003.921812555505</v>
      </c>
      <c r="AB9" s="108">
        <f>Tanga!U112-Tanga!U81</f>
        <v>67522.012014244276</v>
      </c>
      <c r="AC9" s="108">
        <f>Tanga!V112-Tanga!V81</f>
        <v>69075.018290571883</v>
      </c>
      <c r="AD9" s="108">
        <f>Tanga!W112-Tanga!W81</f>
        <v>70663.743711255025</v>
      </c>
      <c r="AE9" s="108">
        <f>Tanga!X112-Tanga!X81</f>
        <v>72289.009816613878</v>
      </c>
    </row>
    <row r="10" spans="2:31" ht="13.15" customHeight="1" outlineLevel="1" x14ac:dyDescent="0.2">
      <c r="B10" s="972"/>
      <c r="C10" s="106" t="s">
        <v>10</v>
      </c>
      <c r="D10" s="110">
        <f>D6</f>
        <v>7.4698734258678262E-2</v>
      </c>
      <c r="E10" s="110"/>
      <c r="F10" s="110"/>
      <c r="G10" s="110"/>
      <c r="H10" s="110"/>
      <c r="I10" s="110"/>
      <c r="J10" s="110"/>
      <c r="K10" s="108">
        <f t="shared" ref="K10:N12" si="3">K$9*$D10</f>
        <v>0</v>
      </c>
      <c r="L10" s="108">
        <f t="shared" si="3"/>
        <v>0</v>
      </c>
      <c r="M10" s="108">
        <f t="shared" si="3"/>
        <v>0</v>
      </c>
      <c r="N10" s="108">
        <f t="shared" si="3"/>
        <v>0</v>
      </c>
      <c r="O10" s="108">
        <f>O$9*$D10</f>
        <v>3839.2908446932865</v>
      </c>
      <c r="P10" s="257">
        <f>P$9*$D10</f>
        <v>3839.2908446932865</v>
      </c>
      <c r="Q10" s="108">
        <f t="shared" ref="Q10:AE12" si="4">Q$9*$D10</f>
        <v>3927.5945341212318</v>
      </c>
      <c r="R10" s="108">
        <f t="shared" si="4"/>
        <v>4017.9292084060198</v>
      </c>
      <c r="S10" s="108">
        <f t="shared" si="4"/>
        <v>4110.3415801993578</v>
      </c>
      <c r="T10" s="108">
        <f t="shared" si="4"/>
        <v>4204.8794365439426</v>
      </c>
      <c r="U10" s="108">
        <f t="shared" si="4"/>
        <v>4301.5916635844533</v>
      </c>
      <c r="V10" s="108">
        <f t="shared" si="4"/>
        <v>4400.5282718468952</v>
      </c>
      <c r="W10" s="108">
        <f t="shared" si="4"/>
        <v>4501.7404220993731</v>
      </c>
      <c r="X10" s="108">
        <f t="shared" si="4"/>
        <v>4605.2804518076582</v>
      </c>
      <c r="Y10" s="108">
        <f t="shared" si="4"/>
        <v>4711.2019021992346</v>
      </c>
      <c r="Z10" s="108">
        <f t="shared" si="4"/>
        <v>4819.5595459498163</v>
      </c>
      <c r="AA10" s="108">
        <f t="shared" si="4"/>
        <v>4930.4094155066614</v>
      </c>
      <c r="AB10" s="108">
        <f t="shared" si="4"/>
        <v>5043.8088320633142</v>
      </c>
      <c r="AC10" s="108">
        <f t="shared" si="4"/>
        <v>5159.8164352007698</v>
      </c>
      <c r="AD10" s="108">
        <f t="shared" si="4"/>
        <v>5278.4922132103866</v>
      </c>
      <c r="AE10" s="143">
        <f t="shared" si="4"/>
        <v>5399.8975341142241</v>
      </c>
    </row>
    <row r="11" spans="2:31" ht="13.15" customHeight="1" outlineLevel="1" x14ac:dyDescent="0.2">
      <c r="B11" s="972"/>
      <c r="C11" s="106" t="s">
        <v>44</v>
      </c>
      <c r="D11" s="110">
        <f t="shared" ref="D11:D12" si="5">D7</f>
        <v>0.47883804011973247</v>
      </c>
      <c r="E11" s="110"/>
      <c r="F11" s="110"/>
      <c r="G11" s="110"/>
      <c r="H11" s="110"/>
      <c r="I11" s="110"/>
      <c r="J11" s="110"/>
      <c r="K11" s="108">
        <f t="shared" si="3"/>
        <v>0</v>
      </c>
      <c r="L11" s="108">
        <f t="shared" si="3"/>
        <v>0</v>
      </c>
      <c r="M11" s="108">
        <f t="shared" si="3"/>
        <v>0</v>
      </c>
      <c r="N11" s="108">
        <f t="shared" si="3"/>
        <v>0</v>
      </c>
      <c r="O11" s="108">
        <f t="shared" ref="O11:AD12" si="6">O$9*$D11</f>
        <v>24610.83874803389</v>
      </c>
      <c r="P11" s="108">
        <f t="shared" si="6"/>
        <v>24610.83874803389</v>
      </c>
      <c r="Q11" s="108">
        <f t="shared" si="6"/>
        <v>25176.888039238667</v>
      </c>
      <c r="R11" s="108">
        <f t="shared" si="6"/>
        <v>25755.956464141153</v>
      </c>
      <c r="S11" s="108">
        <f t="shared" si="6"/>
        <v>26348.343462816396</v>
      </c>
      <c r="T11" s="108">
        <f t="shared" si="6"/>
        <v>26954.35536246117</v>
      </c>
      <c r="U11" s="108">
        <f t="shared" si="6"/>
        <v>27574.305535797776</v>
      </c>
      <c r="V11" s="108">
        <f t="shared" si="6"/>
        <v>28208.514563121124</v>
      </c>
      <c r="W11" s="108">
        <f t="shared" si="6"/>
        <v>28857.310398072907</v>
      </c>
      <c r="X11" s="108">
        <f t="shared" si="6"/>
        <v>29521.02853722858</v>
      </c>
      <c r="Y11" s="108">
        <f t="shared" si="6"/>
        <v>30200.012193584836</v>
      </c>
      <c r="Z11" s="108">
        <f t="shared" si="6"/>
        <v>30894.612474037283</v>
      </c>
      <c r="AA11" s="108">
        <f t="shared" si="6"/>
        <v>31605.18856094014</v>
      </c>
      <c r="AB11" s="108">
        <f t="shared" si="6"/>
        <v>32332.107897841757</v>
      </c>
      <c r="AC11" s="108">
        <f t="shared" si="6"/>
        <v>33075.746379492113</v>
      </c>
      <c r="AD11" s="108">
        <f t="shared" si="6"/>
        <v>33836.488546220426</v>
      </c>
      <c r="AE11" s="143">
        <f t="shared" si="4"/>
        <v>34614.727782783491</v>
      </c>
    </row>
    <row r="12" spans="2:31" ht="13.15" customHeight="1" outlineLevel="1" x14ac:dyDescent="0.2">
      <c r="B12" s="972"/>
      <c r="C12" s="106" t="s">
        <v>45</v>
      </c>
      <c r="D12" s="110">
        <f t="shared" si="5"/>
        <v>0.4464632256215893</v>
      </c>
      <c r="E12" s="110"/>
      <c r="F12" s="110"/>
      <c r="G12" s="110"/>
      <c r="H12" s="110"/>
      <c r="I12" s="110"/>
      <c r="J12" s="110"/>
      <c r="K12" s="108">
        <f t="shared" si="3"/>
        <v>0</v>
      </c>
      <c r="L12" s="108">
        <f t="shared" si="3"/>
        <v>0</v>
      </c>
      <c r="M12" s="108">
        <f t="shared" si="3"/>
        <v>0</v>
      </c>
      <c r="N12" s="108">
        <f t="shared" si="3"/>
        <v>0</v>
      </c>
      <c r="O12" s="108">
        <f>O$9*$D12</f>
        <v>22946.870407272825</v>
      </c>
      <c r="P12" s="108">
        <f t="shared" si="6"/>
        <v>22946.870407272825</v>
      </c>
      <c r="Q12" s="108">
        <f t="shared" si="6"/>
        <v>23474.648426640098</v>
      </c>
      <c r="R12" s="108">
        <f t="shared" si="6"/>
        <v>24014.565340452817</v>
      </c>
      <c r="S12" s="108">
        <f t="shared" si="6"/>
        <v>24566.900343283229</v>
      </c>
      <c r="T12" s="108">
        <f t="shared" si="6"/>
        <v>25131.939051178742</v>
      </c>
      <c r="U12" s="108">
        <f t="shared" si="6"/>
        <v>25709.973649355852</v>
      </c>
      <c r="V12" s="108">
        <f t="shared" si="6"/>
        <v>26301.303043291035</v>
      </c>
      <c r="W12" s="108">
        <f t="shared" si="6"/>
        <v>26906.233013286725</v>
      </c>
      <c r="X12" s="108">
        <f t="shared" si="6"/>
        <v>27525.076372592317</v>
      </c>
      <c r="Y12" s="108">
        <f t="shared" si="6"/>
        <v>28158.153129161939</v>
      </c>
      <c r="Z12" s="108">
        <f t="shared" si="6"/>
        <v>28805.790651132658</v>
      </c>
      <c r="AA12" s="108">
        <f t="shared" si="6"/>
        <v>29468.32383610871</v>
      </c>
      <c r="AB12" s="108">
        <f t="shared" si="6"/>
        <v>30146.095284339204</v>
      </c>
      <c r="AC12" s="108">
        <f t="shared" si="6"/>
        <v>30839.455475879004</v>
      </c>
      <c r="AD12" s="108">
        <f t="shared" si="6"/>
        <v>31548.762951824214</v>
      </c>
      <c r="AE12" s="143">
        <f t="shared" si="4"/>
        <v>32274.384499716165</v>
      </c>
    </row>
    <row r="13" spans="2:31" s="111" customFormat="1" x14ac:dyDescent="0.2">
      <c r="B13" s="972"/>
      <c r="C13" s="117" t="s">
        <v>236</v>
      </c>
      <c r="K13" s="118">
        <f t="shared" ref="K13:Z13" si="7">SUM(K5,K9)</f>
        <v>0</v>
      </c>
      <c r="L13" s="118">
        <f t="shared" si="7"/>
        <v>0</v>
      </c>
      <c r="M13" s="118">
        <f t="shared" si="7"/>
        <v>0</v>
      </c>
      <c r="N13" s="118">
        <f t="shared" si="7"/>
        <v>0</v>
      </c>
      <c r="O13" s="118">
        <f t="shared" si="7"/>
        <v>51397</v>
      </c>
      <c r="P13" s="118">
        <f t="shared" si="7"/>
        <v>53049.143783327992</v>
      </c>
      <c r="Q13" s="118">
        <f t="shared" si="7"/>
        <v>54771.952762113833</v>
      </c>
      <c r="R13" s="118">
        <f t="shared" si="7"/>
        <v>56143.499041125047</v>
      </c>
      <c r="S13" s="118">
        <f t="shared" si="7"/>
        <v>57434.799519070919</v>
      </c>
      <c r="T13" s="118">
        <f t="shared" si="7"/>
        <v>58755.799908009547</v>
      </c>
      <c r="U13" s="118">
        <f t="shared" si="7"/>
        <v>60107.183305893763</v>
      </c>
      <c r="V13" s="118">
        <f t="shared" si="7"/>
        <v>61489.64852192931</v>
      </c>
      <c r="W13" s="118">
        <f t="shared" si="7"/>
        <v>62903.910437933679</v>
      </c>
      <c r="X13" s="118">
        <f t="shared" si="7"/>
        <v>64350.70037800615</v>
      </c>
      <c r="Y13" s="118">
        <f t="shared" si="7"/>
        <v>65830.766486700275</v>
      </c>
      <c r="Z13" s="118">
        <f t="shared" si="7"/>
        <v>67344.874115894389</v>
      </c>
      <c r="AA13" s="118">
        <f>SUM(AA5,AA9)</f>
        <v>68893.806220559942</v>
      </c>
      <c r="AB13" s="118">
        <f t="shared" ref="AB13:AE13" si="8">SUM(AB5,AB9)</f>
        <v>70478.36376363282</v>
      </c>
      <c r="AC13" s="118">
        <f t="shared" si="8"/>
        <v>72099.366130196358</v>
      </c>
      <c r="AD13" s="118">
        <f t="shared" si="8"/>
        <v>73757.651551190866</v>
      </c>
      <c r="AE13" s="118">
        <f t="shared" si="8"/>
        <v>75454.077536868252</v>
      </c>
    </row>
    <row r="14" spans="2:31" x14ac:dyDescent="0.2">
      <c r="B14" s="972" t="s">
        <v>35</v>
      </c>
      <c r="C14" s="107" t="s">
        <v>233</v>
      </c>
      <c r="K14" s="108">
        <f>SUM(Dodoma!D79:D80)</f>
        <v>0</v>
      </c>
      <c r="L14" s="108">
        <f>SUM(Dodoma!E79:E80)</f>
        <v>0</v>
      </c>
      <c r="M14" s="108">
        <f>SUM(Dodoma!F79:F80)</f>
        <v>0</v>
      </c>
      <c r="N14" s="108">
        <f>SUM(Dodoma!G79:G80)</f>
        <v>0</v>
      </c>
      <c r="O14" s="108">
        <f>SUM(Dodoma!H79:H80)</f>
        <v>0</v>
      </c>
      <c r="P14" s="108">
        <f>SUM(Dodoma!I79:I80)</f>
        <v>2333.744289207998</v>
      </c>
      <c r="Q14" s="108">
        <f>SUM(Dodoma!J79:J80)</f>
        <v>4089.4187391677397</v>
      </c>
      <c r="R14" s="108">
        <f>SUM(Dodoma!K79:K80)</f>
        <v>4561.9849990659932</v>
      </c>
      <c r="S14" s="108">
        <f>SUM(Dodoma!L79:L80)</f>
        <v>4666.9106540445118</v>
      </c>
      <c r="T14" s="108">
        <f>SUM(Dodoma!M79:M80)</f>
        <v>4774.2495990875377</v>
      </c>
      <c r="U14" s="108">
        <f>SUM(Dodoma!N79:N80)</f>
        <v>4884.0573398665474</v>
      </c>
      <c r="V14" s="108">
        <f>SUM(Dodoma!O79:O80)</f>
        <v>4996.3906586834746</v>
      </c>
      <c r="W14" s="108">
        <f>SUM(Dodoma!P79:P80)</f>
        <v>5111.3076438331964</v>
      </c>
      <c r="X14" s="108">
        <f>SUM(Dodoma!Q79:Q80)</f>
        <v>5228.8677196413619</v>
      </c>
      <c r="Y14" s="108">
        <f>SUM(Dodoma!R79:R80)</f>
        <v>5349.1316771931115</v>
      </c>
      <c r="Z14" s="108">
        <f>SUM(Dodoma!S79:S80)</f>
        <v>5472.1617057685553</v>
      </c>
      <c r="AA14" s="108">
        <f>SUM(Dodoma!T79:T80)</f>
        <v>5598.0214250012305</v>
      </c>
      <c r="AB14" s="108">
        <f>SUM(Dodoma!U79:U80)</f>
        <v>5726.77591777626</v>
      </c>
      <c r="AC14" s="108">
        <f>SUM(Dodoma!V79:V80)</f>
        <v>5858.4917638851111</v>
      </c>
      <c r="AD14" s="108">
        <f>SUM(Dodoma!W79:W80)</f>
        <v>5993.2370744544687</v>
      </c>
      <c r="AE14" s="143">
        <f>SUM(Dodoma!X79:X80)</f>
        <v>6131.0815271669171</v>
      </c>
    </row>
    <row r="15" spans="2:31" ht="13.15" customHeight="1" outlineLevel="1" x14ac:dyDescent="0.2">
      <c r="B15" s="972"/>
      <c r="C15" s="106" t="s">
        <v>10</v>
      </c>
      <c r="D15" s="109">
        <f>Dodoma!D68/Dodoma!F69</f>
        <v>8.6833707566813717E-2</v>
      </c>
      <c r="E15" s="109"/>
      <c r="F15" s="109"/>
      <c r="G15" s="109"/>
      <c r="H15" s="109"/>
      <c r="I15" s="109"/>
      <c r="J15" s="109"/>
      <c r="K15" s="108">
        <f>$D15*K$14</f>
        <v>0</v>
      </c>
      <c r="L15" s="108">
        <f t="shared" ref="L15:AE17" si="9">$D15*L$14</f>
        <v>0</v>
      </c>
      <c r="M15" s="108">
        <f t="shared" si="9"/>
        <v>0</v>
      </c>
      <c r="N15" s="108">
        <f t="shared" si="9"/>
        <v>0</v>
      </c>
      <c r="O15" s="108">
        <f t="shared" si="9"/>
        <v>0</v>
      </c>
      <c r="P15" s="108">
        <f t="shared" si="9"/>
        <v>202.64766914480884</v>
      </c>
      <c r="Q15" s="108">
        <f t="shared" si="9"/>
        <v>355.09939091513957</v>
      </c>
      <c r="R15" s="108">
        <f t="shared" si="9"/>
        <v>396.13407133308738</v>
      </c>
      <c r="S15" s="108">
        <f t="shared" si="9"/>
        <v>405.24515497374847</v>
      </c>
      <c r="T15" s="108">
        <f t="shared" si="9"/>
        <v>414.56579353814487</v>
      </c>
      <c r="U15" s="108">
        <f t="shared" si="9"/>
        <v>424.10080678952187</v>
      </c>
      <c r="V15" s="108">
        <f t="shared" si="9"/>
        <v>433.85512534568062</v>
      </c>
      <c r="W15" s="108">
        <f t="shared" si="9"/>
        <v>443.83379322863141</v>
      </c>
      <c r="X15" s="108">
        <f t="shared" si="9"/>
        <v>454.04197047289011</v>
      </c>
      <c r="Y15" s="108">
        <f t="shared" si="9"/>
        <v>464.48493579376645</v>
      </c>
      <c r="Z15" s="108">
        <f t="shared" si="9"/>
        <v>475.16808931702326</v>
      </c>
      <c r="AA15" s="108">
        <f t="shared" si="9"/>
        <v>486.09695537131466</v>
      </c>
      <c r="AB15" s="108">
        <f t="shared" si="9"/>
        <v>497.27718534485501</v>
      </c>
      <c r="AC15" s="108">
        <f t="shared" si="9"/>
        <v>508.71456060778644</v>
      </c>
      <c r="AD15" s="108">
        <f t="shared" si="9"/>
        <v>520.41499550176547</v>
      </c>
      <c r="AE15" s="143">
        <f t="shared" si="9"/>
        <v>532.38454039830572</v>
      </c>
    </row>
    <row r="16" spans="2:31" ht="13.15" customHeight="1" outlineLevel="1" x14ac:dyDescent="0.2">
      <c r="B16" s="972"/>
      <c r="C16" s="106" t="s">
        <v>44</v>
      </c>
      <c r="D16" s="109">
        <f>Dodoma!E68/Dodoma!F69</f>
        <v>0.35355744123295491</v>
      </c>
      <c r="E16" s="109"/>
      <c r="F16" s="109"/>
      <c r="G16" s="109"/>
      <c r="H16" s="109"/>
      <c r="I16" s="109"/>
      <c r="J16" s="109"/>
      <c r="K16" s="108">
        <f t="shared" ref="K16:Z17" si="10">$D16*K$14</f>
        <v>0</v>
      </c>
      <c r="L16" s="108">
        <f t="shared" si="10"/>
        <v>0</v>
      </c>
      <c r="M16" s="108">
        <f t="shared" si="10"/>
        <v>0</v>
      </c>
      <c r="N16" s="108">
        <f t="shared" si="10"/>
        <v>0</v>
      </c>
      <c r="O16" s="108">
        <f t="shared" si="10"/>
        <v>0</v>
      </c>
      <c r="P16" s="108">
        <f t="shared" si="10"/>
        <v>825.1126593844009</v>
      </c>
      <c r="Q16" s="108">
        <f t="shared" si="10"/>
        <v>1445.8444255502427</v>
      </c>
      <c r="R16" s="108">
        <f t="shared" si="10"/>
        <v>1612.9237432128966</v>
      </c>
      <c r="S16" s="108">
        <f t="shared" si="10"/>
        <v>1650.0209893067936</v>
      </c>
      <c r="T16" s="108">
        <f t="shared" si="10"/>
        <v>1687.9714720608506</v>
      </c>
      <c r="U16" s="108">
        <f t="shared" si="10"/>
        <v>1726.7948159182488</v>
      </c>
      <c r="V16" s="108">
        <f t="shared" si="10"/>
        <v>1766.5110966843674</v>
      </c>
      <c r="W16" s="108">
        <f t="shared" si="10"/>
        <v>1807.1408519081085</v>
      </c>
      <c r="X16" s="108">
        <f t="shared" si="10"/>
        <v>1848.7050915019956</v>
      </c>
      <c r="Y16" s="108">
        <f t="shared" si="10"/>
        <v>1891.2253086065409</v>
      </c>
      <c r="Z16" s="108">
        <f t="shared" si="10"/>
        <v>1934.7234907044922</v>
      </c>
      <c r="AA16" s="108">
        <f t="shared" si="9"/>
        <v>1979.222130990695</v>
      </c>
      <c r="AB16" s="108">
        <f t="shared" si="9"/>
        <v>2024.7442400034815</v>
      </c>
      <c r="AC16" s="108">
        <f t="shared" si="9"/>
        <v>2071.3133575235606</v>
      </c>
      <c r="AD16" s="108">
        <f t="shared" si="9"/>
        <v>2118.9535647466023</v>
      </c>
      <c r="AE16" s="143">
        <f t="shared" si="9"/>
        <v>2167.6894967357725</v>
      </c>
    </row>
    <row r="17" spans="2:31" ht="13.15" customHeight="1" outlineLevel="1" x14ac:dyDescent="0.2">
      <c r="B17" s="972"/>
      <c r="C17" s="106" t="s">
        <v>45</v>
      </c>
      <c r="D17" s="109">
        <f>Dodoma!F68/Dodoma!F69</f>
        <v>0.55960885120023141</v>
      </c>
      <c r="E17" s="109"/>
      <c r="F17" s="109"/>
      <c r="G17" s="109"/>
      <c r="H17" s="109"/>
      <c r="I17" s="109"/>
      <c r="J17" s="109"/>
      <c r="K17" s="108">
        <f t="shared" si="10"/>
        <v>0</v>
      </c>
      <c r="L17" s="108">
        <f t="shared" si="9"/>
        <v>0</v>
      </c>
      <c r="M17" s="108">
        <f t="shared" si="9"/>
        <v>0</v>
      </c>
      <c r="N17" s="108">
        <f t="shared" si="9"/>
        <v>0</v>
      </c>
      <c r="O17" s="108">
        <f t="shared" si="9"/>
        <v>0</v>
      </c>
      <c r="P17" s="108">
        <f t="shared" si="9"/>
        <v>1305.9839606787884</v>
      </c>
      <c r="Q17" s="108">
        <f t="shared" si="9"/>
        <v>2288.4749227023576</v>
      </c>
      <c r="R17" s="108">
        <f t="shared" si="9"/>
        <v>2552.9271845200092</v>
      </c>
      <c r="S17" s="108">
        <f t="shared" si="9"/>
        <v>2611.6445097639698</v>
      </c>
      <c r="T17" s="108">
        <f t="shared" si="9"/>
        <v>2671.7123334885423</v>
      </c>
      <c r="U17" s="108">
        <f t="shared" si="9"/>
        <v>2733.1617171587768</v>
      </c>
      <c r="V17" s="108">
        <f t="shared" si="9"/>
        <v>2796.0244366534266</v>
      </c>
      <c r="W17" s="108">
        <f t="shared" si="9"/>
        <v>2860.3329986964568</v>
      </c>
      <c r="X17" s="108">
        <f t="shared" si="9"/>
        <v>2926.1206576664763</v>
      </c>
      <c r="Y17" s="108">
        <f t="shared" si="9"/>
        <v>2993.4214327928044</v>
      </c>
      <c r="Z17" s="108">
        <f t="shared" si="9"/>
        <v>3062.2701257470399</v>
      </c>
      <c r="AA17" s="108">
        <f t="shared" si="9"/>
        <v>3132.7023386392211</v>
      </c>
      <c r="AB17" s="108">
        <f t="shared" si="9"/>
        <v>3204.7544924279237</v>
      </c>
      <c r="AC17" s="108">
        <f t="shared" si="9"/>
        <v>3278.4638457537644</v>
      </c>
      <c r="AD17" s="108">
        <f t="shared" si="9"/>
        <v>3353.8685142061008</v>
      </c>
      <c r="AE17" s="143">
        <f t="shared" si="9"/>
        <v>3431.0074900328386</v>
      </c>
    </row>
    <row r="18" spans="2:31" x14ac:dyDescent="0.2">
      <c r="B18" s="972"/>
      <c r="C18" s="107" t="s">
        <v>234</v>
      </c>
      <c r="K18" s="108">
        <f>Dodoma!D111-Dodoma!D80</f>
        <v>0</v>
      </c>
      <c r="L18" s="108">
        <f>Dodoma!E111-Dodoma!E80</f>
        <v>0</v>
      </c>
      <c r="M18" s="108">
        <f>Dodoma!F111-Dodoma!F80</f>
        <v>0</v>
      </c>
      <c r="N18" s="108">
        <f>Dodoma!G111-Dodoma!G80</f>
        <v>0</v>
      </c>
      <c r="O18" s="108">
        <f>Dodoma!H111-Dodoma!H80</f>
        <v>32276</v>
      </c>
      <c r="P18" s="108">
        <f>Dodoma!I111-Dodoma!I80</f>
        <v>32276</v>
      </c>
      <c r="Q18" s="108">
        <f>Dodoma!J111-Dodoma!J80</f>
        <v>33018.347999999998</v>
      </c>
      <c r="R18" s="108">
        <f>Dodoma!K111-Dodoma!K80</f>
        <v>33777.770003999998</v>
      </c>
      <c r="S18" s="108">
        <f>Dodoma!L111-Dodoma!L80</f>
        <v>34554.658714091995</v>
      </c>
      <c r="T18" s="108">
        <f>Dodoma!M111-Dodoma!M80</f>
        <v>35349.415864516108</v>
      </c>
      <c r="U18" s="108">
        <f>Dodoma!N111-Dodoma!N80</f>
        <v>36162.452429399978</v>
      </c>
      <c r="V18" s="108">
        <f>Dodoma!O111-Dodoma!O80</f>
        <v>36994.188835276174</v>
      </c>
      <c r="W18" s="108">
        <f>Dodoma!P111-Dodoma!P80</f>
        <v>37845.055178487521</v>
      </c>
      <c r="X18" s="108">
        <f>Dodoma!Q111-Dodoma!Q80</f>
        <v>38715.491447592729</v>
      </c>
      <c r="Y18" s="108">
        <f>Dodoma!R111-Dodoma!R80</f>
        <v>39605.947750887361</v>
      </c>
      <c r="Z18" s="108">
        <f>Dodoma!S111-Dodoma!S80</f>
        <v>40516.884549157767</v>
      </c>
      <c r="AA18" s="108">
        <f>Dodoma!T111-Dodoma!T80</f>
        <v>41448.772893788395</v>
      </c>
      <c r="AB18" s="108">
        <f>Dodoma!U111-Dodoma!U80</f>
        <v>42402.094670345527</v>
      </c>
      <c r="AC18" s="108">
        <f>Dodoma!V111-Dodoma!V80</f>
        <v>43377.342847763473</v>
      </c>
      <c r="AD18" s="108">
        <f>Dodoma!W111-Dodoma!W80</f>
        <v>44375.02173326203</v>
      </c>
      <c r="AE18" s="108">
        <f>Dodoma!X111-Dodoma!X80</f>
        <v>45395.647233127056</v>
      </c>
    </row>
    <row r="19" spans="2:31" ht="12" customHeight="1" outlineLevel="1" x14ac:dyDescent="0.2">
      <c r="B19" s="972"/>
      <c r="C19" s="106" t="s">
        <v>10</v>
      </c>
      <c r="D19" s="110">
        <f>D15</f>
        <v>8.6833707566813717E-2</v>
      </c>
      <c r="E19" s="110"/>
      <c r="F19" s="110"/>
      <c r="G19" s="110"/>
      <c r="H19" s="110"/>
      <c r="I19" s="110"/>
      <c r="J19" s="110"/>
      <c r="K19" s="108">
        <f>K$18*$D19</f>
        <v>0</v>
      </c>
      <c r="L19" s="108">
        <f t="shared" ref="L19:AE21" si="11">L$18*$D19</f>
        <v>0</v>
      </c>
      <c r="M19" s="108">
        <f t="shared" si="11"/>
        <v>0</v>
      </c>
      <c r="N19" s="108">
        <f t="shared" si="11"/>
        <v>0</v>
      </c>
      <c r="O19" s="108">
        <f t="shared" si="11"/>
        <v>2802.6447454264794</v>
      </c>
      <c r="P19" s="108">
        <f t="shared" si="11"/>
        <v>2802.6447454264794</v>
      </c>
      <c r="Q19" s="108">
        <f t="shared" si="11"/>
        <v>2867.1055745712883</v>
      </c>
      <c r="R19" s="108">
        <f t="shared" si="11"/>
        <v>2933.049002786428</v>
      </c>
      <c r="S19" s="108">
        <f t="shared" si="11"/>
        <v>3000.5091298505154</v>
      </c>
      <c r="T19" s="108">
        <f t="shared" si="11"/>
        <v>3069.5208398370773</v>
      </c>
      <c r="U19" s="108">
        <f t="shared" si="11"/>
        <v>3140.1198191533299</v>
      </c>
      <c r="V19" s="108">
        <f t="shared" si="11"/>
        <v>3212.3425749938565</v>
      </c>
      <c r="W19" s="108">
        <f t="shared" si="11"/>
        <v>3286.2264542187145</v>
      </c>
      <c r="X19" s="108">
        <f t="shared" si="11"/>
        <v>3361.8096626657443</v>
      </c>
      <c r="Y19" s="108">
        <f t="shared" si="11"/>
        <v>3439.1312849070564</v>
      </c>
      <c r="Z19" s="108">
        <f t="shared" si="11"/>
        <v>3518.2313044599186</v>
      </c>
      <c r="AA19" s="108">
        <f t="shared" si="11"/>
        <v>3599.1506244624966</v>
      </c>
      <c r="AB19" s="108">
        <f t="shared" si="11"/>
        <v>3681.9310888251339</v>
      </c>
      <c r="AC19" s="108">
        <f t="shared" si="11"/>
        <v>3766.6155038681118</v>
      </c>
      <c r="AD19" s="108">
        <f t="shared" si="11"/>
        <v>3853.2476604570784</v>
      </c>
      <c r="AE19" s="143">
        <f t="shared" si="11"/>
        <v>3941.872356647591</v>
      </c>
    </row>
    <row r="20" spans="2:31" ht="13.15" customHeight="1" outlineLevel="1" x14ac:dyDescent="0.2">
      <c r="B20" s="972"/>
      <c r="C20" s="106" t="s">
        <v>44</v>
      </c>
      <c r="D20" s="110">
        <f t="shared" ref="D20:D21" si="12">D16</f>
        <v>0.35355744123295491</v>
      </c>
      <c r="E20" s="110"/>
      <c r="F20" s="110"/>
      <c r="G20" s="110"/>
      <c r="H20" s="110"/>
      <c r="I20" s="110"/>
      <c r="J20" s="110"/>
      <c r="K20" s="108">
        <f t="shared" ref="K20:Z21" si="13">K$18*$D20</f>
        <v>0</v>
      </c>
      <c r="L20" s="108">
        <f t="shared" si="13"/>
        <v>0</v>
      </c>
      <c r="M20" s="108">
        <f t="shared" si="13"/>
        <v>0</v>
      </c>
      <c r="N20" s="108">
        <f t="shared" si="13"/>
        <v>0</v>
      </c>
      <c r="O20" s="108">
        <f t="shared" si="13"/>
        <v>11411.419973234853</v>
      </c>
      <c r="P20" s="108">
        <f t="shared" si="13"/>
        <v>11411.419973234853</v>
      </c>
      <c r="Q20" s="108">
        <f t="shared" si="13"/>
        <v>11673.882632619254</v>
      </c>
      <c r="R20" s="108">
        <f t="shared" si="13"/>
        <v>11942.381933169496</v>
      </c>
      <c r="S20" s="108">
        <f t="shared" si="13"/>
        <v>12217.056717632393</v>
      </c>
      <c r="T20" s="108">
        <f t="shared" si="13"/>
        <v>12498.049022137937</v>
      </c>
      <c r="U20" s="108">
        <f t="shared" si="13"/>
        <v>12785.504149647109</v>
      </c>
      <c r="V20" s="108">
        <f t="shared" si="13"/>
        <v>13079.570745088993</v>
      </c>
      <c r="W20" s="108">
        <f t="shared" si="13"/>
        <v>13380.400872226037</v>
      </c>
      <c r="X20" s="108">
        <f t="shared" si="13"/>
        <v>13688.150092287235</v>
      </c>
      <c r="Y20" s="108">
        <f t="shared" si="13"/>
        <v>14002.977544409841</v>
      </c>
      <c r="Z20" s="108">
        <f t="shared" si="13"/>
        <v>14325.046027931267</v>
      </c>
      <c r="AA20" s="108">
        <f t="shared" si="11"/>
        <v>14654.522086573685</v>
      </c>
      <c r="AB20" s="108">
        <f t="shared" si="11"/>
        <v>14991.576094564878</v>
      </c>
      <c r="AC20" s="108">
        <f t="shared" si="11"/>
        <v>15336.382344739872</v>
      </c>
      <c r="AD20" s="108">
        <f t="shared" si="11"/>
        <v>15689.119138668888</v>
      </c>
      <c r="AE20" s="143">
        <f t="shared" si="11"/>
        <v>16049.968878858272</v>
      </c>
    </row>
    <row r="21" spans="2:31" ht="13.15" customHeight="1" outlineLevel="1" x14ac:dyDescent="0.2">
      <c r="B21" s="972"/>
      <c r="C21" s="106" t="s">
        <v>45</v>
      </c>
      <c r="D21" s="110">
        <f t="shared" si="12"/>
        <v>0.55960885120023141</v>
      </c>
      <c r="E21" s="110"/>
      <c r="F21" s="110"/>
      <c r="G21" s="110"/>
      <c r="H21" s="110"/>
      <c r="I21" s="110"/>
      <c r="J21" s="110"/>
      <c r="K21" s="108">
        <f t="shared" si="13"/>
        <v>0</v>
      </c>
      <c r="L21" s="108">
        <f t="shared" si="11"/>
        <v>0</v>
      </c>
      <c r="M21" s="108">
        <f t="shared" si="11"/>
        <v>0</v>
      </c>
      <c r="N21" s="108">
        <f t="shared" si="11"/>
        <v>0</v>
      </c>
      <c r="O21" s="108">
        <f t="shared" si="11"/>
        <v>18061.935281338669</v>
      </c>
      <c r="P21" s="108">
        <f t="shared" si="11"/>
        <v>18061.935281338669</v>
      </c>
      <c r="Q21" s="108">
        <f t="shared" si="11"/>
        <v>18477.359792809457</v>
      </c>
      <c r="R21" s="108">
        <f t="shared" si="11"/>
        <v>18902.339068044075</v>
      </c>
      <c r="S21" s="108">
        <f t="shared" si="11"/>
        <v>19337.092866609088</v>
      </c>
      <c r="T21" s="108">
        <f t="shared" si="11"/>
        <v>19781.846002541093</v>
      </c>
      <c r="U21" s="108">
        <f t="shared" si="11"/>
        <v>20236.82846059954</v>
      </c>
      <c r="V21" s="108">
        <f t="shared" si="11"/>
        <v>20702.275515193327</v>
      </c>
      <c r="W21" s="108">
        <f t="shared" si="11"/>
        <v>21178.427852042769</v>
      </c>
      <c r="X21" s="108">
        <f t="shared" si="11"/>
        <v>21665.53169263975</v>
      </c>
      <c r="Y21" s="108">
        <f t="shared" si="11"/>
        <v>22163.838921570466</v>
      </c>
      <c r="Z21" s="108">
        <f t="shared" si="11"/>
        <v>22673.607216766584</v>
      </c>
      <c r="AA21" s="108">
        <f t="shared" si="11"/>
        <v>23195.100182752216</v>
      </c>
      <c r="AB21" s="108">
        <f t="shared" si="11"/>
        <v>23728.587486955515</v>
      </c>
      <c r="AC21" s="108">
        <f t="shared" si="11"/>
        <v>24274.344999155492</v>
      </c>
      <c r="AD21" s="108">
        <f t="shared" si="11"/>
        <v>24832.654934136066</v>
      </c>
      <c r="AE21" s="143">
        <f t="shared" si="11"/>
        <v>25403.805997621195</v>
      </c>
    </row>
    <row r="22" spans="2:31" s="111" customFormat="1" x14ac:dyDescent="0.2">
      <c r="B22" s="972"/>
      <c r="C22" s="117" t="s">
        <v>236</v>
      </c>
      <c r="K22" s="118">
        <f>SUM(K14,K18)</f>
        <v>0</v>
      </c>
      <c r="L22" s="118">
        <f t="shared" ref="L22:AE22" si="14">SUM(L14,L18)</f>
        <v>0</v>
      </c>
      <c r="M22" s="118">
        <f t="shared" si="14"/>
        <v>0</v>
      </c>
      <c r="N22" s="118">
        <f t="shared" si="14"/>
        <v>0</v>
      </c>
      <c r="O22" s="118">
        <f t="shared" si="14"/>
        <v>32276</v>
      </c>
      <c r="P22" s="118">
        <f t="shared" si="14"/>
        <v>34609.744289208</v>
      </c>
      <c r="Q22" s="118">
        <f t="shared" si="14"/>
        <v>37107.766739167739</v>
      </c>
      <c r="R22" s="118">
        <f t="shared" si="14"/>
        <v>38339.755003065991</v>
      </c>
      <c r="S22" s="118">
        <f t="shared" si="14"/>
        <v>39221.569368136508</v>
      </c>
      <c r="T22" s="118">
        <f t="shared" si="14"/>
        <v>40123.665463603647</v>
      </c>
      <c r="U22" s="118">
        <f t="shared" si="14"/>
        <v>41046.509769266529</v>
      </c>
      <c r="V22" s="118">
        <f t="shared" si="14"/>
        <v>41990.579493959653</v>
      </c>
      <c r="W22" s="118">
        <f t="shared" si="14"/>
        <v>42956.36282232072</v>
      </c>
      <c r="X22" s="118">
        <f>SUM(X14,X18)</f>
        <v>43944.359167234092</v>
      </c>
      <c r="Y22" s="118">
        <f t="shared" si="14"/>
        <v>44955.079428080469</v>
      </c>
      <c r="Z22" s="118">
        <f t="shared" si="14"/>
        <v>45989.046254926325</v>
      </c>
      <c r="AA22" s="118">
        <f t="shared" si="14"/>
        <v>47046.794318789624</v>
      </c>
      <c r="AB22" s="118">
        <f t="shared" si="14"/>
        <v>48128.87058812179</v>
      </c>
      <c r="AC22" s="118">
        <f t="shared" si="14"/>
        <v>49235.834611648585</v>
      </c>
      <c r="AD22" s="118">
        <f t="shared" si="14"/>
        <v>50368.258807716498</v>
      </c>
      <c r="AE22" s="118">
        <f t="shared" si="14"/>
        <v>51526.728760293976</v>
      </c>
    </row>
    <row r="23" spans="2:31" x14ac:dyDescent="0.2">
      <c r="B23" s="972" t="s">
        <v>36</v>
      </c>
      <c r="C23" s="107" t="s">
        <v>233</v>
      </c>
      <c r="K23" s="108">
        <f>SUM(Morogoro!D80:D81)</f>
        <v>0</v>
      </c>
      <c r="L23" s="108">
        <f>SUM(Morogoro!E80:E81)</f>
        <v>0</v>
      </c>
      <c r="M23" s="108">
        <f>SUM(Morogoro!F80:F81)</f>
        <v>0</v>
      </c>
      <c r="N23" s="108">
        <f>SUM(Morogoro!G80:G81)</f>
        <v>0</v>
      </c>
      <c r="O23" s="108">
        <f>SUM(Morogoro!H80:H81)</f>
        <v>0</v>
      </c>
      <c r="P23" s="108">
        <f>SUM(Morogoro!I80:I81)</f>
        <v>1973.5532666519989</v>
      </c>
      <c r="Q23" s="108">
        <f>SUM(Morogoro!J80:J81)</f>
        <v>2963.9864924693061</v>
      </c>
      <c r="R23" s="108">
        <f>SUM(Morogoro!K80:K81)</f>
        <v>3242.3271937961104</v>
      </c>
      <c r="S23" s="108">
        <f>SUM(Morogoro!L80:L81)</f>
        <v>3316.9007192534182</v>
      </c>
      <c r="T23" s="108">
        <f>SUM(Morogoro!M80:M81)</f>
        <v>3393.189435796246</v>
      </c>
      <c r="U23" s="108">
        <f>SUM(Morogoro!N80:N81)</f>
        <v>3471.2327928195637</v>
      </c>
      <c r="V23" s="108">
        <f>SUM(Morogoro!O80:O81)</f>
        <v>3551.071147054412</v>
      </c>
      <c r="W23" s="108">
        <f>SUM(Morogoro!P80:P81)</f>
        <v>3632.745783436666</v>
      </c>
      <c r="X23" s="108">
        <f>SUM(Morogoro!Q80:Q81)</f>
        <v>3716.2989364557079</v>
      </c>
      <c r="Y23" s="108">
        <f>SUM(Morogoro!R80:R81)</f>
        <v>3801.7738119941873</v>
      </c>
      <c r="Z23" s="108">
        <f>SUM(Morogoro!S80:S81)</f>
        <v>3889.2146096700508</v>
      </c>
      <c r="AA23" s="108">
        <f>SUM(Morogoro!T80:T81)</f>
        <v>3978.6665456924661</v>
      </c>
      <c r="AB23" s="108">
        <f>SUM(Morogoro!U80:U81)</f>
        <v>4070.1758762433906</v>
      </c>
      <c r="AC23" s="108">
        <f>SUM(Morogoro!V80:V81)</f>
        <v>4163.7899213969913</v>
      </c>
      <c r="AD23" s="108">
        <f>SUM(Morogoro!W80:W81)</f>
        <v>4259.5570895891187</v>
      </c>
      <c r="AE23" s="143">
        <f>SUM(Morogoro!X80:X81)</f>
        <v>4357.526902649669</v>
      </c>
    </row>
    <row r="24" spans="2:31" outlineLevel="1" x14ac:dyDescent="0.2">
      <c r="B24" s="972"/>
      <c r="C24" s="106" t="s">
        <v>10</v>
      </c>
      <c r="D24" s="109">
        <f>Morogoro!D69/Morogoro!F70</f>
        <v>0.12734978825041307</v>
      </c>
      <c r="E24" s="109"/>
      <c r="F24" s="109"/>
      <c r="G24" s="109"/>
      <c r="H24" s="109"/>
      <c r="I24" s="109"/>
      <c r="J24" s="109"/>
      <c r="K24" s="108">
        <f>$D24*K$23</f>
        <v>0</v>
      </c>
      <c r="L24" s="108">
        <f t="shared" ref="L24:AE26" si="15">$D24*L$23</f>
        <v>0</v>
      </c>
      <c r="M24" s="108">
        <f t="shared" si="15"/>
        <v>0</v>
      </c>
      <c r="N24" s="108">
        <f t="shared" si="15"/>
        <v>0</v>
      </c>
      <c r="O24" s="108">
        <f t="shared" si="15"/>
        <v>0</v>
      </c>
      <c r="P24" s="108">
        <f t="shared" si="15"/>
        <v>251.33159060904308</v>
      </c>
      <c r="Q24" s="108">
        <f t="shared" si="15"/>
        <v>377.46305219305066</v>
      </c>
      <c r="R24" s="108">
        <f t="shared" si="15"/>
        <v>412.90968156849067</v>
      </c>
      <c r="S24" s="108">
        <f t="shared" si="15"/>
        <v>422.40660424456564</v>
      </c>
      <c r="T24" s="108">
        <f t="shared" si="15"/>
        <v>432.12195614219053</v>
      </c>
      <c r="U24" s="108">
        <f t="shared" si="15"/>
        <v>442.06076113346143</v>
      </c>
      <c r="V24" s="108">
        <f t="shared" si="15"/>
        <v>452.22815863953082</v>
      </c>
      <c r="W24" s="108">
        <f t="shared" si="15"/>
        <v>462.62940628824038</v>
      </c>
      <c r="X24" s="108">
        <f t="shared" si="15"/>
        <v>473.26988263286972</v>
      </c>
      <c r="Y24" s="108">
        <f t="shared" si="15"/>
        <v>484.15508993342547</v>
      </c>
      <c r="Z24" s="108">
        <f t="shared" si="15"/>
        <v>495.29065700189386</v>
      </c>
      <c r="AA24" s="108">
        <f t="shared" si="15"/>
        <v>506.68234211293799</v>
      </c>
      <c r="AB24" s="108">
        <f t="shared" si="15"/>
        <v>518.33603598153525</v>
      </c>
      <c r="AC24" s="108">
        <f t="shared" si="15"/>
        <v>530.25776480911088</v>
      </c>
      <c r="AD24" s="108">
        <f t="shared" si="15"/>
        <v>542.45369339972001</v>
      </c>
      <c r="AE24" s="143">
        <f t="shared" si="15"/>
        <v>554.93012834791364</v>
      </c>
    </row>
    <row r="25" spans="2:31" outlineLevel="1" x14ac:dyDescent="0.2">
      <c r="B25" s="972"/>
      <c r="C25" s="106" t="s">
        <v>44</v>
      </c>
      <c r="D25" s="109">
        <f>Morogoro!E69/Morogoro!F70</f>
        <v>0.3565794071011566</v>
      </c>
      <c r="E25" s="109"/>
      <c r="F25" s="109"/>
      <c r="G25" s="109"/>
      <c r="H25" s="109"/>
      <c r="I25" s="109"/>
      <c r="J25" s="109"/>
      <c r="K25" s="108">
        <f t="shared" ref="K25:Z26" si="16">$D25*K$23</f>
        <v>0</v>
      </c>
      <c r="L25" s="108">
        <f t="shared" si="16"/>
        <v>0</v>
      </c>
      <c r="M25" s="108">
        <f t="shared" si="16"/>
        <v>0</v>
      </c>
      <c r="N25" s="108">
        <f t="shared" si="16"/>
        <v>0</v>
      </c>
      <c r="O25" s="108">
        <f t="shared" si="16"/>
        <v>0</v>
      </c>
      <c r="P25" s="108">
        <f t="shared" si="16"/>
        <v>703.72845370532059</v>
      </c>
      <c r="Q25" s="108">
        <f t="shared" si="16"/>
        <v>1056.8965461405419</v>
      </c>
      <c r="R25" s="108">
        <f t="shared" si="16"/>
        <v>1156.1471083917738</v>
      </c>
      <c r="S25" s="108">
        <f t="shared" si="16"/>
        <v>1182.7384918847838</v>
      </c>
      <c r="T25" s="108">
        <f t="shared" si="16"/>
        <v>1209.9414771981335</v>
      </c>
      <c r="U25" s="108">
        <f t="shared" si="16"/>
        <v>1237.7701311736919</v>
      </c>
      <c r="V25" s="108">
        <f t="shared" si="16"/>
        <v>1266.2388441906862</v>
      </c>
      <c r="W25" s="108">
        <f t="shared" si="16"/>
        <v>1295.362337607073</v>
      </c>
      <c r="X25" s="108">
        <f t="shared" si="16"/>
        <v>1325.1556713720352</v>
      </c>
      <c r="Y25" s="108">
        <f t="shared" si="16"/>
        <v>1355.6342518135914</v>
      </c>
      <c r="Z25" s="108">
        <f t="shared" si="16"/>
        <v>1386.813839605303</v>
      </c>
      <c r="AA25" s="108">
        <f t="shared" si="15"/>
        <v>1418.7105579162264</v>
      </c>
      <c r="AB25" s="108">
        <f t="shared" si="15"/>
        <v>1451.3409007482987</v>
      </c>
      <c r="AC25" s="108">
        <f t="shared" si="15"/>
        <v>1484.7217414655106</v>
      </c>
      <c r="AD25" s="108">
        <f t="shared" si="15"/>
        <v>1518.870341519216</v>
      </c>
      <c r="AE25" s="143">
        <f t="shared" si="15"/>
        <v>1553.8043593741584</v>
      </c>
    </row>
    <row r="26" spans="2:31" outlineLevel="1" x14ac:dyDescent="0.2">
      <c r="B26" s="972"/>
      <c r="C26" s="106" t="s">
        <v>45</v>
      </c>
      <c r="D26" s="109">
        <f>Morogoro!F69/Morogoro!F70</f>
        <v>0.51607080464843036</v>
      </c>
      <c r="E26" s="109"/>
      <c r="F26" s="109"/>
      <c r="G26" s="109"/>
      <c r="H26" s="109"/>
      <c r="I26" s="109"/>
      <c r="J26" s="109"/>
      <c r="K26" s="108">
        <f t="shared" si="16"/>
        <v>0</v>
      </c>
      <c r="L26" s="108">
        <f t="shared" si="15"/>
        <v>0</v>
      </c>
      <c r="M26" s="108">
        <f t="shared" si="15"/>
        <v>0</v>
      </c>
      <c r="N26" s="108">
        <f t="shared" si="15"/>
        <v>0</v>
      </c>
      <c r="O26" s="108">
        <f t="shared" si="15"/>
        <v>0</v>
      </c>
      <c r="P26" s="108">
        <f t="shared" si="15"/>
        <v>1018.4932223376353</v>
      </c>
      <c r="Q26" s="108">
        <f t="shared" si="15"/>
        <v>1529.6268941357137</v>
      </c>
      <c r="R26" s="108">
        <f t="shared" si="15"/>
        <v>1673.2704038358459</v>
      </c>
      <c r="S26" s="108">
        <f t="shared" si="15"/>
        <v>1711.755623124069</v>
      </c>
      <c r="T26" s="108">
        <f t="shared" si="15"/>
        <v>1751.1260024559222</v>
      </c>
      <c r="U26" s="108">
        <f t="shared" si="15"/>
        <v>1791.4019005124103</v>
      </c>
      <c r="V26" s="108">
        <f t="shared" si="15"/>
        <v>1832.6041442241949</v>
      </c>
      <c r="W26" s="108">
        <f t="shared" si="15"/>
        <v>1874.7540395413528</v>
      </c>
      <c r="X26" s="108">
        <f t="shared" si="15"/>
        <v>1917.8733824508031</v>
      </c>
      <c r="Y26" s="108">
        <f t="shared" si="15"/>
        <v>1961.9844702471707</v>
      </c>
      <c r="Z26" s="108">
        <f t="shared" si="15"/>
        <v>2007.110113062854</v>
      </c>
      <c r="AA26" s="108">
        <f t="shared" si="15"/>
        <v>2053.273645663302</v>
      </c>
      <c r="AB26" s="108">
        <f t="shared" si="15"/>
        <v>2100.4989395135567</v>
      </c>
      <c r="AC26" s="108">
        <f t="shared" si="15"/>
        <v>2148.8104151223697</v>
      </c>
      <c r="AD26" s="108">
        <f t="shared" si="15"/>
        <v>2198.2330546701828</v>
      </c>
      <c r="AE26" s="143">
        <f t="shared" si="15"/>
        <v>2248.7924149275973</v>
      </c>
    </row>
    <row r="27" spans="2:31" x14ac:dyDescent="0.2">
      <c r="B27" s="972"/>
      <c r="C27" s="107" t="s">
        <v>234</v>
      </c>
      <c r="K27" s="108">
        <f>Morogoro!D112-Morogoro!D81</f>
        <v>0</v>
      </c>
      <c r="L27" s="108">
        <f>Morogoro!E112-Morogoro!E81</f>
        <v>0</v>
      </c>
      <c r="M27" s="108">
        <f>Morogoro!F112-Morogoro!F81</f>
        <v>0</v>
      </c>
      <c r="N27" s="108">
        <f>Morogoro!G112-Morogoro!G81</f>
        <v>0</v>
      </c>
      <c r="O27" s="108">
        <f>Morogoro!H112-Morogoro!H81</f>
        <v>47388</v>
      </c>
      <c r="P27" s="108">
        <f>Morogoro!I112-Morogoro!I81</f>
        <v>47388</v>
      </c>
      <c r="Q27" s="108">
        <f>Morogoro!J112-Morogoro!J81</f>
        <v>48477.923999999999</v>
      </c>
      <c r="R27" s="108">
        <f>Morogoro!K112-Morogoro!K81</f>
        <v>49592.916251999995</v>
      </c>
      <c r="S27" s="108">
        <f>Morogoro!L112-Morogoro!L81</f>
        <v>50733.553325795991</v>
      </c>
      <c r="T27" s="108">
        <f>Morogoro!M112-Morogoro!M81</f>
        <v>51900.425052289291</v>
      </c>
      <c r="U27" s="108">
        <f>Morogoro!N112-Morogoro!N81</f>
        <v>53094.134828491937</v>
      </c>
      <c r="V27" s="108">
        <f>Morogoro!O112-Morogoro!O81</f>
        <v>54315.299929547247</v>
      </c>
      <c r="W27" s="108">
        <f>Morogoro!P112-Morogoro!P81</f>
        <v>55564.551827926829</v>
      </c>
      <c r="X27" s="108">
        <f>Morogoro!Q112-Morogoro!Q81</f>
        <v>56842.536519969144</v>
      </c>
      <c r="Y27" s="108">
        <f>Morogoro!R112-Morogoro!R81</f>
        <v>58149.914859928431</v>
      </c>
      <c r="Z27" s="108">
        <f>Morogoro!S112-Morogoro!S81</f>
        <v>59487.36290170678</v>
      </c>
      <c r="AA27" s="108">
        <f>Morogoro!T112-Morogoro!T81</f>
        <v>60855.572248446028</v>
      </c>
      <c r="AB27" s="108">
        <f>Morogoro!U112-Morogoro!U81</f>
        <v>62255.250410160283</v>
      </c>
      <c r="AC27" s="108">
        <f>Morogoro!V112-Morogoro!V81</f>
        <v>63687.121169593964</v>
      </c>
      <c r="AD27" s="108">
        <f>Morogoro!W112-Morogoro!W81</f>
        <v>65151.924956494622</v>
      </c>
      <c r="AE27" s="108">
        <f>Morogoro!X112-Morogoro!X81</f>
        <v>66650.419230493993</v>
      </c>
    </row>
    <row r="28" spans="2:31" outlineLevel="1" x14ac:dyDescent="0.2">
      <c r="B28" s="972"/>
      <c r="C28" s="106" t="s">
        <v>10</v>
      </c>
      <c r="D28" s="110">
        <f>D24</f>
        <v>0.12734978825041307</v>
      </c>
      <c r="E28" s="110"/>
      <c r="F28" s="110"/>
      <c r="G28" s="110"/>
      <c r="H28" s="110"/>
      <c r="I28" s="110"/>
      <c r="J28" s="110"/>
      <c r="K28" s="108">
        <f>$D28*K$27</f>
        <v>0</v>
      </c>
      <c r="L28" s="108">
        <f t="shared" ref="L28:AE30" si="17">$D28*L$27</f>
        <v>0</v>
      </c>
      <c r="M28" s="108">
        <f t="shared" si="17"/>
        <v>0</v>
      </c>
      <c r="N28" s="108">
        <f t="shared" si="17"/>
        <v>0</v>
      </c>
      <c r="O28" s="108">
        <f t="shared" si="17"/>
        <v>6034.8517656105741</v>
      </c>
      <c r="P28" s="108">
        <f t="shared" si="17"/>
        <v>6034.8517656105741</v>
      </c>
      <c r="Q28" s="108">
        <f t="shared" si="17"/>
        <v>6173.6533562196173</v>
      </c>
      <c r="R28" s="108">
        <f t="shared" si="17"/>
        <v>6315.6473834126682</v>
      </c>
      <c r="S28" s="108">
        <f t="shared" si="17"/>
        <v>6460.9072732311588</v>
      </c>
      <c r="T28" s="108">
        <f t="shared" si="17"/>
        <v>6609.5081405154751</v>
      </c>
      <c r="U28" s="108">
        <f t="shared" si="17"/>
        <v>6761.5268277473297</v>
      </c>
      <c r="V28" s="108">
        <f t="shared" si="17"/>
        <v>6917.0419447855184</v>
      </c>
      <c r="W28" s="108">
        <f t="shared" si="17"/>
        <v>7076.1339095155845</v>
      </c>
      <c r="X28" s="108">
        <f t="shared" si="17"/>
        <v>7238.8849894344421</v>
      </c>
      <c r="Y28" s="108">
        <f t="shared" si="17"/>
        <v>7405.379344191434</v>
      </c>
      <c r="Z28" s="108">
        <f t="shared" si="17"/>
        <v>7575.7030691078362</v>
      </c>
      <c r="AA28" s="108">
        <f t="shared" si="17"/>
        <v>7749.9442396973154</v>
      </c>
      <c r="AB28" s="108">
        <f t="shared" si="17"/>
        <v>7928.1929572103536</v>
      </c>
      <c r="AC28" s="108">
        <f t="shared" si="17"/>
        <v>8110.5413952261906</v>
      </c>
      <c r="AD28" s="108">
        <f t="shared" si="17"/>
        <v>8297.0838473163931</v>
      </c>
      <c r="AE28" s="143">
        <f t="shared" si="17"/>
        <v>8487.9167758046697</v>
      </c>
    </row>
    <row r="29" spans="2:31" outlineLevel="1" x14ac:dyDescent="0.2">
      <c r="B29" s="972"/>
      <c r="C29" s="106" t="s">
        <v>44</v>
      </c>
      <c r="D29" s="110">
        <f t="shared" ref="D29:D30" si="18">D25</f>
        <v>0.3565794071011566</v>
      </c>
      <c r="E29" s="110"/>
      <c r="F29" s="110"/>
      <c r="G29" s="110"/>
      <c r="H29" s="110"/>
      <c r="I29" s="110"/>
      <c r="J29" s="110"/>
      <c r="K29" s="108">
        <f t="shared" ref="K29:Z30" si="19">$D29*K$27</f>
        <v>0</v>
      </c>
      <c r="L29" s="108">
        <f t="shared" si="19"/>
        <v>0</v>
      </c>
      <c r="M29" s="108">
        <f t="shared" si="19"/>
        <v>0</v>
      </c>
      <c r="N29" s="108">
        <f t="shared" si="19"/>
        <v>0</v>
      </c>
      <c r="O29" s="108">
        <f t="shared" si="19"/>
        <v>16897.584943709608</v>
      </c>
      <c r="P29" s="108">
        <f t="shared" si="19"/>
        <v>16897.584943709608</v>
      </c>
      <c r="Q29" s="108">
        <f t="shared" si="19"/>
        <v>17286.229397414929</v>
      </c>
      <c r="R29" s="108">
        <f t="shared" si="19"/>
        <v>17683.812673555472</v>
      </c>
      <c r="S29" s="108">
        <f t="shared" si="19"/>
        <v>18090.540365047247</v>
      </c>
      <c r="T29" s="108">
        <f t="shared" si="19"/>
        <v>18506.62279344333</v>
      </c>
      <c r="U29" s="108">
        <f t="shared" si="19"/>
        <v>18932.275117692523</v>
      </c>
      <c r="V29" s="108">
        <f t="shared" si="19"/>
        <v>19367.717445399448</v>
      </c>
      <c r="W29" s="257">
        <f>$D29*W$27</f>
        <v>19813.174946643634</v>
      </c>
      <c r="X29" s="108">
        <f t="shared" si="19"/>
        <v>20268.877970416437</v>
      </c>
      <c r="Y29" s="108">
        <f t="shared" si="19"/>
        <v>20735.062163736016</v>
      </c>
      <c r="Z29" s="108">
        <f t="shared" si="19"/>
        <v>21211.968593501941</v>
      </c>
      <c r="AA29" s="108">
        <f t="shared" si="17"/>
        <v>21699.843871152483</v>
      </c>
      <c r="AB29" s="108">
        <f t="shared" si="17"/>
        <v>22198.940280188988</v>
      </c>
      <c r="AC29" s="108">
        <f t="shared" si="17"/>
        <v>22709.515906633336</v>
      </c>
      <c r="AD29" s="108">
        <f t="shared" si="17"/>
        <v>23231.834772485901</v>
      </c>
      <c r="AE29" s="143">
        <f t="shared" si="17"/>
        <v>23766.166972253075</v>
      </c>
    </row>
    <row r="30" spans="2:31" outlineLevel="1" x14ac:dyDescent="0.2">
      <c r="B30" s="972"/>
      <c r="C30" s="106" t="s">
        <v>45</v>
      </c>
      <c r="D30" s="110">
        <f t="shared" si="18"/>
        <v>0.51607080464843036</v>
      </c>
      <c r="E30" s="110"/>
      <c r="F30" s="110"/>
      <c r="G30" s="110"/>
      <c r="H30" s="110"/>
      <c r="I30" s="110"/>
      <c r="J30" s="110"/>
      <c r="K30" s="108">
        <f>$D30*K$27</f>
        <v>0</v>
      </c>
      <c r="L30" s="108">
        <f t="shared" si="19"/>
        <v>0</v>
      </c>
      <c r="M30" s="108">
        <f t="shared" si="19"/>
        <v>0</v>
      </c>
      <c r="N30" s="108">
        <f t="shared" si="19"/>
        <v>0</v>
      </c>
      <c r="O30" s="108">
        <f t="shared" si="19"/>
        <v>24455.563290679816</v>
      </c>
      <c r="P30" s="108">
        <f t="shared" si="19"/>
        <v>24455.563290679816</v>
      </c>
      <c r="Q30" s="108">
        <f t="shared" si="19"/>
        <v>25018.041246365454</v>
      </c>
      <c r="R30" s="108">
        <f t="shared" si="19"/>
        <v>25593.456195031857</v>
      </c>
      <c r="S30" s="108">
        <f t="shared" si="19"/>
        <v>26182.105687517585</v>
      </c>
      <c r="T30" s="108">
        <f t="shared" si="19"/>
        <v>26784.294118330487</v>
      </c>
      <c r="U30" s="108">
        <f t="shared" si="19"/>
        <v>27400.332883052084</v>
      </c>
      <c r="V30" s="108">
        <f t="shared" si="19"/>
        <v>28030.540539362282</v>
      </c>
      <c r="W30" s="108">
        <f t="shared" si="19"/>
        <v>28675.24297176761</v>
      </c>
      <c r="X30" s="108">
        <f t="shared" si="19"/>
        <v>29334.773560118265</v>
      </c>
      <c r="Y30" s="108">
        <f t="shared" si="19"/>
        <v>30009.473352000983</v>
      </c>
      <c r="Z30" s="108">
        <f t="shared" si="19"/>
        <v>30699.691239097003</v>
      </c>
      <c r="AA30" s="108">
        <f t="shared" si="17"/>
        <v>31405.784137596231</v>
      </c>
      <c r="AB30" s="108">
        <f t="shared" si="17"/>
        <v>32128.11717276094</v>
      </c>
      <c r="AC30" s="108">
        <f t="shared" si="17"/>
        <v>32867.06386773444</v>
      </c>
      <c r="AD30" s="108">
        <f t="shared" si="17"/>
        <v>33623.006336692328</v>
      </c>
      <c r="AE30" s="143">
        <f t="shared" si="17"/>
        <v>34396.335482436254</v>
      </c>
    </row>
    <row r="31" spans="2:31" s="111" customFormat="1" x14ac:dyDescent="0.2">
      <c r="B31" s="972"/>
      <c r="C31" s="117" t="s">
        <v>236</v>
      </c>
      <c r="K31" s="118">
        <f>Morogoro!D112</f>
        <v>0</v>
      </c>
      <c r="L31" s="118">
        <f>Morogoro!E112</f>
        <v>0</v>
      </c>
      <c r="M31" s="118">
        <f>Morogoro!F112</f>
        <v>0</v>
      </c>
      <c r="N31" s="118">
        <f>Morogoro!G112</f>
        <v>0</v>
      </c>
      <c r="O31" s="118">
        <f>Morogoro!H112</f>
        <v>47388</v>
      </c>
      <c r="P31" s="118">
        <f>Morogoro!I112</f>
        <v>48477.923999999999</v>
      </c>
      <c r="Q31" s="118">
        <f>Morogoro!J112</f>
        <v>49592.916251999995</v>
      </c>
      <c r="R31" s="118">
        <f>Morogoro!K112</f>
        <v>50733.553325795991</v>
      </c>
      <c r="S31" s="118">
        <f>Morogoro!L112</f>
        <v>51900.425052289291</v>
      </c>
      <c r="T31" s="118">
        <f>Morogoro!M112</f>
        <v>53094.134828491937</v>
      </c>
      <c r="U31" s="118">
        <f>Morogoro!N112</f>
        <v>54315.299929547247</v>
      </c>
      <c r="V31" s="118">
        <f>Morogoro!O112</f>
        <v>55564.551827926829</v>
      </c>
      <c r="W31" s="118">
        <f>SUM(W23,W27)</f>
        <v>59197.297611363494</v>
      </c>
      <c r="X31" s="118">
        <f t="shared" ref="X31:AE31" si="20">SUM(X23,X27)</f>
        <v>60558.835456424851</v>
      </c>
      <c r="Y31" s="118">
        <f t="shared" si="20"/>
        <v>61951.688671922617</v>
      </c>
      <c r="Z31" s="118">
        <f t="shared" si="20"/>
        <v>63376.577511376832</v>
      </c>
      <c r="AA31" s="118">
        <f t="shared" si="20"/>
        <v>64834.238794138495</v>
      </c>
      <c r="AB31" s="118">
        <f t="shared" si="20"/>
        <v>66325.426286403672</v>
      </c>
      <c r="AC31" s="118">
        <f t="shared" si="20"/>
        <v>67850.91109099095</v>
      </c>
      <c r="AD31" s="118">
        <f>SUM(AD23,AD27)</f>
        <v>69411.482046083736</v>
      </c>
      <c r="AE31" s="118">
        <f t="shared" si="20"/>
        <v>71007.946133143661</v>
      </c>
    </row>
    <row r="32" spans="2:31" x14ac:dyDescent="0.2">
      <c r="B32" s="972" t="s">
        <v>37</v>
      </c>
      <c r="C32" s="107" t="s">
        <v>233</v>
      </c>
      <c r="K32" s="108">
        <f>SUM(Iringa!D80:D81)</f>
        <v>0</v>
      </c>
      <c r="L32" s="108">
        <f>SUM(Iringa!E80:E81)</f>
        <v>0</v>
      </c>
      <c r="M32" s="108">
        <f>SUM(Iringa!F80:F81)</f>
        <v>0</v>
      </c>
      <c r="N32" s="108">
        <f>SUM(Iringa!G80:G81)</f>
        <v>0</v>
      </c>
      <c r="O32" s="108">
        <f>SUM(Iringa!H80:H81)</f>
        <v>0</v>
      </c>
      <c r="P32" s="108">
        <f>SUM(Iringa!I80:I81)</f>
        <v>1435.1051529319984</v>
      </c>
      <c r="Q32" s="108">
        <f>SUM(Iringa!J80:J81)</f>
        <v>1947.1407155102052</v>
      </c>
      <c r="R32" s="108">
        <f>SUM(Iringa!K80:K81)</f>
        <v>2098.4566457439364</v>
      </c>
      <c r="S32" s="108">
        <f>SUM(Iringa!L80:L81)</f>
        <v>2146.7211485960452</v>
      </c>
      <c r="T32" s="108">
        <f>SUM(Iringa!M80:M81)</f>
        <v>2196.095735013756</v>
      </c>
      <c r="U32" s="108">
        <f>SUM(Iringa!N80:N81)</f>
        <v>2246.6059369190707</v>
      </c>
      <c r="V32" s="108">
        <f>SUM(Iringa!O80:O81)</f>
        <v>2298.2778734682088</v>
      </c>
      <c r="W32" s="108">
        <f>SUM(Iringa!P80:P81)</f>
        <v>2351.138264557977</v>
      </c>
      <c r="X32" s="108">
        <f>SUM(Iringa!Q80:Q81)</f>
        <v>2405.2144446428069</v>
      </c>
      <c r="Y32" s="108">
        <f>SUM(Iringa!R80:R81)</f>
        <v>2460.5343768695939</v>
      </c>
      <c r="Z32" s="108">
        <f>SUM(Iringa!S80:S81)</f>
        <v>2517.126667537595</v>
      </c>
      <c r="AA32" s="108">
        <f>SUM(Iringa!T80:T81)</f>
        <v>2575.0205808909559</v>
      </c>
      <c r="AB32" s="108">
        <f>SUM(Iringa!U80:U81)</f>
        <v>2634.2460542514536</v>
      </c>
      <c r="AC32" s="108">
        <f>SUM(Iringa!V80:V81)</f>
        <v>2694.8337134992316</v>
      </c>
      <c r="AD32" s="108">
        <f>SUM(Iringa!W80:W81)</f>
        <v>2756.8148889097147</v>
      </c>
      <c r="AE32" s="143">
        <f>SUM(Iringa!X80:X81)</f>
        <v>2820.2216313546382</v>
      </c>
    </row>
    <row r="33" spans="2:31" outlineLevel="1" x14ac:dyDescent="0.2">
      <c r="B33" s="972"/>
      <c r="C33" s="106" t="s">
        <v>10</v>
      </c>
      <c r="D33" s="110">
        <f>Iringa!D69/Iringa!F70</f>
        <v>0.15074375461087458</v>
      </c>
      <c r="E33" s="110"/>
      <c r="F33" s="110"/>
      <c r="G33" s="110"/>
      <c r="H33" s="110"/>
      <c r="I33" s="110"/>
      <c r="J33" s="110"/>
      <c r="K33" s="108">
        <f>$D33*K$32</f>
        <v>0</v>
      </c>
      <c r="L33" s="108">
        <f t="shared" ref="L33:AE35" si="21">$D33*L$32</f>
        <v>0</v>
      </c>
      <c r="M33" s="108">
        <f t="shared" si="21"/>
        <v>0</v>
      </c>
      <c r="N33" s="108">
        <f t="shared" si="21"/>
        <v>0</v>
      </c>
      <c r="O33" s="108">
        <f t="shared" si="21"/>
        <v>0</v>
      </c>
      <c r="P33" s="108">
        <f t="shared" si="21"/>
        <v>216.33313901438279</v>
      </c>
      <c r="Q33" s="108">
        <f t="shared" si="21"/>
        <v>293.51930221171312</v>
      </c>
      <c r="R33" s="108">
        <f t="shared" si="21"/>
        <v>316.32923366758291</v>
      </c>
      <c r="S33" s="108">
        <f t="shared" si="21"/>
        <v>323.60480604193708</v>
      </c>
      <c r="T33" s="108">
        <f t="shared" si="21"/>
        <v>331.04771658090186</v>
      </c>
      <c r="U33" s="108">
        <f t="shared" si="21"/>
        <v>338.66181406226235</v>
      </c>
      <c r="V33" s="108">
        <f t="shared" si="21"/>
        <v>346.45103578569433</v>
      </c>
      <c r="W33" s="108">
        <f t="shared" si="21"/>
        <v>354.41940960876519</v>
      </c>
      <c r="X33" s="108">
        <f t="shared" si="21"/>
        <v>362.57105602976628</v>
      </c>
      <c r="Y33" s="108">
        <f t="shared" si="21"/>
        <v>370.91019031845127</v>
      </c>
      <c r="Z33" s="108">
        <f t="shared" si="21"/>
        <v>379.44112469577573</v>
      </c>
      <c r="AA33" s="108">
        <f t="shared" si="21"/>
        <v>388.16827056377798</v>
      </c>
      <c r="AB33" s="108">
        <f t="shared" si="21"/>
        <v>397.09614078674576</v>
      </c>
      <c r="AC33" s="108">
        <f t="shared" si="21"/>
        <v>406.22935202484007</v>
      </c>
      <c r="AD33" s="108">
        <f t="shared" si="21"/>
        <v>415.57262712141147</v>
      </c>
      <c r="AE33" s="143">
        <f t="shared" si="21"/>
        <v>425.13079754520396</v>
      </c>
    </row>
    <row r="34" spans="2:31" outlineLevel="1" x14ac:dyDescent="0.2">
      <c r="B34" s="972"/>
      <c r="C34" s="106" t="s">
        <v>44</v>
      </c>
      <c r="D34" s="110">
        <f>Iringa!E69/Iringa!F70</f>
        <v>0.35173542742537406</v>
      </c>
      <c r="E34" s="110"/>
      <c r="F34" s="110"/>
      <c r="G34" s="110"/>
      <c r="H34" s="110"/>
      <c r="I34" s="110"/>
      <c r="J34" s="110"/>
      <c r="K34" s="108">
        <f t="shared" ref="K34:Z35" si="22">$D34*K$32</f>
        <v>0</v>
      </c>
      <c r="L34" s="108">
        <f t="shared" si="22"/>
        <v>0</v>
      </c>
      <c r="M34" s="108">
        <f t="shared" si="22"/>
        <v>0</v>
      </c>
      <c r="N34" s="108">
        <f t="shared" si="22"/>
        <v>0</v>
      </c>
      <c r="O34" s="108">
        <f t="shared" si="22"/>
        <v>0</v>
      </c>
      <c r="P34" s="108">
        <f t="shared" si="22"/>
        <v>504.77732436689325</v>
      </c>
      <c r="Q34" s="108">
        <f t="shared" si="22"/>
        <v>684.87837182733074</v>
      </c>
      <c r="R34" s="108">
        <f t="shared" si="22"/>
        <v>738.10154522436028</v>
      </c>
      <c r="S34" s="108">
        <f t="shared" si="22"/>
        <v>755.07788076451993</v>
      </c>
      <c r="T34" s="108">
        <f t="shared" si="22"/>
        <v>772.44467202210444</v>
      </c>
      <c r="U34" s="108">
        <f t="shared" si="22"/>
        <v>790.2108994786123</v>
      </c>
      <c r="V34" s="108">
        <f t="shared" si="22"/>
        <v>808.38575016662014</v>
      </c>
      <c r="W34" s="108">
        <f t="shared" si="22"/>
        <v>826.97862242045221</v>
      </c>
      <c r="X34" s="108">
        <f t="shared" si="22"/>
        <v>845.9991307361214</v>
      </c>
      <c r="Y34" s="108">
        <f t="shared" si="22"/>
        <v>865.45711074305302</v>
      </c>
      <c r="Z34" s="108">
        <f t="shared" si="22"/>
        <v>885.36262429014346</v>
      </c>
      <c r="AA34" s="108">
        <f t="shared" si="21"/>
        <v>905.72596464881542</v>
      </c>
      <c r="AB34" s="108">
        <f t="shared" si="21"/>
        <v>926.55766183574019</v>
      </c>
      <c r="AC34" s="108">
        <f t="shared" si="21"/>
        <v>947.86848805796023</v>
      </c>
      <c r="AD34" s="108">
        <f t="shared" si="21"/>
        <v>969.66946328329357</v>
      </c>
      <c r="AE34" s="143">
        <f t="shared" si="21"/>
        <v>991.97186093880941</v>
      </c>
    </row>
    <row r="35" spans="2:31" outlineLevel="1" x14ac:dyDescent="0.2">
      <c r="B35" s="972"/>
      <c r="C35" s="106" t="s">
        <v>45</v>
      </c>
      <c r="D35" s="110">
        <f>Iringa!F69/Iringa!F70</f>
        <v>0.49752081796375136</v>
      </c>
      <c r="E35" s="110"/>
      <c r="F35" s="110"/>
      <c r="G35" s="110"/>
      <c r="H35" s="110"/>
      <c r="I35" s="110"/>
      <c r="J35" s="110"/>
      <c r="K35" s="108">
        <f t="shared" si="22"/>
        <v>0</v>
      </c>
      <c r="L35" s="108">
        <f t="shared" si="21"/>
        <v>0</v>
      </c>
      <c r="M35" s="108">
        <f t="shared" si="21"/>
        <v>0</v>
      </c>
      <c r="N35" s="108">
        <f t="shared" si="21"/>
        <v>0</v>
      </c>
      <c r="O35" s="108">
        <f t="shared" si="21"/>
        <v>0</v>
      </c>
      <c r="P35" s="108">
        <f t="shared" si="21"/>
        <v>713.99468955072234</v>
      </c>
      <c r="Q35" s="108">
        <f t="shared" si="21"/>
        <v>968.7430414711614</v>
      </c>
      <c r="R35" s="108">
        <f t="shared" si="21"/>
        <v>1044.0258668519932</v>
      </c>
      <c r="S35" s="108">
        <f t="shared" si="21"/>
        <v>1068.0384617895882</v>
      </c>
      <c r="T35" s="108">
        <f t="shared" si="21"/>
        <v>1092.6033464107497</v>
      </c>
      <c r="U35" s="108">
        <f t="shared" si="21"/>
        <v>1117.733223378196</v>
      </c>
      <c r="V35" s="108">
        <f t="shared" si="21"/>
        <v>1143.4410875158942</v>
      </c>
      <c r="W35" s="108">
        <f t="shared" si="21"/>
        <v>1169.7402325287596</v>
      </c>
      <c r="X35" s="108">
        <f t="shared" si="21"/>
        <v>1196.6442578769193</v>
      </c>
      <c r="Y35" s="108">
        <f t="shared" si="21"/>
        <v>1224.1670758080895</v>
      </c>
      <c r="Z35" s="108">
        <f t="shared" si="21"/>
        <v>1252.3229185516759</v>
      </c>
      <c r="AA35" s="108">
        <f t="shared" si="21"/>
        <v>1281.1263456783627</v>
      </c>
      <c r="AB35" s="108">
        <f t="shared" si="21"/>
        <v>1310.5922516289677</v>
      </c>
      <c r="AC35" s="108">
        <f t="shared" si="21"/>
        <v>1340.7358734164313</v>
      </c>
      <c r="AD35" s="108">
        <f t="shared" si="21"/>
        <v>1371.5727985050096</v>
      </c>
      <c r="AE35" s="143">
        <f t="shared" si="21"/>
        <v>1403.1189728706249</v>
      </c>
    </row>
    <row r="36" spans="2:31" x14ac:dyDescent="0.2">
      <c r="B36" s="972"/>
      <c r="C36" s="107" t="s">
        <v>234</v>
      </c>
      <c r="K36" s="108">
        <f>Iringa!D112-Iringa!D81</f>
        <v>0</v>
      </c>
      <c r="L36" s="108">
        <f>Iringa!E112-Iringa!E81</f>
        <v>0</v>
      </c>
      <c r="M36" s="108">
        <f>Iringa!F112-Iringa!F81</f>
        <v>0</v>
      </c>
      <c r="N36" s="108">
        <f>Iringa!G112-Iringa!G81</f>
        <v>0</v>
      </c>
      <c r="O36" s="108">
        <f>Iringa!H112-Iringa!H81</f>
        <v>42922</v>
      </c>
      <c r="P36" s="108">
        <f>Iringa!I112-Iringa!I81</f>
        <v>42922</v>
      </c>
      <c r="Q36" s="108">
        <f>Iringa!J112-Iringa!J81</f>
        <v>43909.205999999998</v>
      </c>
      <c r="R36" s="108">
        <f>Iringa!K112-Iringa!K81</f>
        <v>44919.117737999994</v>
      </c>
      <c r="S36" s="108">
        <f>Iringa!L112-Iringa!L81</f>
        <v>45952.257445973992</v>
      </c>
      <c r="T36" s="108">
        <f>Iringa!M112-Iringa!M81</f>
        <v>47009.15936723139</v>
      </c>
      <c r="U36" s="108">
        <f>Iringa!N112-Iringa!N81</f>
        <v>48090.370032677711</v>
      </c>
      <c r="V36" s="108">
        <f>Iringa!O112-Iringa!O81</f>
        <v>49196.448543429295</v>
      </c>
      <c r="W36" s="108">
        <f>Iringa!P112-Iringa!P81</f>
        <v>50327.966859928165</v>
      </c>
      <c r="X36" s="108">
        <f>Iringa!Q112-Iringa!Q81</f>
        <v>51485.510097706509</v>
      </c>
      <c r="Y36" s="108">
        <f>Iringa!R112-Iringa!R81</f>
        <v>52669.676829953751</v>
      </c>
      <c r="Z36" s="108">
        <f>Iringa!S112-Iringa!S81</f>
        <v>53881.079397042682</v>
      </c>
      <c r="AA36" s="108">
        <f>Iringa!T112-Iringa!T81</f>
        <v>55120.344223174659</v>
      </c>
      <c r="AB36" s="108">
        <f>Iringa!U112-Iringa!U81</f>
        <v>56388.112140307669</v>
      </c>
      <c r="AC36" s="108">
        <f>Iringa!V112-Iringa!V81</f>
        <v>57685.038719534743</v>
      </c>
      <c r="AD36" s="108">
        <f>Iringa!W112-Iringa!W81</f>
        <v>59011.794610084035</v>
      </c>
      <c r="AE36" s="108">
        <f>Iringa!X112-Iringa!X81</f>
        <v>60369.065886115961</v>
      </c>
    </row>
    <row r="37" spans="2:31" outlineLevel="1" x14ac:dyDescent="0.2">
      <c r="B37" s="972"/>
      <c r="C37" s="106" t="s">
        <v>10</v>
      </c>
      <c r="D37" s="110">
        <f>D33</f>
        <v>0.15074375461087458</v>
      </c>
      <c r="E37" s="110"/>
      <c r="F37" s="110"/>
      <c r="G37" s="110"/>
      <c r="H37" s="110"/>
      <c r="I37" s="110"/>
      <c r="J37" s="110"/>
      <c r="K37" s="108">
        <f t="shared" ref="K37:AE37" si="23">$D33*K$36</f>
        <v>0</v>
      </c>
      <c r="L37" s="108">
        <f t="shared" si="23"/>
        <v>0</v>
      </c>
      <c r="M37" s="108">
        <f t="shared" si="23"/>
        <v>0</v>
      </c>
      <c r="N37" s="108">
        <f t="shared" si="23"/>
        <v>0</v>
      </c>
      <c r="O37" s="108">
        <f t="shared" si="23"/>
        <v>6470.2234354079592</v>
      </c>
      <c r="P37" s="108">
        <f t="shared" si="23"/>
        <v>6470.2234354079592</v>
      </c>
      <c r="Q37" s="108">
        <f t="shared" si="23"/>
        <v>6619.0385744223413</v>
      </c>
      <c r="R37" s="108">
        <f t="shared" si="23"/>
        <v>6771.2764616340546</v>
      </c>
      <c r="S37" s="108">
        <f t="shared" si="23"/>
        <v>6927.0158202516377</v>
      </c>
      <c r="T37" s="108">
        <f t="shared" si="23"/>
        <v>7086.3371841174248</v>
      </c>
      <c r="U37" s="108">
        <f t="shared" si="23"/>
        <v>7249.3229393521251</v>
      </c>
      <c r="V37" s="108">
        <f t="shared" si="23"/>
        <v>7416.0573669572241</v>
      </c>
      <c r="W37" s="108">
        <f t="shared" si="23"/>
        <v>7586.6266863972396</v>
      </c>
      <c r="X37" s="108">
        <f t="shared" si="23"/>
        <v>7761.1191001843754</v>
      </c>
      <c r="Y37" s="108">
        <f t="shared" si="23"/>
        <v>7939.6248394886152</v>
      </c>
      <c r="Z37" s="108">
        <f t="shared" si="23"/>
        <v>8122.236210796852</v>
      </c>
      <c r="AA37" s="108">
        <f t="shared" si="23"/>
        <v>8309.0476436451791</v>
      </c>
      <c r="AB37" s="108">
        <f t="shared" si="23"/>
        <v>8500.1557394490173</v>
      </c>
      <c r="AC37" s="108">
        <f t="shared" si="23"/>
        <v>8695.6593214563436</v>
      </c>
      <c r="AD37" s="108">
        <f t="shared" si="23"/>
        <v>8895.6594858498393</v>
      </c>
      <c r="AE37" s="143">
        <f t="shared" si="23"/>
        <v>9100.2596540243849</v>
      </c>
    </row>
    <row r="38" spans="2:31" outlineLevel="1" x14ac:dyDescent="0.2">
      <c r="B38" s="972"/>
      <c r="C38" s="106" t="s">
        <v>44</v>
      </c>
      <c r="D38" s="110">
        <f t="shared" ref="D38:D39" si="24">D34</f>
        <v>0.35173542742537406</v>
      </c>
      <c r="E38" s="110"/>
      <c r="F38" s="110"/>
      <c r="G38" s="110"/>
      <c r="H38" s="110"/>
      <c r="I38" s="110"/>
      <c r="J38" s="110"/>
      <c r="K38" s="108">
        <f t="shared" ref="K38:AE38" si="25">$D34*K$36</f>
        <v>0</v>
      </c>
      <c r="L38" s="108">
        <f t="shared" si="25"/>
        <v>0</v>
      </c>
      <c r="M38" s="108">
        <f t="shared" si="25"/>
        <v>0</v>
      </c>
      <c r="N38" s="108">
        <f t="shared" si="25"/>
        <v>0</v>
      </c>
      <c r="O38" s="108">
        <f t="shared" si="25"/>
        <v>15097.188015951906</v>
      </c>
      <c r="P38" s="108">
        <f t="shared" si="25"/>
        <v>15097.188015951906</v>
      </c>
      <c r="Q38" s="108">
        <f t="shared" si="25"/>
        <v>15444.423340318799</v>
      </c>
      <c r="R38" s="108">
        <f t="shared" si="25"/>
        <v>15799.64507714613</v>
      </c>
      <c r="S38" s="108">
        <f t="shared" si="25"/>
        <v>16163.03691392049</v>
      </c>
      <c r="T38" s="108">
        <f t="shared" si="25"/>
        <v>16534.786762940661</v>
      </c>
      <c r="U38" s="108">
        <f t="shared" si="25"/>
        <v>16915.086858488296</v>
      </c>
      <c r="V38" s="108">
        <f t="shared" si="25"/>
        <v>17304.133856233522</v>
      </c>
      <c r="W38" s="108">
        <f t="shared" si="25"/>
        <v>17702.128934926895</v>
      </c>
      <c r="X38" s="108">
        <f t="shared" si="25"/>
        <v>18109.27790043021</v>
      </c>
      <c r="Y38" s="108">
        <f t="shared" si="25"/>
        <v>18525.791292140104</v>
      </c>
      <c r="Z38" s="108">
        <f t="shared" si="25"/>
        <v>18951.884491859324</v>
      </c>
      <c r="AA38" s="108">
        <f t="shared" si="25"/>
        <v>19387.777835172088</v>
      </c>
      <c r="AB38" s="108">
        <f t="shared" si="25"/>
        <v>19833.696725381044</v>
      </c>
      <c r="AC38" s="108">
        <f t="shared" si="25"/>
        <v>20289.871750064805</v>
      </c>
      <c r="AD38" s="108">
        <f t="shared" si="25"/>
        <v>20756.538800316292</v>
      </c>
      <c r="AE38" s="143">
        <f t="shared" si="25"/>
        <v>21233.939192723567</v>
      </c>
    </row>
    <row r="39" spans="2:31" outlineLevel="1" x14ac:dyDescent="0.2">
      <c r="B39" s="972"/>
      <c r="C39" s="106" t="s">
        <v>45</v>
      </c>
      <c r="D39" s="110">
        <f t="shared" si="24"/>
        <v>0.49752081796375136</v>
      </c>
      <c r="E39" s="110"/>
      <c r="F39" s="110"/>
      <c r="G39" s="110"/>
      <c r="H39" s="110"/>
      <c r="I39" s="110"/>
      <c r="J39" s="110"/>
      <c r="K39" s="108">
        <f t="shared" ref="K39:AE39" si="26">$D35*K$36</f>
        <v>0</v>
      </c>
      <c r="L39" s="108">
        <f t="shared" si="26"/>
        <v>0</v>
      </c>
      <c r="M39" s="108">
        <f t="shared" si="26"/>
        <v>0</v>
      </c>
      <c r="N39" s="108">
        <f t="shared" si="26"/>
        <v>0</v>
      </c>
      <c r="O39" s="108">
        <f t="shared" si="26"/>
        <v>21354.588548640135</v>
      </c>
      <c r="P39" s="108">
        <f t="shared" si="26"/>
        <v>21354.588548640135</v>
      </c>
      <c r="Q39" s="108">
        <f t="shared" si="26"/>
        <v>21845.744085258859</v>
      </c>
      <c r="R39" s="108">
        <f t="shared" si="26"/>
        <v>22348.196199219808</v>
      </c>
      <c r="S39" s="108">
        <f t="shared" si="26"/>
        <v>22862.204711801864</v>
      </c>
      <c r="T39" s="108">
        <f t="shared" si="26"/>
        <v>23388.035420173306</v>
      </c>
      <c r="U39" s="108">
        <f t="shared" si="26"/>
        <v>23925.96023483729</v>
      </c>
      <c r="V39" s="108">
        <f t="shared" si="26"/>
        <v>24476.257320238547</v>
      </c>
      <c r="W39" s="108">
        <f t="shared" si="26"/>
        <v>25039.211238604032</v>
      </c>
      <c r="X39" s="108">
        <f t="shared" si="26"/>
        <v>25615.113097091922</v>
      </c>
      <c r="Y39" s="108">
        <f t="shared" si="26"/>
        <v>26204.260698325033</v>
      </c>
      <c r="Z39" s="108">
        <f t="shared" si="26"/>
        <v>26806.958694386507</v>
      </c>
      <c r="AA39" s="108">
        <f t="shared" si="26"/>
        <v>27423.518744357392</v>
      </c>
      <c r="AB39" s="108">
        <f t="shared" si="26"/>
        <v>28054.25967547761</v>
      </c>
      <c r="AC39" s="108">
        <f t="shared" si="26"/>
        <v>28699.507648013594</v>
      </c>
      <c r="AD39" s="108">
        <f t="shared" si="26"/>
        <v>29359.596323917904</v>
      </c>
      <c r="AE39" s="143">
        <f t="shared" si="26"/>
        <v>30034.867039368011</v>
      </c>
    </row>
    <row r="40" spans="2:31" s="111" customFormat="1" x14ac:dyDescent="0.2">
      <c r="B40" s="972"/>
      <c r="C40" s="117" t="s">
        <v>236</v>
      </c>
      <c r="K40" s="118">
        <f>SUM(K32,K36)</f>
        <v>0</v>
      </c>
      <c r="L40" s="118">
        <f t="shared" ref="L40:AE40" si="27">SUM(L32,L36)</f>
        <v>0</v>
      </c>
      <c r="M40" s="118">
        <f t="shared" si="27"/>
        <v>0</v>
      </c>
      <c r="N40" s="118">
        <f t="shared" si="27"/>
        <v>0</v>
      </c>
      <c r="O40" s="118">
        <f t="shared" si="27"/>
        <v>42922</v>
      </c>
      <c r="P40" s="118">
        <f t="shared" si="27"/>
        <v>44357.105152931996</v>
      </c>
      <c r="Q40" s="118">
        <f t="shared" si="27"/>
        <v>45856.346715510204</v>
      </c>
      <c r="R40" s="118">
        <f t="shared" si="27"/>
        <v>47017.57438374393</v>
      </c>
      <c r="S40" s="118">
        <f t="shared" si="27"/>
        <v>48098.978594570035</v>
      </c>
      <c r="T40" s="118">
        <f t="shared" si="27"/>
        <v>49205.255102245144</v>
      </c>
      <c r="U40" s="118">
        <f t="shared" si="27"/>
        <v>50336.97596959678</v>
      </c>
      <c r="V40" s="118">
        <f t="shared" si="27"/>
        <v>51494.726416897502</v>
      </c>
      <c r="W40" s="118">
        <f t="shared" si="27"/>
        <v>52679.105124486145</v>
      </c>
      <c r="X40" s="118">
        <f t="shared" si="27"/>
        <v>53890.724542349315</v>
      </c>
      <c r="Y40" s="118">
        <f t="shared" si="27"/>
        <v>55130.211206823347</v>
      </c>
      <c r="Z40" s="118">
        <f t="shared" si="27"/>
        <v>56398.206064580278</v>
      </c>
      <c r="AA40" s="118">
        <f t="shared" si="27"/>
        <v>57695.364804065612</v>
      </c>
      <c r="AB40" s="118">
        <f t="shared" si="27"/>
        <v>59022.358194559121</v>
      </c>
      <c r="AC40" s="118">
        <f t="shared" si="27"/>
        <v>60379.872433033976</v>
      </c>
      <c r="AD40" s="118">
        <f t="shared" si="27"/>
        <v>61768.609498993748</v>
      </c>
      <c r="AE40" s="118">
        <f t="shared" si="27"/>
        <v>63189.287517470599</v>
      </c>
    </row>
    <row r="41" spans="2:31" x14ac:dyDescent="0.2">
      <c r="B41" s="972" t="s">
        <v>38</v>
      </c>
      <c r="C41" s="107" t="s">
        <v>233</v>
      </c>
      <c r="K41" s="108">
        <f>SUM(Mwanza!D80:D81)</f>
        <v>0</v>
      </c>
      <c r="L41" s="108">
        <f>SUM(Mwanza!E80:E81)</f>
        <v>0</v>
      </c>
      <c r="M41" s="108">
        <f>SUM(Mwanza!F80:F81)</f>
        <v>0</v>
      </c>
      <c r="N41" s="108">
        <f>SUM(Mwanza!G80:G81)</f>
        <v>0</v>
      </c>
      <c r="O41" s="108">
        <f>SUM(Mwanza!H80:H81)</f>
        <v>0</v>
      </c>
      <c r="P41" s="108">
        <f>SUM(Mwanza!I80:I81)</f>
        <v>2121.4497928759984</v>
      </c>
      <c r="Q41" s="108">
        <f>SUM(Mwanza!J80:J81)</f>
        <v>3204.2889915930227</v>
      </c>
      <c r="R41" s="108">
        <f>SUM(Mwanza!K80:K81)</f>
        <v>3507.9504445107382</v>
      </c>
      <c r="S41" s="108">
        <f>SUM(Mwanza!L80:L81)</f>
        <v>3588.6333047344879</v>
      </c>
      <c r="T41" s="108">
        <f>SUM(Mwanza!M80:M81)</f>
        <v>3671.1718707433774</v>
      </c>
      <c r="U41" s="108">
        <f>SUM(Mwanza!N80:N81)</f>
        <v>3755.6088237704735</v>
      </c>
      <c r="V41" s="108">
        <f>SUM(Mwanza!O80:O81)</f>
        <v>3841.9878267171944</v>
      </c>
      <c r="W41" s="108">
        <f>SUM(Mwanza!P80:P81)</f>
        <v>3930.3535467316888</v>
      </c>
      <c r="X41" s="108">
        <f>SUM(Mwanza!Q80:Q81)</f>
        <v>4020.751678306523</v>
      </c>
      <c r="Y41" s="108">
        <f>SUM(Mwanza!R80:R81)</f>
        <v>4113.2289669075672</v>
      </c>
      <c r="Z41" s="108">
        <f>SUM(Mwanza!S80:S81)</f>
        <v>4207.8332331464408</v>
      </c>
      <c r="AA41" s="108">
        <f>SUM(Mwanza!T80:T81)</f>
        <v>4304.613397508816</v>
      </c>
      <c r="AB41" s="108">
        <f>SUM(Mwanza!U80:U81)</f>
        <v>4403.6195056515189</v>
      </c>
      <c r="AC41" s="108">
        <f>SUM(Mwanza!V80:V81)</f>
        <v>4504.9027542814929</v>
      </c>
      <c r="AD41" s="108">
        <f>SUM(Mwanza!W80:W81)</f>
        <v>4608.5155176299704</v>
      </c>
      <c r="AE41" s="143">
        <f>SUM(Mwanza!X80:X81)</f>
        <v>4714.5113745354574</v>
      </c>
    </row>
    <row r="42" spans="2:31" outlineLevel="1" x14ac:dyDescent="0.2">
      <c r="B42" s="972"/>
      <c r="C42" s="106" t="s">
        <v>10</v>
      </c>
      <c r="D42" s="109">
        <f>Mwanza!D69/Mwanza!F70</f>
        <v>9.9162828297048811E-2</v>
      </c>
      <c r="E42" s="109"/>
      <c r="F42" s="109"/>
      <c r="G42" s="109"/>
      <c r="H42" s="109"/>
      <c r="I42" s="109"/>
      <c r="J42" s="109"/>
      <c r="K42" s="108">
        <f>$D42*K$41</f>
        <v>0</v>
      </c>
      <c r="L42" s="108">
        <f t="shared" ref="L42:AE44" si="28">$D42*L$41</f>
        <v>0</v>
      </c>
      <c r="M42" s="108">
        <f t="shared" si="28"/>
        <v>0</v>
      </c>
      <c r="N42" s="108">
        <f t="shared" si="28"/>
        <v>0</v>
      </c>
      <c r="O42" s="108">
        <f t="shared" si="28"/>
        <v>0</v>
      </c>
      <c r="P42" s="108">
        <f t="shared" si="28"/>
        <v>210.3689615517724</v>
      </c>
      <c r="Q42" s="108">
        <f t="shared" si="28"/>
        <v>317.74635908746257</v>
      </c>
      <c r="R42" s="108">
        <f t="shared" si="28"/>
        <v>347.85828760357435</v>
      </c>
      <c r="S42" s="108">
        <f t="shared" si="28"/>
        <v>355.85902821845684</v>
      </c>
      <c r="T42" s="108">
        <f t="shared" si="28"/>
        <v>364.04378586748101</v>
      </c>
      <c r="U42" s="108">
        <f t="shared" si="28"/>
        <v>372.41679294243289</v>
      </c>
      <c r="V42" s="108">
        <f t="shared" si="28"/>
        <v>380.98237918010886</v>
      </c>
      <c r="W42" s="108">
        <f t="shared" si="28"/>
        <v>389.74497390125129</v>
      </c>
      <c r="X42" s="108">
        <f t="shared" si="28"/>
        <v>398.70910830098057</v>
      </c>
      <c r="Y42" s="108">
        <f t="shared" si="28"/>
        <v>407.87941779190254</v>
      </c>
      <c r="Z42" s="108">
        <f t="shared" si="28"/>
        <v>417.26064440111628</v>
      </c>
      <c r="AA42" s="108">
        <f t="shared" si="28"/>
        <v>426.85763922234264</v>
      </c>
      <c r="AB42" s="108">
        <f t="shared" si="28"/>
        <v>436.67536492445652</v>
      </c>
      <c r="AC42" s="108">
        <f t="shared" si="28"/>
        <v>446.71889831771796</v>
      </c>
      <c r="AD42" s="108">
        <f t="shared" si="28"/>
        <v>456.99343297902578</v>
      </c>
      <c r="AE42" s="143">
        <f t="shared" si="28"/>
        <v>467.50428193754317</v>
      </c>
    </row>
    <row r="43" spans="2:31" outlineLevel="1" x14ac:dyDescent="0.2">
      <c r="B43" s="972"/>
      <c r="C43" s="106" t="s">
        <v>44</v>
      </c>
      <c r="D43" s="109">
        <f>Mwanza!E69/Mwanza!F70</f>
        <v>0.34916488836989018</v>
      </c>
      <c r="E43" s="109"/>
      <c r="F43" s="109"/>
      <c r="G43" s="109"/>
      <c r="H43" s="109"/>
      <c r="I43" s="109"/>
      <c r="J43" s="109"/>
      <c r="K43" s="108">
        <f t="shared" ref="K43:Z44" si="29">$D43*K$41</f>
        <v>0</v>
      </c>
      <c r="L43" s="108">
        <f t="shared" si="29"/>
        <v>0</v>
      </c>
      <c r="M43" s="108">
        <f t="shared" si="29"/>
        <v>0</v>
      </c>
      <c r="N43" s="108">
        <f t="shared" si="29"/>
        <v>0</v>
      </c>
      <c r="O43" s="108">
        <f t="shared" si="29"/>
        <v>0</v>
      </c>
      <c r="P43" s="108">
        <f t="shared" si="29"/>
        <v>740.73578011187465</v>
      </c>
      <c r="Q43" s="108">
        <f t="shared" si="29"/>
        <v>1118.8252080544457</v>
      </c>
      <c r="R43" s="108">
        <f t="shared" si="29"/>
        <v>1224.8531253646986</v>
      </c>
      <c r="S43" s="108">
        <f t="shared" si="29"/>
        <v>1253.0247472480876</v>
      </c>
      <c r="T43" s="108">
        <f t="shared" si="29"/>
        <v>1281.8443164347923</v>
      </c>
      <c r="U43" s="108">
        <f t="shared" si="29"/>
        <v>1311.326735712792</v>
      </c>
      <c r="V43" s="108">
        <f t="shared" si="29"/>
        <v>1341.4872506341862</v>
      </c>
      <c r="W43" s="108">
        <f t="shared" si="29"/>
        <v>1372.341457398772</v>
      </c>
      <c r="X43" s="108">
        <f t="shared" si="29"/>
        <v>1403.9053109189456</v>
      </c>
      <c r="Y43" s="108">
        <f t="shared" si="29"/>
        <v>1436.1951330700795</v>
      </c>
      <c r="Z43" s="108">
        <f t="shared" si="29"/>
        <v>1469.227621130691</v>
      </c>
      <c r="AA43" s="108">
        <f t="shared" si="28"/>
        <v>1503.0198564166994</v>
      </c>
      <c r="AB43" s="108">
        <f t="shared" si="28"/>
        <v>1537.5893131142836</v>
      </c>
      <c r="AC43" s="108">
        <f t="shared" si="28"/>
        <v>1572.9538673159084</v>
      </c>
      <c r="AD43" s="108">
        <f t="shared" si="28"/>
        <v>1609.1318062641753</v>
      </c>
      <c r="AE43" s="143">
        <f t="shared" si="28"/>
        <v>1646.1418378082506</v>
      </c>
    </row>
    <row r="44" spans="2:31" outlineLevel="1" x14ac:dyDescent="0.2">
      <c r="B44" s="972"/>
      <c r="C44" s="106" t="s">
        <v>45</v>
      </c>
      <c r="D44" s="109">
        <f>Mwanza!F69/Mwanza!F70</f>
        <v>0.55167228333306106</v>
      </c>
      <c r="E44" s="109"/>
      <c r="F44" s="109"/>
      <c r="G44" s="109"/>
      <c r="H44" s="109"/>
      <c r="I44" s="109"/>
      <c r="J44" s="109"/>
      <c r="K44" s="108">
        <f>$D44*K$41</f>
        <v>0</v>
      </c>
      <c r="L44" s="108">
        <f t="shared" si="29"/>
        <v>0</v>
      </c>
      <c r="M44" s="108">
        <f t="shared" si="29"/>
        <v>0</v>
      </c>
      <c r="N44" s="108">
        <f t="shared" si="29"/>
        <v>0</v>
      </c>
      <c r="O44" s="108">
        <f t="shared" si="29"/>
        <v>0</v>
      </c>
      <c r="P44" s="108">
        <f t="shared" si="29"/>
        <v>1170.3450512123516</v>
      </c>
      <c r="Q44" s="108">
        <f t="shared" si="29"/>
        <v>1767.7174244511145</v>
      </c>
      <c r="R44" s="108">
        <f t="shared" si="29"/>
        <v>1935.2390315424655</v>
      </c>
      <c r="S44" s="108">
        <f t="shared" si="29"/>
        <v>1979.7495292679437</v>
      </c>
      <c r="T44" s="108">
        <f t="shared" si="29"/>
        <v>2025.2837684411043</v>
      </c>
      <c r="U44" s="108">
        <f t="shared" si="29"/>
        <v>2071.865295115249</v>
      </c>
      <c r="V44" s="108">
        <f t="shared" si="29"/>
        <v>2119.5181969028995</v>
      </c>
      <c r="W44" s="108">
        <f t="shared" si="29"/>
        <v>2168.2671154316658</v>
      </c>
      <c r="X44" s="108">
        <f t="shared" si="29"/>
        <v>2218.1372590865972</v>
      </c>
      <c r="Y44" s="108">
        <f t="shared" si="29"/>
        <v>2269.1544160455855</v>
      </c>
      <c r="Z44" s="108">
        <f t="shared" si="29"/>
        <v>2321.3449676146338</v>
      </c>
      <c r="AA44" s="108">
        <f t="shared" si="28"/>
        <v>2374.7359018697744</v>
      </c>
      <c r="AB44" s="108">
        <f t="shared" si="28"/>
        <v>2429.354827612779</v>
      </c>
      <c r="AC44" s="108">
        <f t="shared" si="28"/>
        <v>2485.2299886478668</v>
      </c>
      <c r="AD44" s="108">
        <f t="shared" si="28"/>
        <v>2542.3902783867698</v>
      </c>
      <c r="AE44" s="143">
        <f t="shared" si="28"/>
        <v>2600.865254789664</v>
      </c>
    </row>
    <row r="45" spans="2:31" x14ac:dyDescent="0.2">
      <c r="B45" s="972"/>
      <c r="C45" s="107" t="s">
        <v>234</v>
      </c>
      <c r="K45" s="108">
        <f>Mwanza!D112-Mwanza!D81</f>
        <v>0</v>
      </c>
      <c r="L45" s="108">
        <f>Mwanza!E112-Mwanza!E81</f>
        <v>0</v>
      </c>
      <c r="M45" s="108">
        <f>Mwanza!F112-Mwanza!F81</f>
        <v>0</v>
      </c>
      <c r="N45" s="108">
        <f>Mwanza!G112-Mwanza!G81</f>
        <v>0</v>
      </c>
      <c r="O45" s="108">
        <f>Mwanza!H112-Mwanza!H81</f>
        <v>50200</v>
      </c>
      <c r="P45" s="108">
        <f>Mwanza!I112-Mwanza!I81</f>
        <v>50200</v>
      </c>
      <c r="Q45" s="108">
        <f>Mwanza!J112-Mwanza!J81</f>
        <v>51354.6</v>
      </c>
      <c r="R45" s="108">
        <f>Mwanza!K112-Mwanza!K81</f>
        <v>52535.755799999992</v>
      </c>
      <c r="S45" s="108">
        <f>Mwanza!L112-Mwanza!L81</f>
        <v>53744.078183399986</v>
      </c>
      <c r="T45" s="108">
        <f>Mwanza!M112-Mwanza!M81</f>
        <v>54980.191981618183</v>
      </c>
      <c r="U45" s="108">
        <f>Mwanza!N112-Mwanza!N81</f>
        <v>56244.736397195396</v>
      </c>
      <c r="V45" s="108">
        <f>Mwanza!O112-Mwanza!O81</f>
        <v>57538.365334330883</v>
      </c>
      <c r="W45" s="108">
        <f>Mwanza!P112-Mwanza!P81</f>
        <v>58861.747737020487</v>
      </c>
      <c r="X45" s="108">
        <f>Mwanza!Q112-Mwanza!Q81</f>
        <v>60215.56793497195</v>
      </c>
      <c r="Y45" s="108">
        <f>Mwanza!R112-Mwanza!R81</f>
        <v>61600.525997476303</v>
      </c>
      <c r="Z45" s="108">
        <f>Mwanza!S112-Mwanza!S81</f>
        <v>63017.33809541825</v>
      </c>
      <c r="AA45" s="108">
        <f>Mwanza!T112-Mwanza!T81</f>
        <v>64466.736871612862</v>
      </c>
      <c r="AB45" s="108">
        <f>Mwanza!U112-Mwanza!U81</f>
        <v>65949.471819659957</v>
      </c>
      <c r="AC45" s="108">
        <f>Mwanza!V112-Mwanza!V81</f>
        <v>67466.309671512136</v>
      </c>
      <c r="AD45" s="108">
        <f>Mwanza!W112-Mwanza!W81</f>
        <v>69018.034793956904</v>
      </c>
      <c r="AE45" s="108">
        <f>Mwanza!X112-Mwanza!X81</f>
        <v>70605.449594217906</v>
      </c>
    </row>
    <row r="46" spans="2:31" outlineLevel="1" x14ac:dyDescent="0.2">
      <c r="B46" s="972"/>
      <c r="C46" s="106" t="s">
        <v>10</v>
      </c>
      <c r="D46" s="110">
        <f>D42</f>
        <v>9.9162828297048811E-2</v>
      </c>
      <c r="E46" s="110"/>
      <c r="F46" s="110"/>
      <c r="G46" s="110"/>
      <c r="H46" s="110"/>
      <c r="I46" s="110"/>
      <c r="J46" s="110"/>
      <c r="K46" s="108">
        <f>$D46*K$45</f>
        <v>0</v>
      </c>
      <c r="L46" s="108">
        <f t="shared" ref="L46:AE48" si="30">$D46*L$45</f>
        <v>0</v>
      </c>
      <c r="M46" s="108">
        <f t="shared" si="30"/>
        <v>0</v>
      </c>
      <c r="N46" s="108">
        <f t="shared" si="30"/>
        <v>0</v>
      </c>
      <c r="O46" s="108">
        <f t="shared" si="30"/>
        <v>4977.9739805118506</v>
      </c>
      <c r="P46" s="108">
        <f t="shared" si="30"/>
        <v>4977.9739805118506</v>
      </c>
      <c r="Q46" s="108">
        <f t="shared" si="30"/>
        <v>5092.4673820636226</v>
      </c>
      <c r="R46" s="108">
        <f t="shared" si="30"/>
        <v>5209.594131851085</v>
      </c>
      <c r="S46" s="108">
        <f t="shared" si="30"/>
        <v>5329.4147968836596</v>
      </c>
      <c r="T46" s="108">
        <f t="shared" si="30"/>
        <v>5451.9913372119836</v>
      </c>
      <c r="U46" s="108">
        <f t="shared" si="30"/>
        <v>5577.3871379678585</v>
      </c>
      <c r="V46" s="108">
        <f t="shared" si="30"/>
        <v>5705.6670421411191</v>
      </c>
      <c r="W46" s="108">
        <f t="shared" si="30"/>
        <v>5836.8973841103643</v>
      </c>
      <c r="X46" s="108">
        <f t="shared" si="30"/>
        <v>5971.1460239449016</v>
      </c>
      <c r="Y46" s="108">
        <f t="shared" si="30"/>
        <v>6108.4823824956338</v>
      </c>
      <c r="Z46" s="108">
        <f t="shared" si="30"/>
        <v>6248.9774772930332</v>
      </c>
      <c r="AA46" s="108">
        <f t="shared" si="30"/>
        <v>6392.7039592707715</v>
      </c>
      <c r="AB46" s="108">
        <f t="shared" si="30"/>
        <v>6539.7361503339998</v>
      </c>
      <c r="AC46" s="108">
        <f t="shared" si="30"/>
        <v>6690.1500817916813</v>
      </c>
      <c r="AD46" s="108">
        <f t="shared" si="30"/>
        <v>6844.0235336728892</v>
      </c>
      <c r="AE46" s="143">
        <f t="shared" si="30"/>
        <v>7001.4360749473644</v>
      </c>
    </row>
    <row r="47" spans="2:31" outlineLevel="1" x14ac:dyDescent="0.2">
      <c r="B47" s="972"/>
      <c r="C47" s="106" t="s">
        <v>44</v>
      </c>
      <c r="D47" s="110">
        <f t="shared" ref="D47:D48" si="31">D43</f>
        <v>0.34916488836989018</v>
      </c>
      <c r="E47" s="110"/>
      <c r="F47" s="110"/>
      <c r="G47" s="110"/>
      <c r="H47" s="110"/>
      <c r="I47" s="110"/>
      <c r="J47" s="110"/>
      <c r="K47" s="108">
        <f>$D47*K$45</f>
        <v>0</v>
      </c>
      <c r="L47" s="108">
        <f t="shared" ref="L47:Z47" si="32">$D47*L$45</f>
        <v>0</v>
      </c>
      <c r="M47" s="108">
        <f t="shared" si="32"/>
        <v>0</v>
      </c>
      <c r="N47" s="108">
        <f t="shared" si="32"/>
        <v>0</v>
      </c>
      <c r="O47" s="108">
        <f t="shared" si="32"/>
        <v>17528.077396168486</v>
      </c>
      <c r="P47" s="108">
        <f t="shared" si="32"/>
        <v>17528.077396168486</v>
      </c>
      <c r="Q47" s="108">
        <f t="shared" si="32"/>
        <v>17931.22317628036</v>
      </c>
      <c r="R47" s="108">
        <f t="shared" si="32"/>
        <v>18343.641309334809</v>
      </c>
      <c r="S47" s="108">
        <f t="shared" si="32"/>
        <v>18765.545059449505</v>
      </c>
      <c r="T47" s="108">
        <f t="shared" si="32"/>
        <v>19197.152595816846</v>
      </c>
      <c r="U47" s="108">
        <f t="shared" si="32"/>
        <v>19638.687105520628</v>
      </c>
      <c r="V47" s="108">
        <f t="shared" si="32"/>
        <v>20090.376908947601</v>
      </c>
      <c r="W47" s="108">
        <f t="shared" si="32"/>
        <v>20552.455577853394</v>
      </c>
      <c r="X47" s="108">
        <f t="shared" si="32"/>
        <v>21025.162056144021</v>
      </c>
      <c r="Y47" s="108">
        <f t="shared" si="32"/>
        <v>21508.740783435333</v>
      </c>
      <c r="Z47" s="108">
        <f t="shared" si="32"/>
        <v>22003.44182145434</v>
      </c>
      <c r="AA47" s="108">
        <f t="shared" si="30"/>
        <v>22509.520983347789</v>
      </c>
      <c r="AB47" s="108">
        <f t="shared" si="30"/>
        <v>23027.239965964785</v>
      </c>
      <c r="AC47" s="108">
        <f t="shared" si="30"/>
        <v>23556.866485181978</v>
      </c>
      <c r="AD47" s="108">
        <f t="shared" si="30"/>
        <v>24098.67441434116</v>
      </c>
      <c r="AE47" s="143">
        <f t="shared" si="30"/>
        <v>24652.943925871004</v>
      </c>
    </row>
    <row r="48" spans="2:31" outlineLevel="1" x14ac:dyDescent="0.2">
      <c r="B48" s="972"/>
      <c r="C48" s="106" t="s">
        <v>45</v>
      </c>
      <c r="D48" s="110">
        <f t="shared" si="31"/>
        <v>0.55167228333306106</v>
      </c>
      <c r="E48" s="110"/>
      <c r="F48" s="110"/>
      <c r="G48" s="110"/>
      <c r="H48" s="110"/>
      <c r="I48" s="110"/>
      <c r="J48" s="110"/>
      <c r="K48" s="108">
        <f>$D48*K$45</f>
        <v>0</v>
      </c>
      <c r="L48" s="108">
        <f t="shared" si="30"/>
        <v>0</v>
      </c>
      <c r="M48" s="108">
        <f t="shared" si="30"/>
        <v>0</v>
      </c>
      <c r="N48" s="108">
        <f t="shared" si="30"/>
        <v>0</v>
      </c>
      <c r="O48" s="108">
        <f t="shared" si="30"/>
        <v>27693.948623319666</v>
      </c>
      <c r="P48" s="108">
        <f t="shared" si="30"/>
        <v>27693.948623319666</v>
      </c>
      <c r="Q48" s="108">
        <f t="shared" si="30"/>
        <v>28330.909441656018</v>
      </c>
      <c r="R48" s="108">
        <f t="shared" si="30"/>
        <v>28982.520358814101</v>
      </c>
      <c r="S48" s="108">
        <f t="shared" si="30"/>
        <v>29649.118327066823</v>
      </c>
      <c r="T48" s="108">
        <f t="shared" si="30"/>
        <v>30331.048048589357</v>
      </c>
      <c r="U48" s="108">
        <f t="shared" si="30"/>
        <v>31028.662153706911</v>
      </c>
      <c r="V48" s="108">
        <f t="shared" si="30"/>
        <v>31742.321383242164</v>
      </c>
      <c r="W48" s="108">
        <f t="shared" si="30"/>
        <v>32472.394775056731</v>
      </c>
      <c r="X48" s="108">
        <f t="shared" si="30"/>
        <v>33219.259854883036</v>
      </c>
      <c r="Y48" s="108">
        <f t="shared" si="30"/>
        <v>33983.302831545341</v>
      </c>
      <c r="Z48" s="108">
        <f t="shared" si="30"/>
        <v>34764.918796670878</v>
      </c>
      <c r="AA48" s="108">
        <f t="shared" si="30"/>
        <v>35564.511928994303</v>
      </c>
      <c r="AB48" s="108">
        <f t="shared" si="30"/>
        <v>36382.495703361172</v>
      </c>
      <c r="AC48" s="108">
        <f t="shared" si="30"/>
        <v>37219.293104538483</v>
      </c>
      <c r="AD48" s="108">
        <f t="shared" si="30"/>
        <v>38075.33684594286</v>
      </c>
      <c r="AE48" s="143">
        <f t="shared" si="30"/>
        <v>38951.069593399545</v>
      </c>
    </row>
    <row r="49" spans="2:31" s="111" customFormat="1" x14ac:dyDescent="0.2">
      <c r="B49" s="972"/>
      <c r="C49" s="117" t="s">
        <v>236</v>
      </c>
      <c r="K49" s="118">
        <f>Mwanza!D112</f>
        <v>0</v>
      </c>
      <c r="L49" s="118">
        <f>Mwanza!E112</f>
        <v>0</v>
      </c>
      <c r="M49" s="118">
        <f>Mwanza!F112</f>
        <v>0</v>
      </c>
      <c r="N49" s="118">
        <f>Mwanza!G112</f>
        <v>0</v>
      </c>
      <c r="O49" s="118">
        <f>SUM(O41,O45)</f>
        <v>50200</v>
      </c>
      <c r="P49" s="118">
        <f t="shared" ref="P49:AE49" si="33">SUM(P41,P45)</f>
        <v>52321.449792875996</v>
      </c>
      <c r="Q49" s="118">
        <f t="shared" si="33"/>
        <v>54558.888991593019</v>
      </c>
      <c r="R49" s="118">
        <f t="shared" si="33"/>
        <v>56043.706244510729</v>
      </c>
      <c r="S49" s="118">
        <f t="shared" si="33"/>
        <v>57332.711488134475</v>
      </c>
      <c r="T49" s="118">
        <f t="shared" si="33"/>
        <v>58651.363852361559</v>
      </c>
      <c r="U49" s="118">
        <f t="shared" si="33"/>
        <v>60000.345220965872</v>
      </c>
      <c r="V49" s="118">
        <f t="shared" si="33"/>
        <v>61380.353161048079</v>
      </c>
      <c r="W49" s="118">
        <f t="shared" si="33"/>
        <v>62792.101283752178</v>
      </c>
      <c r="X49" s="118">
        <f t="shared" si="33"/>
        <v>64236.319613278472</v>
      </c>
      <c r="Y49" s="118">
        <f t="shared" si="33"/>
        <v>65713.754964383872</v>
      </c>
      <c r="Z49" s="118">
        <f t="shared" si="33"/>
        <v>67225.171328564698</v>
      </c>
      <c r="AA49" s="118">
        <f t="shared" si="33"/>
        <v>68771.350269121671</v>
      </c>
      <c r="AB49" s="118">
        <f t="shared" si="33"/>
        <v>70353.09132531147</v>
      </c>
      <c r="AC49" s="118">
        <f t="shared" si="33"/>
        <v>71971.212425793623</v>
      </c>
      <c r="AD49" s="118">
        <f t="shared" si="33"/>
        <v>73626.550311586878</v>
      </c>
      <c r="AE49" s="118">
        <f t="shared" si="33"/>
        <v>75319.960968753367</v>
      </c>
    </row>
    <row r="50" spans="2:31" x14ac:dyDescent="0.2">
      <c r="B50" s="972" t="s">
        <v>39</v>
      </c>
      <c r="C50" s="107" t="s">
        <v>233</v>
      </c>
      <c r="K50" s="108">
        <f>SUM(Mbeya!D80:D81)</f>
        <v>0</v>
      </c>
      <c r="L50" s="108">
        <f>SUM(Mbeya!E80:E81)</f>
        <v>0</v>
      </c>
      <c r="M50" s="108">
        <f>SUM(Mbeya!F80:F81)</f>
        <v>0</v>
      </c>
      <c r="N50" s="108">
        <f>SUM(Mbeya!G80:G81)</f>
        <v>0</v>
      </c>
      <c r="O50" s="108">
        <f>SUM(Mbeya!H80:H81)</f>
        <v>0</v>
      </c>
      <c r="P50" s="108">
        <f>SUM(Mbeya!I80:I81)</f>
        <v>1753.6558301839918</v>
      </c>
      <c r="Q50" s="108">
        <f>SUM(Mbeya!J80:J81)</f>
        <v>2119.499544160009</v>
      </c>
      <c r="R50" s="108">
        <f>SUM(Mbeya!K80:K81)</f>
        <v>2240.63854484289</v>
      </c>
      <c r="S50" s="108">
        <f>SUM(Mbeya!L80:L81)</f>
        <v>2292.1732313742664</v>
      </c>
      <c r="T50" s="108">
        <f>SUM(Mbeya!M80:M81)</f>
        <v>2344.8932156958772</v>
      </c>
      <c r="U50" s="108">
        <f>SUM(Mbeya!N80:N81)</f>
        <v>2398.8257596568851</v>
      </c>
      <c r="V50" s="108">
        <f>SUM(Mbeya!O80:O81)</f>
        <v>2453.9987521289922</v>
      </c>
      <c r="W50" s="108">
        <f>SUM(Mbeya!P80:P81)</f>
        <v>2510.4407234279543</v>
      </c>
      <c r="X50" s="108">
        <f>SUM(Mbeya!Q80:Q81)</f>
        <v>2568.1808600668046</v>
      </c>
      <c r="Y50" s="108">
        <f>SUM(Mbeya!R80:R81)</f>
        <v>2627.249019848341</v>
      </c>
      <c r="Z50" s="108">
        <f>SUM(Mbeya!S80:S81)</f>
        <v>2687.675747304846</v>
      </c>
      <c r="AA50" s="108">
        <f>SUM(Mbeya!T80:T81)</f>
        <v>2749.4922894928604</v>
      </c>
      <c r="AB50" s="108">
        <f>SUM(Mbeya!U80:U81)</f>
        <v>2812.7306121512006</v>
      </c>
      <c r="AC50" s="108">
        <f>SUM(Mbeya!V80:V81)</f>
        <v>2877.4234162306661</v>
      </c>
      <c r="AD50" s="108">
        <f>SUM(Mbeya!W80:W81)</f>
        <v>2943.6041548039802</v>
      </c>
      <c r="AE50" s="143">
        <f>SUM(Mbeya!X80:X81)</f>
        <v>3011.3070503644626</v>
      </c>
    </row>
    <row r="51" spans="2:31" outlineLevel="1" x14ac:dyDescent="0.2">
      <c r="B51" s="972"/>
      <c r="C51" s="106" t="s">
        <v>10</v>
      </c>
      <c r="D51" s="109">
        <f>Mbeya!D69/Mbeya!F70</f>
        <v>0.10056669331684039</v>
      </c>
      <c r="E51" s="109"/>
      <c r="F51" s="109"/>
      <c r="G51" s="109"/>
      <c r="H51" s="109"/>
      <c r="I51" s="109"/>
      <c r="J51" s="109"/>
      <c r="K51" s="108">
        <f>$D51*K$50</f>
        <v>0</v>
      </c>
      <c r="L51" s="108">
        <f t="shared" ref="L51:AE53" si="34">$D51*L$50</f>
        <v>0</v>
      </c>
      <c r="M51" s="108">
        <f t="shared" si="34"/>
        <v>0</v>
      </c>
      <c r="N51" s="108">
        <f t="shared" si="34"/>
        <v>0</v>
      </c>
      <c r="O51" s="108">
        <f t="shared" si="34"/>
        <v>0</v>
      </c>
      <c r="P51" s="108">
        <f t="shared" si="34"/>
        <v>176.35936805740263</v>
      </c>
      <c r="Q51" s="108">
        <f t="shared" si="34"/>
        <v>213.15106064272263</v>
      </c>
      <c r="R51" s="108">
        <f t="shared" si="34"/>
        <v>225.33360937310644</v>
      </c>
      <c r="S51" s="108">
        <f t="shared" si="34"/>
        <v>230.51628238868688</v>
      </c>
      <c r="T51" s="108">
        <f t="shared" si="34"/>
        <v>235.81815688362693</v>
      </c>
      <c r="U51" s="108">
        <f t="shared" si="34"/>
        <v>241.24197449195063</v>
      </c>
      <c r="V51" s="108">
        <f t="shared" si="34"/>
        <v>246.79053990526538</v>
      </c>
      <c r="W51" s="108">
        <f t="shared" si="34"/>
        <v>252.466722323086</v>
      </c>
      <c r="X51" s="108">
        <f t="shared" si="34"/>
        <v>258.27345693651773</v>
      </c>
      <c r="Y51" s="108">
        <f t="shared" si="34"/>
        <v>264.2137464460576</v>
      </c>
      <c r="Z51" s="108">
        <f t="shared" si="34"/>
        <v>270.29066261431626</v>
      </c>
      <c r="AA51" s="108">
        <f t="shared" si="34"/>
        <v>276.50734785444581</v>
      </c>
      <c r="AB51" s="108">
        <f t="shared" si="34"/>
        <v>282.86701685509854</v>
      </c>
      <c r="AC51" s="108">
        <f t="shared" si="34"/>
        <v>289.37295824276458</v>
      </c>
      <c r="AD51" s="108">
        <f t="shared" si="34"/>
        <v>296.02853628234902</v>
      </c>
      <c r="AE51" s="143">
        <f t="shared" si="34"/>
        <v>302.83719261684212</v>
      </c>
    </row>
    <row r="52" spans="2:31" outlineLevel="1" x14ac:dyDescent="0.2">
      <c r="B52" s="972"/>
      <c r="C52" s="106" t="s">
        <v>44</v>
      </c>
      <c r="D52" s="109">
        <f>Mbeya!E69/Mbeya!F70</f>
        <v>0.36973049013544257</v>
      </c>
      <c r="E52" s="109"/>
      <c r="F52" s="109"/>
      <c r="G52" s="109"/>
      <c r="H52" s="109"/>
      <c r="I52" s="109"/>
      <c r="J52" s="109"/>
      <c r="K52" s="108">
        <f t="shared" ref="K52:Z53" si="35">$D52*K$50</f>
        <v>0</v>
      </c>
      <c r="L52" s="108">
        <f t="shared" si="35"/>
        <v>0</v>
      </c>
      <c r="M52" s="108">
        <f t="shared" si="35"/>
        <v>0</v>
      </c>
      <c r="N52" s="108">
        <f t="shared" si="35"/>
        <v>0</v>
      </c>
      <c r="O52" s="108">
        <f t="shared" si="35"/>
        <v>0</v>
      </c>
      <c r="P52" s="108">
        <f t="shared" si="35"/>
        <v>648.3800296228037</v>
      </c>
      <c r="Q52" s="108">
        <f t="shared" si="35"/>
        <v>783.64360530412728</v>
      </c>
      <c r="R52" s="108">
        <f t="shared" si="35"/>
        <v>828.43238740112656</v>
      </c>
      <c r="S52" s="108">
        <f t="shared" si="35"/>
        <v>847.48633231134875</v>
      </c>
      <c r="T52" s="108">
        <f t="shared" si="35"/>
        <v>866.97851795451072</v>
      </c>
      <c r="U52" s="108">
        <f t="shared" si="35"/>
        <v>886.91902386746551</v>
      </c>
      <c r="V52" s="108">
        <f t="shared" si="35"/>
        <v>907.31816141641673</v>
      </c>
      <c r="W52" s="108">
        <f t="shared" si="35"/>
        <v>928.18647912899257</v>
      </c>
      <c r="X52" s="108">
        <f t="shared" si="35"/>
        <v>949.53476814896214</v>
      </c>
      <c r="Y52" s="108">
        <f t="shared" si="35"/>
        <v>971.37406781638822</v>
      </c>
      <c r="Z52" s="108">
        <f t="shared" si="35"/>
        <v>993.71567137616262</v>
      </c>
      <c r="AA52" s="108">
        <f t="shared" si="34"/>
        <v>1016.5711318178154</v>
      </c>
      <c r="AB52" s="108">
        <f t="shared" si="34"/>
        <v>1039.9522678496269</v>
      </c>
      <c r="AC52" s="108">
        <f t="shared" si="34"/>
        <v>1063.8711700101637</v>
      </c>
      <c r="AD52" s="108">
        <f t="shared" si="34"/>
        <v>1088.3402069204008</v>
      </c>
      <c r="AE52" s="143">
        <f t="shared" si="34"/>
        <v>1113.3720316795666</v>
      </c>
    </row>
    <row r="53" spans="2:31" outlineLevel="1" x14ac:dyDescent="0.2">
      <c r="B53" s="972"/>
      <c r="C53" s="106" t="s">
        <v>45</v>
      </c>
      <c r="D53" s="109">
        <f>Mbeya!F69/Mbeya!F70</f>
        <v>0.529702816547717</v>
      </c>
      <c r="E53" s="109"/>
      <c r="F53" s="109"/>
      <c r="G53" s="109"/>
      <c r="H53" s="109"/>
      <c r="I53" s="109"/>
      <c r="J53" s="109"/>
      <c r="K53" s="108">
        <f t="shared" si="35"/>
        <v>0</v>
      </c>
      <c r="L53" s="108">
        <f t="shared" si="34"/>
        <v>0</v>
      </c>
      <c r="M53" s="108">
        <f t="shared" si="34"/>
        <v>0</v>
      </c>
      <c r="N53" s="108">
        <f t="shared" si="34"/>
        <v>0</v>
      </c>
      <c r="O53" s="108">
        <f t="shared" si="34"/>
        <v>0</v>
      </c>
      <c r="P53" s="108">
        <f t="shared" si="34"/>
        <v>928.91643250378536</v>
      </c>
      <c r="Q53" s="108">
        <f t="shared" si="34"/>
        <v>1122.704878213159</v>
      </c>
      <c r="R53" s="108">
        <f t="shared" si="34"/>
        <v>1186.8725480686569</v>
      </c>
      <c r="S53" s="108">
        <f t="shared" si="34"/>
        <v>1214.1706166742308</v>
      </c>
      <c r="T53" s="108">
        <f t="shared" si="34"/>
        <v>1242.0965408577395</v>
      </c>
      <c r="U53" s="108">
        <f t="shared" si="34"/>
        <v>1270.6647612974689</v>
      </c>
      <c r="V53" s="108">
        <f t="shared" si="34"/>
        <v>1299.89005080731</v>
      </c>
      <c r="W53" s="108">
        <f t="shared" si="34"/>
        <v>1329.7875219758755</v>
      </c>
      <c r="X53" s="108">
        <f t="shared" si="34"/>
        <v>1360.3726349813246</v>
      </c>
      <c r="Y53" s="108">
        <f t="shared" si="34"/>
        <v>1391.661205585895</v>
      </c>
      <c r="Z53" s="108">
        <f t="shared" si="34"/>
        <v>1423.6694133143671</v>
      </c>
      <c r="AA53" s="108">
        <f t="shared" si="34"/>
        <v>1456.413809820599</v>
      </c>
      <c r="AB53" s="108">
        <f t="shared" si="34"/>
        <v>1489.9113274464751</v>
      </c>
      <c r="AC53" s="108">
        <f t="shared" si="34"/>
        <v>1524.1792879777377</v>
      </c>
      <c r="AD53" s="108">
        <f t="shared" si="34"/>
        <v>1559.2354116012302</v>
      </c>
      <c r="AE53" s="143">
        <f t="shared" si="34"/>
        <v>1595.0978260680538</v>
      </c>
    </row>
    <row r="54" spans="2:31" x14ac:dyDescent="0.2">
      <c r="B54" s="972"/>
      <c r="C54" s="107" t="s">
        <v>234</v>
      </c>
      <c r="K54" s="108">
        <f>Mbeya!D112-Mbeya!D81</f>
        <v>0</v>
      </c>
      <c r="L54" s="108">
        <f>Mbeya!E112-Mbeya!E81</f>
        <v>0</v>
      </c>
      <c r="M54" s="108">
        <f>Mbeya!F112-Mbeya!F81</f>
        <v>0</v>
      </c>
      <c r="N54" s="108">
        <f>Mbeya!G112-Mbeya!G81</f>
        <v>0</v>
      </c>
      <c r="O54" s="108">
        <f>Mbeya!H112-Mbeya!H81</f>
        <v>63013</v>
      </c>
      <c r="P54" s="108">
        <f>Mbeya!I112-Mbeya!I81</f>
        <v>63013</v>
      </c>
      <c r="Q54" s="108">
        <f>Mbeya!J112-Mbeya!J81</f>
        <v>64462.298999999992</v>
      </c>
      <c r="R54" s="108">
        <f>Mbeya!K112-Mbeya!K81</f>
        <v>65944.931876999981</v>
      </c>
      <c r="S54" s="108">
        <f>Mbeya!L112-Mbeya!L81</f>
        <v>67461.665310170982</v>
      </c>
      <c r="T54" s="108">
        <f>Mbeya!M112-Mbeya!M81</f>
        <v>69013.283612304906</v>
      </c>
      <c r="U54" s="108">
        <f>Mbeya!N112-Mbeya!N81</f>
        <v>70600.589135387912</v>
      </c>
      <c r="V54" s="108">
        <f>Mbeya!O112-Mbeya!O81</f>
        <v>72224.402685501831</v>
      </c>
      <c r="W54" s="108">
        <f>Mbeya!P112-Mbeya!P81</f>
        <v>73885.563947268369</v>
      </c>
      <c r="X54" s="108">
        <f>Mbeya!Q112-Mbeya!Q81</f>
        <v>75584.931918055532</v>
      </c>
      <c r="Y54" s="108">
        <f>Mbeya!R112-Mbeya!R81</f>
        <v>77323.385352170808</v>
      </c>
      <c r="Z54" s="108">
        <f>Mbeya!S112-Mbeya!S81</f>
        <v>79101.823215270735</v>
      </c>
      <c r="AA54" s="108">
        <f>Mbeya!T112-Mbeya!T81</f>
        <v>80921.165149221953</v>
      </c>
      <c r="AB54" s="108">
        <f>Mbeya!U112-Mbeya!U81</f>
        <v>82782.351947654053</v>
      </c>
      <c r="AC54" s="108">
        <f>Mbeya!V112-Mbeya!V81</f>
        <v>84686.346042450095</v>
      </c>
      <c r="AD54" s="108">
        <f>Mbeya!W112-Mbeya!W81</f>
        <v>86634.132001426435</v>
      </c>
      <c r="AE54" s="108">
        <f>Mbeya!X112-Mbeya!X81</f>
        <v>88626.717037459239</v>
      </c>
    </row>
    <row r="55" spans="2:31" outlineLevel="1" x14ac:dyDescent="0.2">
      <c r="B55" s="972"/>
      <c r="C55" s="106" t="s">
        <v>10</v>
      </c>
      <c r="D55" s="110">
        <f>D51</f>
        <v>0.10056669331684039</v>
      </c>
      <c r="E55" s="110"/>
      <c r="F55" s="110"/>
      <c r="G55" s="110"/>
      <c r="H55" s="110"/>
      <c r="I55" s="110"/>
      <c r="J55" s="110"/>
      <c r="K55" s="108">
        <f>$D55*K$54</f>
        <v>0</v>
      </c>
      <c r="L55" s="108">
        <f t="shared" ref="L55:AE57" si="36">$D55*L$54</f>
        <v>0</v>
      </c>
      <c r="M55" s="108">
        <f t="shared" si="36"/>
        <v>0</v>
      </c>
      <c r="N55" s="108">
        <f t="shared" si="36"/>
        <v>0</v>
      </c>
      <c r="O55" s="108">
        <f t="shared" si="36"/>
        <v>6337.0090459740632</v>
      </c>
      <c r="P55" s="108">
        <f t="shared" si="36"/>
        <v>6337.0090459740632</v>
      </c>
      <c r="Q55" s="108">
        <f t="shared" si="36"/>
        <v>6482.7602540314656</v>
      </c>
      <c r="R55" s="108">
        <f t="shared" si="36"/>
        <v>6631.8637398741885</v>
      </c>
      <c r="S55" s="108">
        <f t="shared" si="36"/>
        <v>6784.3966058912947</v>
      </c>
      <c r="T55" s="108">
        <f t="shared" si="36"/>
        <v>6940.4377278267939</v>
      </c>
      <c r="U55" s="108">
        <f t="shared" si="36"/>
        <v>7100.0677955668098</v>
      </c>
      <c r="V55" s="108">
        <f t="shared" si="36"/>
        <v>7263.3693548648462</v>
      </c>
      <c r="W55" s="108">
        <f t="shared" si="36"/>
        <v>7430.4268500267372</v>
      </c>
      <c r="X55" s="108">
        <f t="shared" si="36"/>
        <v>7601.3266675773511</v>
      </c>
      <c r="Y55" s="108">
        <f t="shared" si="36"/>
        <v>7776.1571809316301</v>
      </c>
      <c r="Z55" s="108">
        <f t="shared" si="36"/>
        <v>7955.0087960930568</v>
      </c>
      <c r="AA55" s="108">
        <f t="shared" si="36"/>
        <v>8137.9739984031967</v>
      </c>
      <c r="AB55" s="108">
        <f t="shared" si="36"/>
        <v>8325.1474003664698</v>
      </c>
      <c r="AC55" s="108">
        <f t="shared" si="36"/>
        <v>8516.6257905748989</v>
      </c>
      <c r="AD55" s="108">
        <f t="shared" si="36"/>
        <v>8712.5081837581201</v>
      </c>
      <c r="AE55" s="143">
        <f t="shared" si="36"/>
        <v>8912.8958719845559</v>
      </c>
    </row>
    <row r="56" spans="2:31" outlineLevel="1" x14ac:dyDescent="0.2">
      <c r="B56" s="972"/>
      <c r="C56" s="106" t="s">
        <v>44</v>
      </c>
      <c r="D56" s="110">
        <f t="shared" ref="D56:D57" si="37">D52</f>
        <v>0.36973049013544257</v>
      </c>
      <c r="E56" s="110"/>
      <c r="F56" s="110"/>
      <c r="G56" s="110"/>
      <c r="H56" s="110"/>
      <c r="I56" s="110"/>
      <c r="J56" s="110"/>
      <c r="K56" s="108">
        <f t="shared" ref="K56:Z57" si="38">$D56*K$54</f>
        <v>0</v>
      </c>
      <c r="L56" s="108">
        <f t="shared" si="38"/>
        <v>0</v>
      </c>
      <c r="M56" s="108">
        <f t="shared" si="38"/>
        <v>0</v>
      </c>
      <c r="N56" s="108">
        <f t="shared" si="38"/>
        <v>0</v>
      </c>
      <c r="O56" s="108">
        <f t="shared" si="38"/>
        <v>23297.827374904642</v>
      </c>
      <c r="P56" s="108">
        <f t="shared" si="38"/>
        <v>23297.827374904642</v>
      </c>
      <c r="Q56" s="108">
        <f t="shared" si="38"/>
        <v>23833.677404527447</v>
      </c>
      <c r="R56" s="108">
        <f t="shared" si="38"/>
        <v>24381.851984831574</v>
      </c>
      <c r="S56" s="108">
        <f t="shared" si="38"/>
        <v>24942.6345804827</v>
      </c>
      <c r="T56" s="108">
        <f t="shared" si="38"/>
        <v>25516.315175833799</v>
      </c>
      <c r="U56" s="108">
        <f t="shared" si="38"/>
        <v>26103.190424877976</v>
      </c>
      <c r="V56" s="108">
        <f t="shared" si="38"/>
        <v>26703.563804650166</v>
      </c>
      <c r="W56" s="108">
        <f t="shared" si="38"/>
        <v>27317.745772157119</v>
      </c>
      <c r="X56" s="108">
        <f t="shared" si="38"/>
        <v>27946.05392491673</v>
      </c>
      <c r="Y56" s="108">
        <f t="shared" si="38"/>
        <v>28588.813165189815</v>
      </c>
      <c r="Z56" s="108">
        <f t="shared" si="38"/>
        <v>29246.355867989179</v>
      </c>
      <c r="AA56" s="108">
        <f t="shared" si="36"/>
        <v>29919.022052952925</v>
      </c>
      <c r="AB56" s="108">
        <f t="shared" si="36"/>
        <v>30607.159560170843</v>
      </c>
      <c r="AC56" s="108">
        <f t="shared" si="36"/>
        <v>31311.124230054771</v>
      </c>
      <c r="AD56" s="108">
        <f t="shared" si="36"/>
        <v>32031.280087346026</v>
      </c>
      <c r="AE56" s="143">
        <f t="shared" si="36"/>
        <v>32767.999529354984</v>
      </c>
    </row>
    <row r="57" spans="2:31" outlineLevel="1" x14ac:dyDescent="0.2">
      <c r="B57" s="972"/>
      <c r="C57" s="106" t="s">
        <v>45</v>
      </c>
      <c r="D57" s="110">
        <f t="shared" si="37"/>
        <v>0.529702816547717</v>
      </c>
      <c r="E57" s="110"/>
      <c r="F57" s="110"/>
      <c r="G57" s="110"/>
      <c r="H57" s="110"/>
      <c r="I57" s="110"/>
      <c r="J57" s="110"/>
      <c r="K57" s="108">
        <f t="shared" si="38"/>
        <v>0</v>
      </c>
      <c r="L57" s="108">
        <f t="shared" si="36"/>
        <v>0</v>
      </c>
      <c r="M57" s="108">
        <f t="shared" si="36"/>
        <v>0</v>
      </c>
      <c r="N57" s="108">
        <f t="shared" si="36"/>
        <v>0</v>
      </c>
      <c r="O57" s="108">
        <f t="shared" si="36"/>
        <v>33378.16357912129</v>
      </c>
      <c r="P57" s="108">
        <f t="shared" si="36"/>
        <v>33378.16357912129</v>
      </c>
      <c r="Q57" s="108">
        <f t="shared" si="36"/>
        <v>34145.861341441079</v>
      </c>
      <c r="R57" s="108">
        <f t="shared" si="36"/>
        <v>34931.216152294219</v>
      </c>
      <c r="S57" s="108">
        <f t="shared" si="36"/>
        <v>35734.634123796983</v>
      </c>
      <c r="T57" s="108">
        <f t="shared" si="36"/>
        <v>36556.530708644306</v>
      </c>
      <c r="U57" s="108">
        <f t="shared" si="36"/>
        <v>37397.330914943122</v>
      </c>
      <c r="V57" s="108">
        <f t="shared" si="36"/>
        <v>38257.469525986817</v>
      </c>
      <c r="W57" s="108">
        <f t="shared" si="36"/>
        <v>39137.391325084507</v>
      </c>
      <c r="X57" s="108">
        <f t="shared" si="36"/>
        <v>40037.55132556145</v>
      </c>
      <c r="Y57" s="108">
        <f t="shared" si="36"/>
        <v>40958.415006049363</v>
      </c>
      <c r="Z57" s="108">
        <f t="shared" si="36"/>
        <v>41900.458551188494</v>
      </c>
      <c r="AA57" s="108">
        <f t="shared" si="36"/>
        <v>42864.16909786583</v>
      </c>
      <c r="AB57" s="108">
        <f t="shared" si="36"/>
        <v>43850.044987116737</v>
      </c>
      <c r="AC57" s="108">
        <f t="shared" si="36"/>
        <v>44858.59602182042</v>
      </c>
      <c r="AD57" s="108">
        <f t="shared" si="36"/>
        <v>45890.343730322289</v>
      </c>
      <c r="AE57" s="143">
        <f t="shared" si="36"/>
        <v>46945.821636119697</v>
      </c>
    </row>
    <row r="58" spans="2:31" s="111" customFormat="1" x14ac:dyDescent="0.2">
      <c r="B58" s="972"/>
      <c r="C58" s="117" t="s">
        <v>236</v>
      </c>
      <c r="K58" s="118">
        <f t="shared" ref="K58:AE58" si="39">SUM(K50,K54)</f>
        <v>0</v>
      </c>
      <c r="L58" s="118">
        <f t="shared" si="39"/>
        <v>0</v>
      </c>
      <c r="M58" s="118">
        <f t="shared" si="39"/>
        <v>0</v>
      </c>
      <c r="N58" s="118">
        <f t="shared" si="39"/>
        <v>0</v>
      </c>
      <c r="O58" s="118">
        <f>SUM(O50,O54)</f>
        <v>63013</v>
      </c>
      <c r="P58" s="118">
        <f t="shared" si="39"/>
        <v>64766.65583018399</v>
      </c>
      <c r="Q58" s="118">
        <f t="shared" si="39"/>
        <v>66581.798544160003</v>
      </c>
      <c r="R58" s="118">
        <f t="shared" si="39"/>
        <v>68185.570421842873</v>
      </c>
      <c r="S58" s="118">
        <f t="shared" si="39"/>
        <v>69753.83854154525</v>
      </c>
      <c r="T58" s="118">
        <f t="shared" si="39"/>
        <v>71358.176828000782</v>
      </c>
      <c r="U58" s="118">
        <f t="shared" si="39"/>
        <v>72999.4148950448</v>
      </c>
      <c r="V58" s="118">
        <f t="shared" si="39"/>
        <v>74678.401437630819</v>
      </c>
      <c r="W58" s="118">
        <f t="shared" si="39"/>
        <v>76396.004670696318</v>
      </c>
      <c r="X58" s="118">
        <f t="shared" si="39"/>
        <v>78153.112778122333</v>
      </c>
      <c r="Y58" s="118">
        <f t="shared" si="39"/>
        <v>79950.634372019151</v>
      </c>
      <c r="Z58" s="118">
        <f t="shared" si="39"/>
        <v>81789.498962575584</v>
      </c>
      <c r="AA58" s="118">
        <f t="shared" si="39"/>
        <v>83670.657438714814</v>
      </c>
      <c r="AB58" s="118">
        <f t="shared" si="39"/>
        <v>85595.082559805247</v>
      </c>
      <c r="AC58" s="118">
        <f t="shared" si="39"/>
        <v>87563.769458680763</v>
      </c>
      <c r="AD58" s="118">
        <f t="shared" si="39"/>
        <v>89577.736156230414</v>
      </c>
      <c r="AE58" s="118">
        <f t="shared" si="39"/>
        <v>91638.024087823695</v>
      </c>
    </row>
    <row r="59" spans="2:31" x14ac:dyDescent="0.2">
      <c r="B59" s="972" t="s">
        <v>111</v>
      </c>
      <c r="C59" s="107" t="s">
        <v>233</v>
      </c>
      <c r="K59" s="108">
        <f>SUM(Kigoma!D80:D81)</f>
        <v>0</v>
      </c>
      <c r="L59" s="108">
        <f>SUM(Kigoma!E80:E81)</f>
        <v>0</v>
      </c>
      <c r="M59" s="108">
        <f>SUM(Kigoma!F80:F81)</f>
        <v>0</v>
      </c>
      <c r="N59" s="108">
        <f>SUM(Kigoma!G80:G81)</f>
        <v>0</v>
      </c>
      <c r="O59" s="108">
        <f>SUM(Kigoma!H80:H81)</f>
        <v>0</v>
      </c>
      <c r="P59" s="108">
        <f>SUM(Kigoma!I80:I81)</f>
        <v>194.57377750800001</v>
      </c>
      <c r="Q59" s="108">
        <f>SUM(Kigoma!J80:J81)</f>
        <v>407.14562943548992</v>
      </c>
      <c r="R59" s="108">
        <f>SUM(Kigoma!K80:K81)</f>
        <v>462.78886545834024</v>
      </c>
      <c r="S59" s="108">
        <f>SUM(Kigoma!L80:L81)</f>
        <v>473.43300936388198</v>
      </c>
      <c r="T59" s="108">
        <f>SUM(Kigoma!M80:M81)</f>
        <v>484.32196857925123</v>
      </c>
      <c r="U59" s="108">
        <f>SUM(Kigoma!N80:N81)</f>
        <v>495.46137385657403</v>
      </c>
      <c r="V59" s="108">
        <f>SUM(Kigoma!O80:O81)</f>
        <v>506.85698545527509</v>
      </c>
      <c r="W59" s="108">
        <f>SUM(Kigoma!P80:P81)</f>
        <v>518.51469612074641</v>
      </c>
      <c r="X59" s="108">
        <f>SUM(Kigoma!Q80:Q81)</f>
        <v>530.44053413152346</v>
      </c>
      <c r="Y59" s="108">
        <f>SUM(Kigoma!R80:R81)</f>
        <v>542.64066641654847</v>
      </c>
      <c r="Z59" s="108">
        <f>SUM(Kigoma!S80:S81)</f>
        <v>555.121401744129</v>
      </c>
      <c r="AA59" s="108">
        <f>SUM(Kigoma!T80:T81)</f>
        <v>567.889193984244</v>
      </c>
      <c r="AB59" s="108">
        <f>SUM(Kigoma!U80:U81)</f>
        <v>580.95064544588149</v>
      </c>
      <c r="AC59" s="108">
        <f>SUM(Kigoma!V80:V81)</f>
        <v>594.31251029113673</v>
      </c>
      <c r="AD59" s="108">
        <f>SUM(Kigoma!W80:W81)</f>
        <v>607.98169802783275</v>
      </c>
      <c r="AE59" s="143">
        <f>SUM(Kigoma!X80:X81)</f>
        <v>621.96527708247288</v>
      </c>
    </row>
    <row r="60" spans="2:31" outlineLevel="1" x14ac:dyDescent="0.2">
      <c r="B60" s="972"/>
      <c r="C60" s="106" t="s">
        <v>10</v>
      </c>
      <c r="D60" s="109">
        <f>Kigoma!D69/Kigoma!F70</f>
        <v>2.776036971260383E-2</v>
      </c>
      <c r="E60" s="109"/>
      <c r="F60" s="109"/>
      <c r="G60" s="109"/>
      <c r="H60" s="109"/>
      <c r="I60" s="109"/>
      <c r="J60" s="109"/>
      <c r="K60" s="108">
        <f>$D60*K$59</f>
        <v>0</v>
      </c>
      <c r="L60" s="108">
        <f t="shared" ref="L60:AE62" si="40">$D60*L$59</f>
        <v>0</v>
      </c>
      <c r="M60" s="108">
        <f t="shared" si="40"/>
        <v>0</v>
      </c>
      <c r="N60" s="108">
        <f t="shared" si="40"/>
        <v>0</v>
      </c>
      <c r="O60" s="108">
        <f t="shared" si="40"/>
        <v>0</v>
      </c>
      <c r="P60" s="108">
        <f t="shared" si="40"/>
        <v>5.40144</v>
      </c>
      <c r="Q60" s="108">
        <f t="shared" si="40"/>
        <v>11.302513199999996</v>
      </c>
      <c r="R60" s="108">
        <f t="shared" si="40"/>
        <v>12.847190003999998</v>
      </c>
      <c r="S60" s="108">
        <f t="shared" si="40"/>
        <v>13.142675374091995</v>
      </c>
      <c r="T60" s="108">
        <f t="shared" si="40"/>
        <v>13.44495690769611</v>
      </c>
      <c r="U60" s="108">
        <f t="shared" si="40"/>
        <v>13.754190916573121</v>
      </c>
      <c r="V60" s="108">
        <f t="shared" si="40"/>
        <v>14.070537307654298</v>
      </c>
      <c r="W60" s="108">
        <f t="shared" si="40"/>
        <v>14.394159665730347</v>
      </c>
      <c r="X60" s="108">
        <f t="shared" si="40"/>
        <v>14.725225338042142</v>
      </c>
      <c r="Y60" s="108">
        <f t="shared" si="40"/>
        <v>15.06390552081711</v>
      </c>
      <c r="Z60" s="108">
        <f t="shared" si="40"/>
        <v>15.410375347795902</v>
      </c>
      <c r="AA60" s="108">
        <f t="shared" si="40"/>
        <v>15.764813980795209</v>
      </c>
      <c r="AB60" s="108">
        <f t="shared" si="40"/>
        <v>16.127404702353495</v>
      </c>
      <c r="AC60" s="108">
        <f t="shared" si="40"/>
        <v>16.498335010507624</v>
      </c>
      <c r="AD60" s="108">
        <f t="shared" si="40"/>
        <v>16.877796715749295</v>
      </c>
      <c r="AE60" s="143">
        <f t="shared" si="40"/>
        <v>17.26598604021153</v>
      </c>
    </row>
    <row r="61" spans="2:31" outlineLevel="1" x14ac:dyDescent="0.2">
      <c r="B61" s="972"/>
      <c r="C61" s="106" t="s">
        <v>44</v>
      </c>
      <c r="D61" s="109">
        <f>Kigoma!E69/Kigoma!F70</f>
        <v>0.3470046214075479</v>
      </c>
      <c r="E61" s="109"/>
      <c r="F61" s="109"/>
      <c r="G61" s="109"/>
      <c r="H61" s="109"/>
      <c r="I61" s="109"/>
      <c r="J61" s="109"/>
      <c r="K61" s="108">
        <f t="shared" ref="K61:Z62" si="41">$D61*K$59</f>
        <v>0</v>
      </c>
      <c r="L61" s="108">
        <f t="shared" si="41"/>
        <v>0</v>
      </c>
      <c r="M61" s="108">
        <f t="shared" si="41"/>
        <v>0</v>
      </c>
      <c r="N61" s="108">
        <f t="shared" si="41"/>
        <v>0</v>
      </c>
      <c r="O61" s="108">
        <f t="shared" si="41"/>
        <v>0</v>
      </c>
      <c r="P61" s="108">
        <f t="shared" si="41"/>
        <v>67.518000000000001</v>
      </c>
      <c r="Q61" s="108">
        <f t="shared" si="41"/>
        <v>141.28141499999998</v>
      </c>
      <c r="R61" s="108">
        <f t="shared" si="41"/>
        <v>160.58987504999999</v>
      </c>
      <c r="S61" s="108">
        <f t="shared" si="41"/>
        <v>164.28344217614995</v>
      </c>
      <c r="T61" s="108">
        <f t="shared" si="41"/>
        <v>168.06196134620137</v>
      </c>
      <c r="U61" s="108">
        <f t="shared" si="41"/>
        <v>171.92738645716403</v>
      </c>
      <c r="V61" s="108">
        <f t="shared" si="41"/>
        <v>175.88171634567874</v>
      </c>
      <c r="W61" s="108">
        <f t="shared" si="41"/>
        <v>179.92699582162936</v>
      </c>
      <c r="X61" s="108">
        <f t="shared" si="41"/>
        <v>184.0653167255268</v>
      </c>
      <c r="Y61" s="108">
        <f t="shared" si="41"/>
        <v>188.29881901021389</v>
      </c>
      <c r="Z61" s="108">
        <f t="shared" si="41"/>
        <v>192.62969184744878</v>
      </c>
      <c r="AA61" s="108">
        <f t="shared" si="40"/>
        <v>197.06017475994011</v>
      </c>
      <c r="AB61" s="108">
        <f t="shared" si="40"/>
        <v>201.59255877941871</v>
      </c>
      <c r="AC61" s="108">
        <f t="shared" si="40"/>
        <v>206.22918763134533</v>
      </c>
      <c r="AD61" s="108">
        <f t="shared" si="40"/>
        <v>210.97245894686623</v>
      </c>
      <c r="AE61" s="143">
        <f t="shared" si="40"/>
        <v>215.82482550264413</v>
      </c>
    </row>
    <row r="62" spans="2:31" outlineLevel="1" x14ac:dyDescent="0.2">
      <c r="B62" s="972"/>
      <c r="C62" s="106" t="s">
        <v>45</v>
      </c>
      <c r="D62" s="109">
        <f>Kigoma!F69/Kigoma!F70</f>
        <v>0.62523500887984829</v>
      </c>
      <c r="E62" s="109"/>
      <c r="F62" s="109"/>
      <c r="G62" s="109"/>
      <c r="H62" s="109"/>
      <c r="I62" s="109"/>
      <c r="J62" s="109"/>
      <c r="K62" s="108">
        <f t="shared" si="41"/>
        <v>0</v>
      </c>
      <c r="L62" s="108">
        <f t="shared" si="40"/>
        <v>0</v>
      </c>
      <c r="M62" s="108">
        <f t="shared" si="40"/>
        <v>0</v>
      </c>
      <c r="N62" s="108">
        <f t="shared" si="40"/>
        <v>0</v>
      </c>
      <c r="O62" s="108">
        <f t="shared" si="40"/>
        <v>0</v>
      </c>
      <c r="P62" s="108">
        <f t="shared" si="40"/>
        <v>121.65433750800001</v>
      </c>
      <c r="Q62" s="108">
        <f t="shared" si="40"/>
        <v>254.56170123548995</v>
      </c>
      <c r="R62" s="108">
        <f t="shared" si="40"/>
        <v>289.35180040434028</v>
      </c>
      <c r="S62" s="108">
        <f t="shared" si="40"/>
        <v>296.00689181364004</v>
      </c>
      <c r="T62" s="108">
        <f t="shared" si="40"/>
        <v>302.81505032535375</v>
      </c>
      <c r="U62" s="108">
        <f t="shared" si="40"/>
        <v>309.7797964828369</v>
      </c>
      <c r="V62" s="108">
        <f t="shared" si="40"/>
        <v>316.90473180194203</v>
      </c>
      <c r="W62" s="108">
        <f t="shared" si="40"/>
        <v>324.1935406333867</v>
      </c>
      <c r="X62" s="108">
        <f t="shared" si="40"/>
        <v>331.64999206795454</v>
      </c>
      <c r="Y62" s="108">
        <f t="shared" si="40"/>
        <v>339.27794188551746</v>
      </c>
      <c r="Z62" s="108">
        <f t="shared" si="40"/>
        <v>347.08133454888434</v>
      </c>
      <c r="AA62" s="108">
        <f t="shared" si="40"/>
        <v>355.0642052435087</v>
      </c>
      <c r="AB62" s="108">
        <f t="shared" si="40"/>
        <v>363.23068196410929</v>
      </c>
      <c r="AC62" s="108">
        <f t="shared" si="40"/>
        <v>371.58498764928379</v>
      </c>
      <c r="AD62" s="108">
        <f t="shared" si="40"/>
        <v>380.13144236521725</v>
      </c>
      <c r="AE62" s="143">
        <f t="shared" si="40"/>
        <v>388.87446553961723</v>
      </c>
    </row>
    <row r="63" spans="2:31" x14ac:dyDescent="0.2">
      <c r="B63" s="972"/>
      <c r="C63" s="107" t="s">
        <v>234</v>
      </c>
      <c r="K63" s="108">
        <f>Kigoma!D112-Kigoma!D81</f>
        <v>0</v>
      </c>
      <c r="L63" s="108">
        <f>Kigoma!E112-Kigoma!E81</f>
        <v>0</v>
      </c>
      <c r="M63" s="108">
        <f>Kigoma!F112-Kigoma!F81</f>
        <v>0</v>
      </c>
      <c r="N63" s="108">
        <f>Kigoma!G112-Kigoma!G81</f>
        <v>0</v>
      </c>
      <c r="O63" s="108">
        <f>Kigoma!H112-Kigoma!H81</f>
        <v>0</v>
      </c>
      <c r="P63" s="108">
        <f>Kigoma!I112-Kigoma!I81</f>
        <v>0</v>
      </c>
      <c r="Q63" s="108">
        <f>Kigoma!J112-Kigoma!J81</f>
        <v>0</v>
      </c>
      <c r="R63" s="108">
        <f>Kigoma!K112-Kigoma!K81</f>
        <v>0</v>
      </c>
      <c r="S63" s="108">
        <f>Kigoma!L112-Kigoma!L81</f>
        <v>0</v>
      </c>
      <c r="T63" s="108">
        <f>Kigoma!M112-Kigoma!M81</f>
        <v>0</v>
      </c>
      <c r="U63" s="108">
        <f>Kigoma!N112-Kigoma!N81</f>
        <v>0</v>
      </c>
      <c r="V63" s="108">
        <f>Kigoma!O112-Kigoma!O81</f>
        <v>0</v>
      </c>
      <c r="W63" s="108">
        <f>Kigoma!P112-Kigoma!P81</f>
        <v>0</v>
      </c>
      <c r="X63" s="108">
        <f>Kigoma!Q112-Kigoma!Q81</f>
        <v>0</v>
      </c>
      <c r="Y63" s="108">
        <f>Kigoma!R112-Kigoma!R81</f>
        <v>0</v>
      </c>
      <c r="Z63" s="108">
        <f>Kigoma!S112-Kigoma!S81</f>
        <v>0</v>
      </c>
      <c r="AA63" s="108">
        <f>Kigoma!T112-Kigoma!T81</f>
        <v>0</v>
      </c>
      <c r="AB63" s="108">
        <f>Kigoma!U112-Kigoma!U81</f>
        <v>0</v>
      </c>
      <c r="AC63" s="108">
        <f>Kigoma!V112-Kigoma!V81</f>
        <v>0</v>
      </c>
      <c r="AD63" s="108">
        <f>Kigoma!W112-Kigoma!W81</f>
        <v>0</v>
      </c>
      <c r="AE63" s="108">
        <f>Kigoma!X112-Kigoma!X81</f>
        <v>0</v>
      </c>
    </row>
    <row r="64" spans="2:31" outlineLevel="1" x14ac:dyDescent="0.2">
      <c r="B64" s="972"/>
      <c r="C64" s="106" t="s">
        <v>10</v>
      </c>
      <c r="D64" s="110">
        <f>D60</f>
        <v>2.776036971260383E-2</v>
      </c>
      <c r="E64" s="110"/>
      <c r="F64" s="110"/>
      <c r="G64" s="110"/>
      <c r="H64" s="110"/>
      <c r="I64" s="110"/>
      <c r="J64" s="110"/>
      <c r="K64" s="108">
        <v>0</v>
      </c>
      <c r="L64" s="108">
        <v>0</v>
      </c>
      <c r="M64" s="108">
        <v>0</v>
      </c>
      <c r="N64" s="108">
        <v>0</v>
      </c>
      <c r="O64" s="108">
        <v>0</v>
      </c>
      <c r="P64" s="108">
        <v>0</v>
      </c>
      <c r="Q64" s="108">
        <v>0</v>
      </c>
      <c r="R64" s="108">
        <v>0</v>
      </c>
      <c r="S64" s="108">
        <v>0</v>
      </c>
      <c r="T64" s="108">
        <v>0</v>
      </c>
      <c r="U64" s="108">
        <v>0</v>
      </c>
      <c r="V64" s="108">
        <v>0</v>
      </c>
      <c r="W64" s="108">
        <v>0</v>
      </c>
      <c r="X64" s="108">
        <v>0</v>
      </c>
      <c r="Y64" s="108">
        <v>0</v>
      </c>
      <c r="Z64" s="108">
        <v>0</v>
      </c>
      <c r="AA64" s="108">
        <v>0</v>
      </c>
      <c r="AB64" s="108">
        <v>0</v>
      </c>
      <c r="AC64" s="108">
        <v>0</v>
      </c>
      <c r="AD64" s="108">
        <v>0</v>
      </c>
      <c r="AE64" s="143">
        <v>0</v>
      </c>
    </row>
    <row r="65" spans="2:36" outlineLevel="1" x14ac:dyDescent="0.2">
      <c r="B65" s="972"/>
      <c r="C65" s="106" t="s">
        <v>44</v>
      </c>
      <c r="D65" s="110">
        <f t="shared" ref="D65:D66" si="42">D61</f>
        <v>0.3470046214075479</v>
      </c>
      <c r="E65" s="110"/>
      <c r="F65" s="110"/>
      <c r="G65" s="110"/>
      <c r="H65" s="110"/>
      <c r="I65" s="110"/>
      <c r="J65" s="110"/>
      <c r="K65" s="108">
        <v>0</v>
      </c>
      <c r="L65" s="108">
        <v>0</v>
      </c>
      <c r="M65" s="108">
        <v>0</v>
      </c>
      <c r="N65" s="108">
        <v>0</v>
      </c>
      <c r="O65" s="108">
        <v>0</v>
      </c>
      <c r="P65" s="108">
        <v>0</v>
      </c>
      <c r="Q65" s="108">
        <v>0</v>
      </c>
      <c r="R65" s="108">
        <v>0</v>
      </c>
      <c r="S65" s="108">
        <v>0</v>
      </c>
      <c r="T65" s="108">
        <v>0</v>
      </c>
      <c r="U65" s="108">
        <v>0</v>
      </c>
      <c r="V65" s="108">
        <v>0</v>
      </c>
      <c r="W65" s="108">
        <v>0</v>
      </c>
      <c r="X65" s="108">
        <v>0</v>
      </c>
      <c r="Y65" s="108">
        <v>0</v>
      </c>
      <c r="Z65" s="108">
        <v>0</v>
      </c>
      <c r="AA65" s="108">
        <v>0</v>
      </c>
      <c r="AB65" s="108">
        <v>0</v>
      </c>
      <c r="AC65" s="108">
        <v>0</v>
      </c>
      <c r="AD65" s="108">
        <v>0</v>
      </c>
      <c r="AE65" s="143">
        <v>0</v>
      </c>
    </row>
    <row r="66" spans="2:36" outlineLevel="1" x14ac:dyDescent="0.2">
      <c r="B66" s="972"/>
      <c r="C66" s="106" t="s">
        <v>45</v>
      </c>
      <c r="D66" s="110">
        <f t="shared" si="42"/>
        <v>0.62523500887984829</v>
      </c>
      <c r="E66" s="110"/>
      <c r="F66" s="110"/>
      <c r="G66" s="110"/>
      <c r="H66" s="110"/>
      <c r="I66" s="110"/>
      <c r="J66" s="110"/>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0</v>
      </c>
      <c r="AA66" s="108">
        <v>0</v>
      </c>
      <c r="AB66" s="108">
        <v>0</v>
      </c>
      <c r="AC66" s="108">
        <v>0</v>
      </c>
      <c r="AD66" s="108">
        <v>0</v>
      </c>
      <c r="AE66" s="143">
        <v>0</v>
      </c>
    </row>
    <row r="67" spans="2:36" s="111" customFormat="1" x14ac:dyDescent="0.2">
      <c r="B67" s="972"/>
      <c r="C67" s="117" t="s">
        <v>236</v>
      </c>
      <c r="K67" s="118">
        <f t="shared" ref="K67:AE67" si="43">SUM(K59,K63)</f>
        <v>0</v>
      </c>
      <c r="L67" s="118">
        <f t="shared" si="43"/>
        <v>0</v>
      </c>
      <c r="M67" s="118">
        <f t="shared" si="43"/>
        <v>0</v>
      </c>
      <c r="N67" s="118">
        <f t="shared" si="43"/>
        <v>0</v>
      </c>
      <c r="O67" s="118">
        <f>SUM(O59,O63)</f>
        <v>0</v>
      </c>
      <c r="P67" s="118">
        <f t="shared" si="43"/>
        <v>194.57377750800001</v>
      </c>
      <c r="Q67" s="118">
        <f t="shared" si="43"/>
        <v>407.14562943548992</v>
      </c>
      <c r="R67" s="118">
        <f t="shared" si="43"/>
        <v>462.78886545834024</v>
      </c>
      <c r="S67" s="118">
        <f t="shared" si="43"/>
        <v>473.43300936388198</v>
      </c>
      <c r="T67" s="118">
        <f t="shared" si="43"/>
        <v>484.32196857925123</v>
      </c>
      <c r="U67" s="118">
        <f t="shared" si="43"/>
        <v>495.46137385657403</v>
      </c>
      <c r="V67" s="118">
        <f t="shared" si="43"/>
        <v>506.85698545527509</v>
      </c>
      <c r="W67" s="118">
        <f t="shared" si="43"/>
        <v>518.51469612074641</v>
      </c>
      <c r="X67" s="118">
        <f t="shared" si="43"/>
        <v>530.44053413152346</v>
      </c>
      <c r="Y67" s="118">
        <f t="shared" si="43"/>
        <v>542.64066641654847</v>
      </c>
      <c r="Z67" s="118">
        <f t="shared" si="43"/>
        <v>555.121401744129</v>
      </c>
      <c r="AA67" s="118">
        <f t="shared" si="43"/>
        <v>567.889193984244</v>
      </c>
      <c r="AB67" s="118">
        <f t="shared" si="43"/>
        <v>580.95064544588149</v>
      </c>
      <c r="AC67" s="118">
        <f t="shared" si="43"/>
        <v>594.31251029113673</v>
      </c>
      <c r="AD67" s="118">
        <f t="shared" si="43"/>
        <v>607.98169802783275</v>
      </c>
      <c r="AE67" s="118">
        <f t="shared" si="43"/>
        <v>621.96527708247288</v>
      </c>
    </row>
    <row r="68" spans="2:36" s="111" customFormat="1" x14ac:dyDescent="0.2">
      <c r="B68" s="973" t="s">
        <v>306</v>
      </c>
      <c r="C68" s="973"/>
      <c r="K68" s="118">
        <f>SUM(K13,K22,K31,K40,K49,K58,K67)</f>
        <v>0</v>
      </c>
      <c r="L68" s="118">
        <f t="shared" ref="L68:AE68" si="44">SUM(L13,L22,L31,L40,L49,L58,L67)</f>
        <v>0</v>
      </c>
      <c r="M68" s="118">
        <f t="shared" si="44"/>
        <v>0</v>
      </c>
      <c r="N68" s="118">
        <f t="shared" si="44"/>
        <v>0</v>
      </c>
      <c r="O68" s="118">
        <f>SUM(O13,O22,O31,O40,O49,O58,O67)</f>
        <v>287196</v>
      </c>
      <c r="P68" s="118">
        <f t="shared" si="44"/>
        <v>297776.59662603593</v>
      </c>
      <c r="Q68" s="118">
        <f t="shared" si="44"/>
        <v>308876.81563398027</v>
      </c>
      <c r="R68" s="118">
        <f t="shared" si="44"/>
        <v>316926.44728554285</v>
      </c>
      <c r="S68" s="118">
        <f t="shared" si="44"/>
        <v>324215.75557311036</v>
      </c>
      <c r="T68" s="118">
        <f t="shared" si="44"/>
        <v>331672.71795129188</v>
      </c>
      <c r="U68" s="118">
        <f t="shared" si="44"/>
        <v>339301.19046417158</v>
      </c>
      <c r="V68" s="118">
        <f t="shared" si="44"/>
        <v>347105.11784484744</v>
      </c>
      <c r="W68" s="118">
        <f t="shared" si="44"/>
        <v>357443.29664667329</v>
      </c>
      <c r="X68" s="118">
        <f t="shared" si="44"/>
        <v>365664.49246954679</v>
      </c>
      <c r="Y68" s="118">
        <f t="shared" si="44"/>
        <v>374074.77579634625</v>
      </c>
      <c r="Z68" s="118">
        <f t="shared" si="44"/>
        <v>382678.4956396622</v>
      </c>
      <c r="AA68" s="118">
        <f t="shared" si="44"/>
        <v>391480.10103937448</v>
      </c>
      <c r="AB68" s="118">
        <f t="shared" si="44"/>
        <v>400484.14336327999</v>
      </c>
      <c r="AC68" s="118">
        <f t="shared" si="44"/>
        <v>409695.27866063535</v>
      </c>
      <c r="AD68" s="118">
        <f t="shared" si="44"/>
        <v>419118.27006983</v>
      </c>
      <c r="AE68" s="145">
        <f t="shared" si="44"/>
        <v>428757.99028143601</v>
      </c>
      <c r="AG68" s="255" t="e">
        <f>SUM(#REF!,#REF!,#REF!,#REF!,#REF!,#REF!,#REF!)</f>
        <v>#REF!</v>
      </c>
    </row>
    <row r="70" spans="2:36" x14ac:dyDescent="0.2">
      <c r="B70" s="120" t="s">
        <v>237</v>
      </c>
      <c r="D70" s="236" t="s">
        <v>238</v>
      </c>
      <c r="E70" s="111"/>
      <c r="F70" s="111"/>
      <c r="G70" s="111"/>
      <c r="H70" s="111"/>
      <c r="I70" s="111"/>
      <c r="J70" s="111"/>
    </row>
    <row r="71" spans="2:36" x14ac:dyDescent="0.2">
      <c r="B71" s="112" t="s">
        <v>34</v>
      </c>
      <c r="D71" s="113">
        <v>4.7</v>
      </c>
      <c r="E71" s="113"/>
      <c r="F71" s="113"/>
      <c r="G71" s="113"/>
      <c r="H71" s="113"/>
      <c r="I71" s="113"/>
      <c r="J71" s="113"/>
      <c r="K71" s="121">
        <f>$D71*SUM(K7:K8,K11:K12)</f>
        <v>0</v>
      </c>
      <c r="L71" s="121">
        <f>$D71*SUM(L7:L8,L11:L12)</f>
        <v>0</v>
      </c>
      <c r="M71" s="121">
        <f t="shared" ref="M71:AE71" si="45">$D71*SUM(M7:M8,M11:M12)</f>
        <v>0</v>
      </c>
      <c r="N71" s="121">
        <f t="shared" si="45"/>
        <v>0</v>
      </c>
      <c r="O71" s="253">
        <f>$D71*SUM(O7:O8,O11:O12)</f>
        <v>223521.23302994156</v>
      </c>
      <c r="P71" s="121">
        <f t="shared" si="45"/>
        <v>230706.26747927183</v>
      </c>
      <c r="Q71" s="121">
        <f t="shared" si="45"/>
        <v>238198.61892416675</v>
      </c>
      <c r="R71" s="121">
        <f t="shared" si="45"/>
        <v>244163.35841172852</v>
      </c>
      <c r="S71" s="121">
        <f t="shared" si="45"/>
        <v>249779.11565519829</v>
      </c>
      <c r="T71" s="121">
        <f t="shared" si="45"/>
        <v>255524.03531526783</v>
      </c>
      <c r="U71" s="121">
        <f t="shared" si="45"/>
        <v>261401.088127519</v>
      </c>
      <c r="V71" s="121">
        <f t="shared" si="45"/>
        <v>267413.3131544519</v>
      </c>
      <c r="W71" s="121">
        <f t="shared" si="45"/>
        <v>273563.81935700425</v>
      </c>
      <c r="X71" s="121">
        <f t="shared" si="45"/>
        <v>279855.78720221529</v>
      </c>
      <c r="Y71" s="139">
        <f>$D71*SUM(Y7:Y8,Y11:Y12)</f>
        <v>286292.47030786623</v>
      </c>
      <c r="Z71" s="121">
        <f t="shared" si="45"/>
        <v>292877.19712494715</v>
      </c>
      <c r="AA71" s="121">
        <f t="shared" si="45"/>
        <v>299613.37265882094</v>
      </c>
      <c r="AB71" s="121">
        <f t="shared" si="45"/>
        <v>306504.48022997373</v>
      </c>
      <c r="AC71" s="121">
        <f t="shared" si="45"/>
        <v>313554.08327526308</v>
      </c>
      <c r="AD71" s="121">
        <f t="shared" si="45"/>
        <v>320765.82719059405</v>
      </c>
      <c r="AE71" s="124">
        <f t="shared" si="45"/>
        <v>328143.44121597771</v>
      </c>
      <c r="AH71" s="107" t="s">
        <v>75</v>
      </c>
      <c r="AI71" s="107" t="s">
        <v>129</v>
      </c>
      <c r="AJ71" s="107" t="s">
        <v>0</v>
      </c>
    </row>
    <row r="72" spans="2:36" x14ac:dyDescent="0.2">
      <c r="B72" s="112" t="s">
        <v>35</v>
      </c>
      <c r="D72" s="113">
        <v>4.5999999999999996</v>
      </c>
      <c r="E72" s="113"/>
      <c r="F72" s="113"/>
      <c r="G72" s="113"/>
      <c r="H72" s="113"/>
      <c r="I72" s="113"/>
      <c r="J72" s="113"/>
      <c r="K72" s="121">
        <f>$D72*SUM(K16:K17,K20:K21)</f>
        <v>0</v>
      </c>
      <c r="L72" s="121">
        <f t="shared" ref="L72:AE72" si="46">$D72*SUM(L16:L17,L20:L21)</f>
        <v>0</v>
      </c>
      <c r="M72" s="121">
        <f t="shared" si="46"/>
        <v>0</v>
      </c>
      <c r="N72" s="121">
        <f t="shared" si="46"/>
        <v>0</v>
      </c>
      <c r="O72" s="253">
        <f>$D72*SUM(O16:O17,O20:O21)</f>
        <v>135577.43417103819</v>
      </c>
      <c r="P72" s="121">
        <f t="shared" si="46"/>
        <v>145380.47862332885</v>
      </c>
      <c r="Q72" s="121">
        <f t="shared" si="46"/>
        <v>155873.58415893404</v>
      </c>
      <c r="R72" s="121">
        <f t="shared" si="46"/>
        <v>161048.63087315377</v>
      </c>
      <c r="S72" s="121">
        <f t="shared" si="46"/>
        <v>164752.74938323634</v>
      </c>
      <c r="T72" s="121">
        <f t="shared" si="46"/>
        <v>168542.06261905073</v>
      </c>
      <c r="U72" s="121">
        <f t="shared" si="46"/>
        <v>172418.53005928893</v>
      </c>
      <c r="V72" s="121">
        <f t="shared" si="46"/>
        <v>176384.15625065248</v>
      </c>
      <c r="W72" s="121">
        <f t="shared" si="46"/>
        <v>180440.9918444175</v>
      </c>
      <c r="X72" s="121">
        <f t="shared" si="46"/>
        <v>184591.1346568391</v>
      </c>
      <c r="Y72" s="121">
        <f t="shared" si="46"/>
        <v>188836.73075394638</v>
      </c>
      <c r="Z72" s="121">
        <f t="shared" si="46"/>
        <v>193179.97556128714</v>
      </c>
      <c r="AA72" s="121">
        <f t="shared" si="46"/>
        <v>197623.11499919675</v>
      </c>
      <c r="AB72" s="121">
        <f t="shared" si="46"/>
        <v>202168.44664417824</v>
      </c>
      <c r="AC72" s="121">
        <f t="shared" si="46"/>
        <v>206818.32091699436</v>
      </c>
      <c r="AD72" s="121">
        <f t="shared" si="46"/>
        <v>211575.14229808521</v>
      </c>
      <c r="AE72" s="124">
        <f t="shared" si="46"/>
        <v>216441.37057094116</v>
      </c>
      <c r="AG72" s="107" t="s">
        <v>34</v>
      </c>
      <c r="AH72" s="107">
        <v>5429.0456551951011</v>
      </c>
      <c r="AI72" s="107">
        <v>21137.950071809566</v>
      </c>
      <c r="AJ72" s="107">
        <v>26566.995727004665</v>
      </c>
    </row>
    <row r="73" spans="2:36" x14ac:dyDescent="0.2">
      <c r="B73" s="112" t="s">
        <v>36</v>
      </c>
      <c r="D73" s="113">
        <v>4.4000000000000004</v>
      </c>
      <c r="E73" s="113"/>
      <c r="F73" s="113"/>
      <c r="G73" s="113"/>
      <c r="H73" s="113"/>
      <c r="I73" s="113"/>
      <c r="J73" s="113"/>
      <c r="K73" s="121">
        <f>$D73*SUM(K25:K26,K29:K30)</f>
        <v>0</v>
      </c>
      <c r="L73" s="121">
        <f t="shared" ref="L73:AE73" si="47">$D73*SUM(L25:L26,L29:L30)</f>
        <v>0</v>
      </c>
      <c r="M73" s="121">
        <f t="shared" si="47"/>
        <v>0</v>
      </c>
      <c r="N73" s="121">
        <f t="shared" si="47"/>
        <v>0</v>
      </c>
      <c r="O73" s="121">
        <f t="shared" si="47"/>
        <v>181953.85223131347</v>
      </c>
      <c r="P73" s="121">
        <f t="shared" si="47"/>
        <v>189531.62760590247</v>
      </c>
      <c r="Q73" s="121">
        <f t="shared" si="47"/>
        <v>197519.49396984922</v>
      </c>
      <c r="R73" s="121">
        <f t="shared" si="47"/>
        <v>202869.4200755858</v>
      </c>
      <c r="S73" s="121">
        <f t="shared" si="47"/>
        <v>207535.41673732424</v>
      </c>
      <c r="T73" s="121">
        <f t="shared" si="47"/>
        <v>212308.73132228266</v>
      </c>
      <c r="U73" s="121">
        <f t="shared" si="47"/>
        <v>217191.83214269514</v>
      </c>
      <c r="V73" s="121">
        <f t="shared" si="47"/>
        <v>222187.24428197709</v>
      </c>
      <c r="W73" s="121">
        <f t="shared" si="47"/>
        <v>227297.55090046258</v>
      </c>
      <c r="X73" s="121">
        <f t="shared" si="47"/>
        <v>232525.39457117321</v>
      </c>
      <c r="Y73" s="121">
        <f t="shared" si="47"/>
        <v>237873.47864631016</v>
      </c>
      <c r="Z73" s="121">
        <f t="shared" si="47"/>
        <v>243344.56865517524</v>
      </c>
      <c r="AA73" s="121">
        <f t="shared" si="47"/>
        <v>248941.49373424429</v>
      </c>
      <c r="AB73" s="121">
        <f t="shared" si="47"/>
        <v>254667.14809013187</v>
      </c>
      <c r="AC73" s="121">
        <f t="shared" si="47"/>
        <v>260524.49249620488</v>
      </c>
      <c r="AD73" s="121">
        <f t="shared" si="47"/>
        <v>266516.55582361761</v>
      </c>
      <c r="AE73" s="124">
        <f t="shared" si="47"/>
        <v>272646.43660756078</v>
      </c>
      <c r="AG73" s="107" t="s">
        <v>35</v>
      </c>
      <c r="AH73" s="107">
        <v>16197.177435649808</v>
      </c>
      <c r="AI73" s="107">
        <v>12075.301295910358</v>
      </c>
      <c r="AJ73" s="107">
        <v>28272.478731560164</v>
      </c>
    </row>
    <row r="74" spans="2:36" x14ac:dyDescent="0.2">
      <c r="B74" s="112" t="s">
        <v>37</v>
      </c>
      <c r="D74" s="113">
        <v>4.2</v>
      </c>
      <c r="E74" s="113"/>
      <c r="F74" s="113"/>
      <c r="G74" s="113"/>
      <c r="H74" s="113"/>
      <c r="I74" s="113"/>
      <c r="J74" s="113"/>
      <c r="K74" s="121">
        <f>$D74*SUM(K34:K35,K38:K39)</f>
        <v>0</v>
      </c>
      <c r="L74" s="121">
        <f t="shared" ref="L74:AE74" si="48">$D74*SUM(L34:L35,L38:L39)</f>
        <v>0</v>
      </c>
      <c r="M74" s="121">
        <f t="shared" si="48"/>
        <v>0</v>
      </c>
      <c r="N74" s="121">
        <f t="shared" si="48"/>
        <v>0</v>
      </c>
      <c r="O74" s="121">
        <f t="shared" si="48"/>
        <v>153097.46157128661</v>
      </c>
      <c r="P74" s="121">
        <f t="shared" si="48"/>
        <v>158216.30402974054</v>
      </c>
      <c r="Q74" s="121">
        <f t="shared" si="48"/>
        <v>163563.91312327984</v>
      </c>
      <c r="R74" s="121">
        <f t="shared" si="48"/>
        <v>167705.86849145763</v>
      </c>
      <c r="S74" s="121">
        <f t="shared" si="48"/>
        <v>171563.10346676115</v>
      </c>
      <c r="T74" s="121">
        <f t="shared" si="48"/>
        <v>175509.05484649667</v>
      </c>
      <c r="U74" s="121">
        <f t="shared" si="48"/>
        <v>179545.76310796605</v>
      </c>
      <c r="V74" s="121">
        <f t="shared" si="48"/>
        <v>183675.31565944926</v>
      </c>
      <c r="W74" s="121">
        <f t="shared" si="48"/>
        <v>187899.84791961662</v>
      </c>
      <c r="X74" s="121">
        <f t="shared" si="48"/>
        <v>192221.54442176773</v>
      </c>
      <c r="Y74" s="121">
        <f t="shared" si="48"/>
        <v>196642.63994346841</v>
      </c>
      <c r="Z74" s="121">
        <f t="shared" si="48"/>
        <v>201165.42066216815</v>
      </c>
      <c r="AA74" s="121">
        <f t="shared" si="48"/>
        <v>205792.22533739798</v>
      </c>
      <c r="AB74" s="121">
        <f t="shared" si="48"/>
        <v>210525.44652015812</v>
      </c>
      <c r="AC74" s="121">
        <f t="shared" si="48"/>
        <v>215367.53179012175</v>
      </c>
      <c r="AD74" s="121">
        <f t="shared" si="48"/>
        <v>220320.9850212945</v>
      </c>
      <c r="AE74" s="124">
        <f t="shared" si="48"/>
        <v>225388.36767678426</v>
      </c>
      <c r="AG74" s="107" t="s">
        <v>36</v>
      </c>
      <c r="AH74" s="107">
        <v>10292.872450506335</v>
      </c>
      <c r="AI74" s="107">
        <v>10937.019323378176</v>
      </c>
      <c r="AJ74" s="107">
        <v>21229.891773884512</v>
      </c>
    </row>
    <row r="75" spans="2:36" x14ac:dyDescent="0.2">
      <c r="B75" s="112" t="s">
        <v>38</v>
      </c>
      <c r="D75" s="113">
        <v>5.7</v>
      </c>
      <c r="E75" s="113"/>
      <c r="F75" s="113"/>
      <c r="G75" s="113"/>
      <c r="H75" s="113"/>
      <c r="I75" s="113"/>
      <c r="J75" s="113"/>
      <c r="K75" s="121">
        <f>$D75*SUM(K43:K44,K47:K48)</f>
        <v>0</v>
      </c>
      <c r="L75" s="121">
        <f t="shared" ref="L75:AE75" si="49">$D75*SUM(L43:L44,L47:L48)</f>
        <v>0</v>
      </c>
      <c r="M75" s="121">
        <f t="shared" si="49"/>
        <v>0</v>
      </c>
      <c r="N75" s="121">
        <f t="shared" si="49"/>
        <v>0</v>
      </c>
      <c r="O75" s="121">
        <f t="shared" si="49"/>
        <v>257765.5483110825</v>
      </c>
      <c r="P75" s="121">
        <f t="shared" si="49"/>
        <v>268658.70904963056</v>
      </c>
      <c r="Q75" s="121">
        <f t="shared" si="49"/>
        <v>280147.44892751909</v>
      </c>
      <c r="R75" s="121">
        <f t="shared" si="49"/>
        <v>287771.64680281963</v>
      </c>
      <c r="S75" s="121">
        <f t="shared" si="49"/>
        <v>294390.39467928442</v>
      </c>
      <c r="T75" s="121">
        <f t="shared" si="49"/>
        <v>301161.373756908</v>
      </c>
      <c r="U75" s="121">
        <f t="shared" si="49"/>
        <v>308088.08535331686</v>
      </c>
      <c r="V75" s="121">
        <f t="shared" si="49"/>
        <v>315174.11131644307</v>
      </c>
      <c r="W75" s="121">
        <f t="shared" si="49"/>
        <v>322423.11587672122</v>
      </c>
      <c r="X75" s="121">
        <f t="shared" si="49"/>
        <v>329838.8475418858</v>
      </c>
      <c r="Y75" s="121">
        <f t="shared" si="49"/>
        <v>337425.14103534917</v>
      </c>
      <c r="Z75" s="121">
        <f t="shared" si="49"/>
        <v>345185.91927916207</v>
      </c>
      <c r="AA75" s="121">
        <f t="shared" si="49"/>
        <v>353125.19542258285</v>
      </c>
      <c r="AB75" s="121">
        <f t="shared" si="49"/>
        <v>361247.07491730223</v>
      </c>
      <c r="AC75" s="121">
        <f t="shared" si="49"/>
        <v>369555.75764040014</v>
      </c>
      <c r="AD75" s="121">
        <f t="shared" si="49"/>
        <v>378055.54006612924</v>
      </c>
      <c r="AE75" s="124">
        <f t="shared" si="49"/>
        <v>386750.81748765032</v>
      </c>
    </row>
    <row r="76" spans="2:36" x14ac:dyDescent="0.2">
      <c r="B76" s="112" t="s">
        <v>39</v>
      </c>
      <c r="D76" s="113">
        <v>4.3</v>
      </c>
      <c r="E76" s="113"/>
      <c r="F76" s="113"/>
      <c r="G76" s="113"/>
      <c r="H76" s="113"/>
      <c r="I76" s="113"/>
      <c r="J76" s="113"/>
      <c r="K76" s="121">
        <f>$D76*SUM(K52:K53,K56:K57)</f>
        <v>0</v>
      </c>
      <c r="L76" s="121">
        <f t="shared" ref="L76:AE76" si="50">$D76*SUM(L52:L53,L56:L57)</f>
        <v>0</v>
      </c>
      <c r="M76" s="121">
        <f t="shared" si="50"/>
        <v>0</v>
      </c>
      <c r="N76" s="121">
        <f t="shared" si="50"/>
        <v>0</v>
      </c>
      <c r="O76" s="121">
        <f t="shared" si="50"/>
        <v>243706.76110231149</v>
      </c>
      <c r="P76" s="121">
        <f t="shared" si="50"/>
        <v>250489.13588945585</v>
      </c>
      <c r="Q76" s="121">
        <f t="shared" si="50"/>
        <v>257509.31508678899</v>
      </c>
      <c r="R76" s="121">
        <f t="shared" si="50"/>
        <v>263712.00421216094</v>
      </c>
      <c r="S76" s="121">
        <f t="shared" si="50"/>
        <v>269777.38030904066</v>
      </c>
      <c r="T76" s="121">
        <f t="shared" si="50"/>
        <v>275982.26005614852</v>
      </c>
      <c r="U76" s="121">
        <f t="shared" si="50"/>
        <v>282329.85203743994</v>
      </c>
      <c r="V76" s="121">
        <f t="shared" si="50"/>
        <v>288823.43863430101</v>
      </c>
      <c r="W76" s="121">
        <f t="shared" si="50"/>
        <v>295466.37772288988</v>
      </c>
      <c r="X76" s="121">
        <f t="shared" si="50"/>
        <v>302262.10441051639</v>
      </c>
      <c r="Y76" s="121">
        <f t="shared" si="50"/>
        <v>309214.13281195826</v>
      </c>
      <c r="Z76" s="121">
        <f t="shared" si="50"/>
        <v>316326.05786663329</v>
      </c>
      <c r="AA76" s="121">
        <f t="shared" si="50"/>
        <v>323601.55719756585</v>
      </c>
      <c r="AB76" s="121">
        <f t="shared" si="50"/>
        <v>331044.3930131098</v>
      </c>
      <c r="AC76" s="121">
        <f t="shared" si="50"/>
        <v>338658.41405241127</v>
      </c>
      <c r="AD76" s="121">
        <f t="shared" si="50"/>
        <v>346447.55757561681</v>
      </c>
      <c r="AE76" s="124">
        <f t="shared" si="50"/>
        <v>354415.85139985586</v>
      </c>
    </row>
    <row r="77" spans="2:36" x14ac:dyDescent="0.2">
      <c r="B77" s="112" t="s">
        <v>111</v>
      </c>
      <c r="D77" s="113">
        <v>5.7</v>
      </c>
      <c r="E77" s="113"/>
      <c r="F77" s="113"/>
      <c r="G77" s="113"/>
      <c r="H77" s="113"/>
      <c r="I77" s="113"/>
      <c r="J77" s="113"/>
      <c r="K77" s="121">
        <f>$D77*SUM(K61:K62,K65:K66)</f>
        <v>0</v>
      </c>
      <c r="L77" s="121">
        <f>$D77*SUM(L61:L62,L65:L66)</f>
        <v>0</v>
      </c>
      <c r="M77" s="121">
        <f t="shared" ref="M77:AE77" si="51">$D77*SUM(M61:M62,M65:M66)</f>
        <v>0</v>
      </c>
      <c r="N77" s="121">
        <f t="shared" si="51"/>
        <v>0</v>
      </c>
      <c r="O77" s="121">
        <f t="shared" si="51"/>
        <v>0</v>
      </c>
      <c r="P77" s="121">
        <f t="shared" si="51"/>
        <v>1078.2823237956</v>
      </c>
      <c r="Q77" s="121">
        <f t="shared" si="51"/>
        <v>2256.3057625422925</v>
      </c>
      <c r="R77" s="121">
        <f t="shared" si="51"/>
        <v>2564.6675500897395</v>
      </c>
      <c r="S77" s="121">
        <f t="shared" si="51"/>
        <v>2623.6549037418031</v>
      </c>
      <c r="T77" s="121">
        <f t="shared" si="51"/>
        <v>2683.9989665278645</v>
      </c>
      <c r="U77" s="121">
        <f t="shared" si="51"/>
        <v>2745.7309427580058</v>
      </c>
      <c r="V77" s="121">
        <f t="shared" si="51"/>
        <v>2808.8827544414385</v>
      </c>
      <c r="W77" s="121">
        <f t="shared" si="51"/>
        <v>2873.4870577935917</v>
      </c>
      <c r="X77" s="121">
        <f t="shared" si="51"/>
        <v>2939.5772601228437</v>
      </c>
      <c r="Y77" s="121">
        <f t="shared" si="51"/>
        <v>3007.187537105669</v>
      </c>
      <c r="Z77" s="121">
        <f t="shared" si="51"/>
        <v>3076.352850459099</v>
      </c>
      <c r="AA77" s="121">
        <f t="shared" si="51"/>
        <v>3147.1089660196581</v>
      </c>
      <c r="AB77" s="121">
        <f t="shared" si="51"/>
        <v>3219.4924722381097</v>
      </c>
      <c r="AC77" s="121">
        <f t="shared" si="51"/>
        <v>3293.5407990995859</v>
      </c>
      <c r="AD77" s="121">
        <f t="shared" si="51"/>
        <v>3369.2922374788759</v>
      </c>
      <c r="AE77" s="242">
        <f t="shared" si="51"/>
        <v>3446.7859589408899</v>
      </c>
    </row>
    <row r="78" spans="2:36" s="111" customFormat="1" x14ac:dyDescent="0.2">
      <c r="B78" s="119" t="s">
        <v>237</v>
      </c>
      <c r="D78" s="122"/>
      <c r="E78" s="122"/>
      <c r="F78" s="122"/>
      <c r="G78" s="122"/>
      <c r="H78" s="122"/>
      <c r="I78" s="122"/>
      <c r="J78" s="122"/>
      <c r="K78" s="123">
        <f>SUM(K71:K77)</f>
        <v>0</v>
      </c>
      <c r="L78" s="123">
        <f t="shared" ref="L78:AE78" si="52">SUM(L71:L77)</f>
        <v>0</v>
      </c>
      <c r="M78" s="123">
        <f t="shared" si="52"/>
        <v>0</v>
      </c>
      <c r="N78" s="123">
        <f t="shared" si="52"/>
        <v>0</v>
      </c>
      <c r="O78" s="123">
        <f t="shared" si="52"/>
        <v>1195622.2904169739</v>
      </c>
      <c r="P78" s="123">
        <f>SUM(P71:P77)</f>
        <v>1244060.8050011257</v>
      </c>
      <c r="Q78" s="123">
        <f t="shared" si="52"/>
        <v>1295068.6799530801</v>
      </c>
      <c r="R78" s="123">
        <f t="shared" si="52"/>
        <v>1329835.5964169963</v>
      </c>
      <c r="S78" s="123">
        <f t="shared" si="52"/>
        <v>1360421.815134587</v>
      </c>
      <c r="T78" s="123">
        <f t="shared" si="52"/>
        <v>1391711.5168826822</v>
      </c>
      <c r="U78" s="123">
        <f t="shared" si="52"/>
        <v>1423720.881770984</v>
      </c>
      <c r="V78" s="123">
        <f t="shared" si="52"/>
        <v>1456466.4620517162</v>
      </c>
      <c r="W78" s="123">
        <f t="shared" si="52"/>
        <v>1489965.1906789057</v>
      </c>
      <c r="X78" s="123">
        <f t="shared" si="52"/>
        <v>1524234.3900645203</v>
      </c>
      <c r="Y78" s="123">
        <f t="shared" si="52"/>
        <v>1559291.7810360042</v>
      </c>
      <c r="Z78" s="123">
        <f t="shared" si="52"/>
        <v>1595155.491999832</v>
      </c>
      <c r="AA78" s="123">
        <f t="shared" si="52"/>
        <v>1631844.0683158285</v>
      </c>
      <c r="AB78" s="123">
        <f t="shared" si="52"/>
        <v>1669376.4818870921</v>
      </c>
      <c r="AC78" s="123">
        <f t="shared" si="52"/>
        <v>1707772.1409704951</v>
      </c>
      <c r="AD78" s="123">
        <f t="shared" si="52"/>
        <v>1747050.9002128162</v>
      </c>
      <c r="AE78" s="125">
        <f t="shared" si="52"/>
        <v>1787233.0709177111</v>
      </c>
    </row>
    <row r="79" spans="2:36" s="111" customFormat="1" x14ac:dyDescent="0.2">
      <c r="B79" s="119"/>
      <c r="C79" s="246" t="s">
        <v>309</v>
      </c>
      <c r="D79" s="122"/>
      <c r="E79" s="122"/>
      <c r="F79" s="122"/>
      <c r="G79" s="122"/>
      <c r="H79" s="122"/>
      <c r="I79" s="122"/>
      <c r="J79" s="122"/>
      <c r="K79" s="256">
        <f>K89+K99</f>
        <v>0</v>
      </c>
      <c r="L79" s="256">
        <f t="shared" ref="L79:AE79" si="53">L89+L99</f>
        <v>0</v>
      </c>
      <c r="M79" s="256">
        <f t="shared" si="53"/>
        <v>0</v>
      </c>
      <c r="N79" s="256">
        <f t="shared" si="53"/>
        <v>0</v>
      </c>
      <c r="O79" s="256">
        <f t="shared" si="53"/>
        <v>1195622.2904169739</v>
      </c>
      <c r="P79" s="256">
        <f t="shared" si="53"/>
        <v>1244060.8050011259</v>
      </c>
      <c r="Q79" s="256">
        <f t="shared" si="53"/>
        <v>1295068.6799530804</v>
      </c>
      <c r="R79" s="256">
        <f t="shared" si="53"/>
        <v>1329835.5964169961</v>
      </c>
      <c r="S79" s="256">
        <f t="shared" si="53"/>
        <v>1360421.815134587</v>
      </c>
      <c r="T79" s="256">
        <f t="shared" si="53"/>
        <v>1391711.5168826822</v>
      </c>
      <c r="U79" s="256">
        <f t="shared" si="53"/>
        <v>1423720.8817709838</v>
      </c>
      <c r="V79" s="256">
        <f t="shared" si="53"/>
        <v>1456466.4620517164</v>
      </c>
      <c r="W79" s="256">
        <f t="shared" si="53"/>
        <v>1489965.1906789057</v>
      </c>
      <c r="X79" s="256">
        <f t="shared" si="53"/>
        <v>1524234.3900645205</v>
      </c>
      <c r="Y79" s="256">
        <f t="shared" si="53"/>
        <v>1559291.7810360044</v>
      </c>
      <c r="Z79" s="256">
        <f t="shared" si="53"/>
        <v>1595155.4919998322</v>
      </c>
      <c r="AA79" s="256">
        <f t="shared" si="53"/>
        <v>1631844.0683158282</v>
      </c>
      <c r="AB79" s="256">
        <f t="shared" si="53"/>
        <v>1669376.4818870919</v>
      </c>
      <c r="AC79" s="256">
        <f t="shared" si="53"/>
        <v>1707772.1409704951</v>
      </c>
      <c r="AD79" s="256">
        <f t="shared" si="53"/>
        <v>1747050.9002128162</v>
      </c>
      <c r="AE79" s="263">
        <f t="shared" si="53"/>
        <v>1787233.0709177109</v>
      </c>
    </row>
    <row r="80" spans="2:36" s="111" customFormat="1" x14ac:dyDescent="0.2">
      <c r="B80" s="119"/>
      <c r="D80" s="122"/>
      <c r="E80" s="122"/>
      <c r="F80" s="122"/>
      <c r="G80" s="122"/>
      <c r="H80" s="122"/>
      <c r="I80" s="122"/>
      <c r="J80" s="122"/>
      <c r="K80" s="123"/>
      <c r="L80" s="123"/>
      <c r="M80" s="123"/>
      <c r="N80" s="123"/>
      <c r="O80" s="123"/>
      <c r="P80" s="123"/>
      <c r="Q80" s="123"/>
      <c r="R80" s="123"/>
      <c r="S80" s="123"/>
      <c r="T80" s="123"/>
      <c r="U80" s="123"/>
      <c r="V80" s="123"/>
      <c r="W80" s="123"/>
      <c r="X80" s="123"/>
      <c r="Y80" s="123"/>
      <c r="Z80" s="123"/>
      <c r="AA80" s="123"/>
      <c r="AB80" s="123"/>
      <c r="AC80" s="123"/>
      <c r="AD80" s="123"/>
      <c r="AE80" s="125"/>
    </row>
    <row r="81" spans="2:36" s="111" customFormat="1" x14ac:dyDescent="0.2">
      <c r="B81" s="120" t="s">
        <v>307</v>
      </c>
      <c r="D81" s="122"/>
      <c r="E81" s="122"/>
      <c r="F81" s="122"/>
      <c r="G81" s="122"/>
      <c r="H81" s="122"/>
      <c r="I81" s="122"/>
      <c r="J81" s="122"/>
      <c r="K81" s="123"/>
      <c r="L81" s="123"/>
      <c r="M81" s="123"/>
      <c r="N81" s="123"/>
      <c r="O81" s="123"/>
      <c r="P81" s="123"/>
      <c r="Q81" s="123"/>
      <c r="R81" s="123"/>
      <c r="S81" s="123"/>
      <c r="T81" s="123"/>
      <c r="U81" s="123"/>
      <c r="V81" s="123"/>
      <c r="W81" s="123"/>
      <c r="X81" s="123"/>
      <c r="Y81" s="123"/>
      <c r="Z81" s="123"/>
      <c r="AA81" s="123"/>
      <c r="AB81" s="123"/>
      <c r="AC81" s="123"/>
      <c r="AD81" s="123"/>
      <c r="AE81" s="125"/>
    </row>
    <row r="82" spans="2:36" s="111" customFormat="1" x14ac:dyDescent="0.2">
      <c r="B82" s="112" t="s">
        <v>34</v>
      </c>
      <c r="C82" s="107"/>
      <c r="D82" s="113">
        <v>4.7</v>
      </c>
      <c r="E82" s="113"/>
      <c r="F82" s="113"/>
      <c r="G82" s="113"/>
      <c r="H82" s="113"/>
      <c r="I82" s="113"/>
      <c r="J82" s="113"/>
      <c r="K82" s="121">
        <f t="shared" ref="K82:AE82" si="54">$D82*SUM(K11:K12)</f>
        <v>0</v>
      </c>
      <c r="L82" s="121">
        <f t="shared" si="54"/>
        <v>0</v>
      </c>
      <c r="M82" s="121">
        <f t="shared" si="54"/>
        <v>0</v>
      </c>
      <c r="N82" s="121">
        <f t="shared" si="54"/>
        <v>0</v>
      </c>
      <c r="O82" s="121">
        <f t="shared" si="54"/>
        <v>223521.23302994156</v>
      </c>
      <c r="P82" s="121">
        <f t="shared" si="54"/>
        <v>223521.23302994156</v>
      </c>
      <c r="Q82" s="121">
        <f t="shared" si="54"/>
        <v>228662.2213896302</v>
      </c>
      <c r="R82" s="121">
        <f t="shared" si="54"/>
        <v>233921.45248159167</v>
      </c>
      <c r="S82" s="121">
        <f t="shared" si="54"/>
        <v>239301.64588866822</v>
      </c>
      <c r="T82" s="121">
        <f t="shared" si="54"/>
        <v>244805.58374410763</v>
      </c>
      <c r="U82" s="121">
        <f t="shared" si="54"/>
        <v>250436.11217022207</v>
      </c>
      <c r="V82" s="121">
        <f t="shared" si="54"/>
        <v>256196.14275013717</v>
      </c>
      <c r="W82" s="121">
        <f t="shared" si="54"/>
        <v>262088.65403339025</v>
      </c>
      <c r="X82" s="121">
        <f t="shared" si="54"/>
        <v>268116.69307615823</v>
      </c>
      <c r="Y82" s="121">
        <f t="shared" si="54"/>
        <v>274283.37701690989</v>
      </c>
      <c r="Z82" s="121">
        <f t="shared" si="54"/>
        <v>280591.89468829875</v>
      </c>
      <c r="AA82" s="121">
        <f t="shared" si="54"/>
        <v>287045.50826612959</v>
      </c>
      <c r="AB82" s="121">
        <f t="shared" si="54"/>
        <v>293647.55495625053</v>
      </c>
      <c r="AC82" s="121">
        <f t="shared" si="54"/>
        <v>300401.44872024428</v>
      </c>
      <c r="AD82" s="121">
        <f t="shared" si="54"/>
        <v>307310.68204080983</v>
      </c>
      <c r="AE82" s="124">
        <f t="shared" si="54"/>
        <v>314378.82772774837</v>
      </c>
    </row>
    <row r="83" spans="2:36" s="111" customFormat="1" x14ac:dyDescent="0.2">
      <c r="B83" s="112" t="s">
        <v>35</v>
      </c>
      <c r="C83" s="107"/>
      <c r="D83" s="113">
        <v>4.5999999999999996</v>
      </c>
      <c r="E83" s="113"/>
      <c r="F83" s="113"/>
      <c r="G83" s="113"/>
      <c r="H83" s="113"/>
      <c r="I83" s="113"/>
      <c r="J83" s="113"/>
      <c r="K83" s="121">
        <f t="shared" ref="K83:AE83" si="55">$D83*SUM(K20:K21)</f>
        <v>0</v>
      </c>
      <c r="L83" s="121">
        <f t="shared" si="55"/>
        <v>0</v>
      </c>
      <c r="M83" s="121">
        <f t="shared" si="55"/>
        <v>0</v>
      </c>
      <c r="N83" s="121">
        <f t="shared" si="55"/>
        <v>0</v>
      </c>
      <c r="O83" s="139">
        <f>$D83*SUM(O20:O21)</f>
        <v>135577.43417103819</v>
      </c>
      <c r="P83" s="121">
        <f t="shared" si="55"/>
        <v>135577.43417103819</v>
      </c>
      <c r="Q83" s="121">
        <f t="shared" si="55"/>
        <v>138695.71515697206</v>
      </c>
      <c r="R83" s="121">
        <f t="shared" si="55"/>
        <v>141885.71660558242</v>
      </c>
      <c r="S83" s="121">
        <f t="shared" si="55"/>
        <v>145149.08808751081</v>
      </c>
      <c r="T83" s="121">
        <f t="shared" si="55"/>
        <v>148487.51711352353</v>
      </c>
      <c r="U83" s="121">
        <f t="shared" si="55"/>
        <v>151902.73000713458</v>
      </c>
      <c r="V83" s="121">
        <f t="shared" si="55"/>
        <v>155396.49279729865</v>
      </c>
      <c r="W83" s="121">
        <f t="shared" si="55"/>
        <v>158970.6121316365</v>
      </c>
      <c r="X83" s="121">
        <f t="shared" si="55"/>
        <v>162626.93621066413</v>
      </c>
      <c r="Y83" s="121">
        <f t="shared" si="55"/>
        <v>166367.3557435094</v>
      </c>
      <c r="Z83" s="121">
        <f t="shared" si="55"/>
        <v>170193.80492561011</v>
      </c>
      <c r="AA83" s="121">
        <f t="shared" si="55"/>
        <v>174108.26243889914</v>
      </c>
      <c r="AB83" s="121">
        <f t="shared" si="55"/>
        <v>178112.75247499379</v>
      </c>
      <c r="AC83" s="121">
        <f t="shared" si="55"/>
        <v>182209.34578191864</v>
      </c>
      <c r="AD83" s="121">
        <f t="shared" si="55"/>
        <v>186400.16073490278</v>
      </c>
      <c r="AE83" s="124">
        <f t="shared" si="55"/>
        <v>190687.36443180553</v>
      </c>
      <c r="AG83" s="111" t="s">
        <v>37</v>
      </c>
      <c r="AH83" s="111">
        <v>5333.2094479031803</v>
      </c>
      <c r="AI83" s="111">
        <v>6536.5193211976512</v>
      </c>
      <c r="AJ83" s="111">
        <v>11869.7287691008</v>
      </c>
    </row>
    <row r="84" spans="2:36" s="111" customFormat="1" x14ac:dyDescent="0.2">
      <c r="B84" s="112" t="s">
        <v>36</v>
      </c>
      <c r="C84" s="107"/>
      <c r="D84" s="113">
        <v>4.4000000000000004</v>
      </c>
      <c r="E84" s="113"/>
      <c r="F84" s="113"/>
      <c r="G84" s="113"/>
      <c r="H84" s="113"/>
      <c r="I84" s="113"/>
      <c r="J84" s="113"/>
      <c r="K84" s="121">
        <f t="shared" ref="K84:AE84" si="56">$D84*SUM(K29:K30)</f>
        <v>0</v>
      </c>
      <c r="L84" s="121">
        <f t="shared" si="56"/>
        <v>0</v>
      </c>
      <c r="M84" s="121">
        <f t="shared" si="56"/>
        <v>0</v>
      </c>
      <c r="N84" s="121">
        <f t="shared" si="56"/>
        <v>0</v>
      </c>
      <c r="O84" s="121">
        <f t="shared" si="56"/>
        <v>181953.85223131347</v>
      </c>
      <c r="P84" s="121">
        <f t="shared" si="56"/>
        <v>181953.85223131347</v>
      </c>
      <c r="Q84" s="121">
        <f t="shared" si="56"/>
        <v>186138.79083263371</v>
      </c>
      <c r="R84" s="121">
        <f t="shared" si="56"/>
        <v>190419.98302178425</v>
      </c>
      <c r="S84" s="121">
        <f t="shared" si="56"/>
        <v>194799.64263128527</v>
      </c>
      <c r="T84" s="121">
        <f t="shared" si="56"/>
        <v>199280.03441180484</v>
      </c>
      <c r="U84" s="121">
        <f t="shared" si="56"/>
        <v>203863.47520327629</v>
      </c>
      <c r="V84" s="121">
        <f t="shared" si="56"/>
        <v>208552.33513295164</v>
      </c>
      <c r="W84" s="121">
        <f t="shared" si="56"/>
        <v>213349.03884100949</v>
      </c>
      <c r="X84" s="121">
        <f t="shared" si="56"/>
        <v>218256.0667343527</v>
      </c>
      <c r="Y84" s="121">
        <f t="shared" si="56"/>
        <v>223275.95626924283</v>
      </c>
      <c r="Z84" s="121">
        <f t="shared" si="56"/>
        <v>228411.30326343537</v>
      </c>
      <c r="AA84" s="121">
        <f t="shared" si="56"/>
        <v>233664.76323849434</v>
      </c>
      <c r="AB84" s="121">
        <f t="shared" si="56"/>
        <v>239039.0527929797</v>
      </c>
      <c r="AC84" s="121">
        <f t="shared" si="56"/>
        <v>244536.95100721825</v>
      </c>
      <c r="AD84" s="121">
        <f t="shared" si="56"/>
        <v>250161.30088038425</v>
      </c>
      <c r="AE84" s="124">
        <f t="shared" si="56"/>
        <v>255915.01080063306</v>
      </c>
      <c r="AG84" s="111" t="s">
        <v>38</v>
      </c>
      <c r="AH84" s="111">
        <v>10292.872450506335</v>
      </c>
      <c r="AI84" s="111">
        <v>10937.019323378176</v>
      </c>
      <c r="AJ84" s="111">
        <v>21229.891773884512</v>
      </c>
    </row>
    <row r="85" spans="2:36" s="111" customFormat="1" x14ac:dyDescent="0.2">
      <c r="B85" s="112" t="s">
        <v>37</v>
      </c>
      <c r="C85" s="107"/>
      <c r="D85" s="113">
        <v>4.2</v>
      </c>
      <c r="E85" s="113"/>
      <c r="F85" s="113"/>
      <c r="G85" s="113"/>
      <c r="H85" s="113"/>
      <c r="I85" s="113"/>
      <c r="J85" s="113"/>
      <c r="K85" s="121">
        <f t="shared" ref="K85:AE85" si="57">$D85*SUM(K38:K39)</f>
        <v>0</v>
      </c>
      <c r="L85" s="121">
        <f t="shared" si="57"/>
        <v>0</v>
      </c>
      <c r="M85" s="121">
        <f t="shared" si="57"/>
        <v>0</v>
      </c>
      <c r="N85" s="121">
        <f t="shared" si="57"/>
        <v>0</v>
      </c>
      <c r="O85" s="121">
        <f t="shared" si="57"/>
        <v>153097.46157128661</v>
      </c>
      <c r="P85" s="121">
        <f t="shared" si="57"/>
        <v>153097.46157128661</v>
      </c>
      <c r="Q85" s="121">
        <f t="shared" si="57"/>
        <v>156618.70318742617</v>
      </c>
      <c r="R85" s="121">
        <f t="shared" si="57"/>
        <v>160220.93336073693</v>
      </c>
      <c r="S85" s="121">
        <f t="shared" si="57"/>
        <v>163906.01482803389</v>
      </c>
      <c r="T85" s="121">
        <f t="shared" si="57"/>
        <v>167675.85316907868</v>
      </c>
      <c r="U85" s="121">
        <f t="shared" si="57"/>
        <v>171532.39779196747</v>
      </c>
      <c r="V85" s="121">
        <f t="shared" si="57"/>
        <v>175477.64294118268</v>
      </c>
      <c r="W85" s="121">
        <f t="shared" si="57"/>
        <v>179513.62872882991</v>
      </c>
      <c r="X85" s="121">
        <f t="shared" si="57"/>
        <v>183642.44218959296</v>
      </c>
      <c r="Y85" s="121">
        <f t="shared" si="57"/>
        <v>187866.21835995358</v>
      </c>
      <c r="Z85" s="121">
        <f t="shared" si="57"/>
        <v>192187.14138223251</v>
      </c>
      <c r="AA85" s="121">
        <f t="shared" si="57"/>
        <v>196607.44563402384</v>
      </c>
      <c r="AB85" s="121">
        <f t="shared" si="57"/>
        <v>201129.41688360635</v>
      </c>
      <c r="AC85" s="121">
        <f t="shared" si="57"/>
        <v>205755.39347192927</v>
      </c>
      <c r="AD85" s="121">
        <f t="shared" si="57"/>
        <v>210487.76752178362</v>
      </c>
      <c r="AE85" s="124">
        <f t="shared" si="57"/>
        <v>215328.98617478463</v>
      </c>
    </row>
    <row r="86" spans="2:36" s="111" customFormat="1" x14ac:dyDescent="0.2">
      <c r="B86" s="112" t="s">
        <v>38</v>
      </c>
      <c r="C86" s="107"/>
      <c r="D86" s="113">
        <v>5.7</v>
      </c>
      <c r="E86" s="113"/>
      <c r="F86" s="113"/>
      <c r="G86" s="113"/>
      <c r="H86" s="113"/>
      <c r="I86" s="113"/>
      <c r="J86" s="113"/>
      <c r="K86" s="121">
        <f t="shared" ref="K86:AE86" si="58">$D86*SUM(K47:K48)</f>
        <v>0</v>
      </c>
      <c r="L86" s="121">
        <f t="shared" si="58"/>
        <v>0</v>
      </c>
      <c r="M86" s="121">
        <f t="shared" si="58"/>
        <v>0</v>
      </c>
      <c r="N86" s="121">
        <f t="shared" si="58"/>
        <v>0</v>
      </c>
      <c r="O86" s="121">
        <f t="shared" si="58"/>
        <v>257765.5483110825</v>
      </c>
      <c r="P86" s="121">
        <f t="shared" si="58"/>
        <v>257765.5483110825</v>
      </c>
      <c r="Q86" s="121">
        <f t="shared" si="58"/>
        <v>263694.15592223738</v>
      </c>
      <c r="R86" s="121">
        <f t="shared" si="58"/>
        <v>269759.12150844879</v>
      </c>
      <c r="S86" s="121">
        <f t="shared" si="58"/>
        <v>275963.58130314312</v>
      </c>
      <c r="T86" s="121">
        <f t="shared" si="58"/>
        <v>282310.74367311533</v>
      </c>
      <c r="U86" s="121">
        <f t="shared" si="58"/>
        <v>288803.89077759703</v>
      </c>
      <c r="V86" s="121">
        <f t="shared" si="58"/>
        <v>295446.38026548165</v>
      </c>
      <c r="W86" s="121">
        <f t="shared" si="58"/>
        <v>302241.64701158775</v>
      </c>
      <c r="X86" s="121">
        <f t="shared" si="58"/>
        <v>309193.20489285421</v>
      </c>
      <c r="Y86" s="121">
        <f t="shared" si="58"/>
        <v>316304.64860538987</v>
      </c>
      <c r="Z86" s="121">
        <f t="shared" si="58"/>
        <v>323579.65552331373</v>
      </c>
      <c r="AA86" s="121">
        <f t="shared" si="58"/>
        <v>331021.98760034994</v>
      </c>
      <c r="AB86" s="121">
        <f t="shared" si="58"/>
        <v>338635.49331515795</v>
      </c>
      <c r="AC86" s="121">
        <f t="shared" si="58"/>
        <v>346424.10966140666</v>
      </c>
      <c r="AD86" s="121">
        <f t="shared" si="58"/>
        <v>354391.86418361892</v>
      </c>
      <c r="AE86" s="124">
        <f t="shared" si="58"/>
        <v>362542.87705984217</v>
      </c>
    </row>
    <row r="87" spans="2:36" s="111" customFormat="1" x14ac:dyDescent="0.2">
      <c r="B87" s="112" t="s">
        <v>39</v>
      </c>
      <c r="C87" s="107"/>
      <c r="D87" s="113">
        <v>4.3</v>
      </c>
      <c r="E87" s="113"/>
      <c r="F87" s="113"/>
      <c r="G87" s="113"/>
      <c r="H87" s="113"/>
      <c r="I87" s="113"/>
      <c r="J87" s="113"/>
      <c r="K87" s="121">
        <f t="shared" ref="K87:AE87" si="59">$D87*SUM(K56:K57)</f>
        <v>0</v>
      </c>
      <c r="L87" s="121">
        <f t="shared" si="59"/>
        <v>0</v>
      </c>
      <c r="M87" s="121">
        <f t="shared" si="59"/>
        <v>0</v>
      </c>
      <c r="N87" s="121">
        <f t="shared" si="59"/>
        <v>0</v>
      </c>
      <c r="O87" s="121">
        <f t="shared" si="59"/>
        <v>243706.76110231149</v>
      </c>
      <c r="P87" s="121">
        <f t="shared" si="59"/>
        <v>243706.76110231149</v>
      </c>
      <c r="Q87" s="121">
        <f t="shared" si="59"/>
        <v>249312.01660766467</v>
      </c>
      <c r="R87" s="121">
        <f t="shared" si="59"/>
        <v>255046.1929896409</v>
      </c>
      <c r="S87" s="121">
        <f t="shared" si="59"/>
        <v>260912.25542840263</v>
      </c>
      <c r="T87" s="121">
        <f t="shared" si="59"/>
        <v>266913.23730325582</v>
      </c>
      <c r="U87" s="121">
        <f t="shared" si="59"/>
        <v>273052.24176123069</v>
      </c>
      <c r="V87" s="121">
        <f t="shared" si="59"/>
        <v>279332.44332173903</v>
      </c>
      <c r="W87" s="121">
        <f t="shared" si="59"/>
        <v>285757.08951813896</v>
      </c>
      <c r="X87" s="121">
        <f t="shared" si="59"/>
        <v>292329.50257705618</v>
      </c>
      <c r="Y87" s="121">
        <f t="shared" si="59"/>
        <v>299053.0811363284</v>
      </c>
      <c r="Z87" s="121">
        <f t="shared" si="59"/>
        <v>305931.30200246401</v>
      </c>
      <c r="AA87" s="121">
        <f t="shared" si="59"/>
        <v>312967.72194852063</v>
      </c>
      <c r="AB87" s="121">
        <f t="shared" si="59"/>
        <v>320165.97955333657</v>
      </c>
      <c r="AC87" s="121">
        <f t="shared" si="59"/>
        <v>327529.79708306328</v>
      </c>
      <c r="AD87" s="121">
        <f t="shared" si="59"/>
        <v>335062.98241597373</v>
      </c>
      <c r="AE87" s="124">
        <f t="shared" si="59"/>
        <v>342769.43101154111</v>
      </c>
      <c r="AG87" s="111" t="s">
        <v>39</v>
      </c>
      <c r="AH87" s="111">
        <v>3632.6075798094189</v>
      </c>
      <c r="AI87" s="111">
        <v>8415.0333649087988</v>
      </c>
      <c r="AJ87" s="111">
        <v>12047.640944718218</v>
      </c>
    </row>
    <row r="88" spans="2:36" s="111" customFormat="1" x14ac:dyDescent="0.2">
      <c r="B88" s="112" t="s">
        <v>111</v>
      </c>
      <c r="C88" s="107"/>
      <c r="D88" s="113">
        <v>5.7</v>
      </c>
      <c r="E88" s="113"/>
      <c r="F88" s="113"/>
      <c r="G88" s="113"/>
      <c r="H88" s="113"/>
      <c r="I88" s="113"/>
      <c r="J88" s="113"/>
      <c r="K88" s="121">
        <f t="shared" ref="K88:AE88" si="60">$D88*SUM(K65:K66)</f>
        <v>0</v>
      </c>
      <c r="L88" s="121">
        <f t="shared" si="60"/>
        <v>0</v>
      </c>
      <c r="M88" s="121">
        <f t="shared" si="60"/>
        <v>0</v>
      </c>
      <c r="N88" s="121">
        <f t="shared" si="60"/>
        <v>0</v>
      </c>
      <c r="O88" s="121">
        <f t="shared" si="60"/>
        <v>0</v>
      </c>
      <c r="P88" s="121">
        <f t="shared" si="60"/>
        <v>0</v>
      </c>
      <c r="Q88" s="121">
        <f t="shared" si="60"/>
        <v>0</v>
      </c>
      <c r="R88" s="121">
        <f t="shared" si="60"/>
        <v>0</v>
      </c>
      <c r="S88" s="121">
        <f t="shared" si="60"/>
        <v>0</v>
      </c>
      <c r="T88" s="121">
        <f t="shared" si="60"/>
        <v>0</v>
      </c>
      <c r="U88" s="121">
        <f t="shared" si="60"/>
        <v>0</v>
      </c>
      <c r="V88" s="121">
        <f t="shared" si="60"/>
        <v>0</v>
      </c>
      <c r="W88" s="121">
        <f t="shared" si="60"/>
        <v>0</v>
      </c>
      <c r="X88" s="121">
        <f t="shared" si="60"/>
        <v>0</v>
      </c>
      <c r="Y88" s="121">
        <f t="shared" si="60"/>
        <v>0</v>
      </c>
      <c r="Z88" s="121">
        <f t="shared" si="60"/>
        <v>0</v>
      </c>
      <c r="AA88" s="121">
        <f t="shared" si="60"/>
        <v>0</v>
      </c>
      <c r="AB88" s="121">
        <f t="shared" si="60"/>
        <v>0</v>
      </c>
      <c r="AC88" s="121">
        <f t="shared" si="60"/>
        <v>0</v>
      </c>
      <c r="AD88" s="121">
        <f t="shared" si="60"/>
        <v>0</v>
      </c>
      <c r="AE88" s="124">
        <f t="shared" si="60"/>
        <v>0</v>
      </c>
      <c r="AG88" s="111" t="s">
        <v>111</v>
      </c>
      <c r="AH88" s="111">
        <v>2315.3801398780729</v>
      </c>
      <c r="AI88" s="111">
        <v>0</v>
      </c>
      <c r="AJ88" s="111">
        <v>2315.3801398780729</v>
      </c>
    </row>
    <row r="89" spans="2:36" s="111" customFormat="1" x14ac:dyDescent="0.2">
      <c r="B89" s="119" t="s">
        <v>307</v>
      </c>
      <c r="D89" s="122"/>
      <c r="E89" s="122"/>
      <c r="F89" s="122"/>
      <c r="G89" s="122"/>
      <c r="H89" s="122"/>
      <c r="I89" s="122"/>
      <c r="J89" s="122"/>
      <c r="K89" s="123">
        <f>SUM(K82:K88)</f>
        <v>0</v>
      </c>
      <c r="L89" s="123">
        <f t="shared" ref="L89:AE89" si="61">SUM(L82:L88)</f>
        <v>0</v>
      </c>
      <c r="M89" s="123">
        <f t="shared" si="61"/>
        <v>0</v>
      </c>
      <c r="N89" s="123">
        <f t="shared" si="61"/>
        <v>0</v>
      </c>
      <c r="O89" s="123">
        <f t="shared" si="61"/>
        <v>1195622.2904169739</v>
      </c>
      <c r="P89" s="123">
        <f t="shared" si="61"/>
        <v>1195622.2904169739</v>
      </c>
      <c r="Q89" s="123">
        <f t="shared" si="61"/>
        <v>1223121.6030965643</v>
      </c>
      <c r="R89" s="123">
        <f t="shared" si="61"/>
        <v>1251253.399967785</v>
      </c>
      <c r="S89" s="123">
        <f t="shared" si="61"/>
        <v>1280032.228167044</v>
      </c>
      <c r="T89" s="123">
        <f t="shared" si="61"/>
        <v>1309472.9694148859</v>
      </c>
      <c r="U89" s="123">
        <f t="shared" si="61"/>
        <v>1339590.8477114281</v>
      </c>
      <c r="V89" s="123">
        <f t="shared" si="61"/>
        <v>1370401.437208791</v>
      </c>
      <c r="W89" s="123">
        <f t="shared" si="61"/>
        <v>1401920.6702645929</v>
      </c>
      <c r="X89" s="123">
        <f t="shared" si="61"/>
        <v>1434164.8456806785</v>
      </c>
      <c r="Y89" s="123">
        <f t="shared" si="61"/>
        <v>1467150.637131334</v>
      </c>
      <c r="Z89" s="123">
        <f t="shared" si="61"/>
        <v>1500895.1017853545</v>
      </c>
      <c r="AA89" s="123">
        <f t="shared" si="61"/>
        <v>1535415.6891264175</v>
      </c>
      <c r="AB89" s="123">
        <f t="shared" si="61"/>
        <v>1570730.2499763246</v>
      </c>
      <c r="AC89" s="123">
        <f t="shared" si="61"/>
        <v>1606857.0457257803</v>
      </c>
      <c r="AD89" s="123">
        <f t="shared" si="61"/>
        <v>1643814.757777473</v>
      </c>
      <c r="AE89" s="125">
        <f t="shared" si="61"/>
        <v>1681622.4972063547</v>
      </c>
      <c r="AG89" s="111" t="s">
        <v>0</v>
      </c>
      <c r="AH89" s="111">
        <v>53493.165159448246</v>
      </c>
      <c r="AI89" s="111">
        <v>70038.842700582725</v>
      </c>
      <c r="AJ89" s="111">
        <v>123532.00786003096</v>
      </c>
    </row>
    <row r="90" spans="2:36" s="111" customFormat="1" x14ac:dyDescent="0.2">
      <c r="B90" s="119"/>
      <c r="D90" s="122"/>
      <c r="E90" s="122"/>
      <c r="F90" s="122"/>
      <c r="G90" s="122"/>
      <c r="H90" s="122"/>
      <c r="I90" s="122"/>
      <c r="J90" s="122"/>
      <c r="K90" s="123"/>
      <c r="L90" s="123"/>
      <c r="M90" s="123"/>
      <c r="N90" s="123"/>
      <c r="O90" s="123"/>
      <c r="P90" s="123"/>
      <c r="Q90" s="123"/>
      <c r="R90" s="123"/>
      <c r="S90" s="123"/>
      <c r="T90" s="123"/>
      <c r="U90" s="123"/>
      <c r="V90" s="123"/>
      <c r="W90" s="123"/>
      <c r="X90" s="123"/>
      <c r="Y90" s="123"/>
      <c r="Z90" s="123"/>
      <c r="AA90" s="123"/>
      <c r="AB90" s="123"/>
      <c r="AC90" s="123"/>
      <c r="AD90" s="123"/>
      <c r="AE90" s="125"/>
    </row>
    <row r="91" spans="2:36" s="111" customFormat="1" x14ac:dyDescent="0.2">
      <c r="B91" s="120" t="s">
        <v>308</v>
      </c>
      <c r="D91" s="122"/>
      <c r="E91" s="122"/>
      <c r="F91" s="122"/>
      <c r="G91" s="122"/>
      <c r="H91" s="122"/>
      <c r="I91" s="122"/>
      <c r="J91" s="122"/>
      <c r="K91" s="123"/>
      <c r="L91" s="123"/>
      <c r="M91" s="123"/>
      <c r="N91" s="123"/>
      <c r="O91" s="123"/>
      <c r="P91" s="123"/>
      <c r="Q91" s="123"/>
      <c r="R91" s="123"/>
      <c r="S91" s="123"/>
      <c r="T91" s="123"/>
      <c r="U91" s="123"/>
      <c r="V91" s="123"/>
      <c r="W91" s="123"/>
      <c r="X91" s="123"/>
      <c r="Y91" s="123"/>
      <c r="Z91" s="123"/>
      <c r="AA91" s="123"/>
      <c r="AB91" s="123"/>
      <c r="AC91" s="123"/>
      <c r="AD91" s="123"/>
      <c r="AE91" s="125"/>
    </row>
    <row r="92" spans="2:36" s="111" customFormat="1" x14ac:dyDescent="0.2">
      <c r="B92" s="112" t="s">
        <v>34</v>
      </c>
      <c r="C92" s="107"/>
      <c r="D92" s="113">
        <v>4.7</v>
      </c>
      <c r="E92" s="122"/>
      <c r="F92" s="122"/>
      <c r="G92" s="122"/>
      <c r="H92" s="122"/>
      <c r="I92" s="122"/>
      <c r="J92" s="122"/>
      <c r="K92" s="121">
        <f t="shared" ref="K92:AE92" si="62">$D71*SUM(K7:K8)</f>
        <v>0</v>
      </c>
      <c r="L92" s="121">
        <f t="shared" si="62"/>
        <v>0</v>
      </c>
      <c r="M92" s="121">
        <f t="shared" si="62"/>
        <v>0</v>
      </c>
      <c r="N92" s="121">
        <f t="shared" si="62"/>
        <v>0</v>
      </c>
      <c r="O92" s="121">
        <f t="shared" si="62"/>
        <v>0</v>
      </c>
      <c r="P92" s="121">
        <f t="shared" si="62"/>
        <v>7185.0344493302309</v>
      </c>
      <c r="Q92" s="121">
        <f t="shared" si="62"/>
        <v>9536.3975345365288</v>
      </c>
      <c r="R92" s="121">
        <f t="shared" si="62"/>
        <v>10241.905930136874</v>
      </c>
      <c r="S92" s="121">
        <f t="shared" si="62"/>
        <v>10477.469766530045</v>
      </c>
      <c r="T92" s="121">
        <f t="shared" si="62"/>
        <v>10718.451571160227</v>
      </c>
      <c r="U92" s="121">
        <f t="shared" si="62"/>
        <v>10964.975957296931</v>
      </c>
      <c r="V92" s="121">
        <f t="shared" si="62"/>
        <v>11217.170404314737</v>
      </c>
      <c r="W92" s="121">
        <f t="shared" si="62"/>
        <v>11475.165323613975</v>
      </c>
      <c r="X92" s="121">
        <f t="shared" si="62"/>
        <v>11739.094126057096</v>
      </c>
      <c r="Y92" s="121">
        <f t="shared" si="62"/>
        <v>12009.093290956398</v>
      </c>
      <c r="Z92" s="121">
        <f t="shared" si="62"/>
        <v>12285.302436648408</v>
      </c>
      <c r="AA92" s="121">
        <f t="shared" si="62"/>
        <v>12567.864392691319</v>
      </c>
      <c r="AB92" s="121">
        <f t="shared" si="62"/>
        <v>12856.925273723196</v>
      </c>
      <c r="AC92" s="121">
        <f t="shared" si="62"/>
        <v>13152.634555018831</v>
      </c>
      <c r="AD92" s="121">
        <f t="shared" si="62"/>
        <v>13455.145149784255</v>
      </c>
      <c r="AE92" s="124">
        <f t="shared" si="62"/>
        <v>13764.61348822933</v>
      </c>
    </row>
    <row r="93" spans="2:36" s="111" customFormat="1" x14ac:dyDescent="0.2">
      <c r="B93" s="112" t="s">
        <v>35</v>
      </c>
      <c r="C93" s="107"/>
      <c r="D93" s="113">
        <v>4.5999999999999996</v>
      </c>
      <c r="E93" s="122"/>
      <c r="F93" s="122"/>
      <c r="G93" s="122"/>
      <c r="H93" s="122"/>
      <c r="I93" s="122"/>
      <c r="J93" s="122"/>
      <c r="K93" s="121">
        <f t="shared" ref="K93:AE93" si="63">$D72*SUM(K16:K17)</f>
        <v>0</v>
      </c>
      <c r="L93" s="121">
        <f t="shared" si="63"/>
        <v>0</v>
      </c>
      <c r="M93" s="121">
        <f t="shared" si="63"/>
        <v>0</v>
      </c>
      <c r="N93" s="121">
        <f t="shared" si="63"/>
        <v>0</v>
      </c>
      <c r="O93" s="121">
        <f t="shared" si="63"/>
        <v>0</v>
      </c>
      <c r="P93" s="121">
        <f t="shared" si="63"/>
        <v>9803.0444522906691</v>
      </c>
      <c r="Q93" s="121">
        <f t="shared" si="63"/>
        <v>17177.869001961961</v>
      </c>
      <c r="R93" s="121">
        <f t="shared" si="63"/>
        <v>19162.914267571367</v>
      </c>
      <c r="S93" s="121">
        <f t="shared" si="63"/>
        <v>19603.661295725509</v>
      </c>
      <c r="T93" s="121">
        <f t="shared" si="63"/>
        <v>20054.545505527203</v>
      </c>
      <c r="U93" s="121">
        <f t="shared" si="63"/>
        <v>20515.800052154314</v>
      </c>
      <c r="V93" s="121">
        <f t="shared" si="63"/>
        <v>20987.663453353849</v>
      </c>
      <c r="W93" s="121">
        <f t="shared" si="63"/>
        <v>21470.379712780999</v>
      </c>
      <c r="X93" s="121">
        <f t="shared" si="63"/>
        <v>21964.198446174967</v>
      </c>
      <c r="Y93" s="121">
        <f t="shared" si="63"/>
        <v>22469.375010436986</v>
      </c>
      <c r="Z93" s="121">
        <f t="shared" si="63"/>
        <v>22986.170635677045</v>
      </c>
      <c r="AA93" s="121">
        <f t="shared" si="63"/>
        <v>23514.852560297611</v>
      </c>
      <c r="AB93" s="121">
        <f t="shared" si="63"/>
        <v>24055.694169184462</v>
      </c>
      <c r="AC93" s="121">
        <f t="shared" si="63"/>
        <v>24608.975135075692</v>
      </c>
      <c r="AD93" s="121">
        <f t="shared" si="63"/>
        <v>25174.981563182431</v>
      </c>
      <c r="AE93" s="124">
        <f t="shared" si="63"/>
        <v>25754.00613913561</v>
      </c>
    </row>
    <row r="94" spans="2:36" s="111" customFormat="1" x14ac:dyDescent="0.2">
      <c r="B94" s="112" t="s">
        <v>36</v>
      </c>
      <c r="C94" s="107"/>
      <c r="D94" s="113">
        <v>4.4000000000000004</v>
      </c>
      <c r="E94" s="122"/>
      <c r="F94" s="122"/>
      <c r="G94" s="122"/>
      <c r="H94" s="122"/>
      <c r="I94" s="122"/>
      <c r="J94" s="122"/>
      <c r="K94" s="121">
        <f t="shared" ref="K94:AE94" si="64">$D73*SUM(K25:K26)</f>
        <v>0</v>
      </c>
      <c r="L94" s="121">
        <f t="shared" si="64"/>
        <v>0</v>
      </c>
      <c r="M94" s="121">
        <f t="shared" si="64"/>
        <v>0</v>
      </c>
      <c r="N94" s="121">
        <f t="shared" si="64"/>
        <v>0</v>
      </c>
      <c r="O94" s="121">
        <f t="shared" si="64"/>
        <v>0</v>
      </c>
      <c r="P94" s="121">
        <f t="shared" si="64"/>
        <v>7577.7753745890068</v>
      </c>
      <c r="Q94" s="121">
        <f t="shared" si="64"/>
        <v>11380.703137215525</v>
      </c>
      <c r="R94" s="121">
        <f t="shared" si="64"/>
        <v>12449.437053801528</v>
      </c>
      <c r="S94" s="121">
        <f t="shared" si="64"/>
        <v>12735.774106038953</v>
      </c>
      <c r="T94" s="121">
        <f t="shared" si="64"/>
        <v>13028.696910477845</v>
      </c>
      <c r="U94" s="121">
        <f t="shared" si="64"/>
        <v>13328.356939418849</v>
      </c>
      <c r="V94" s="121">
        <f t="shared" si="64"/>
        <v>13634.909149025478</v>
      </c>
      <c r="W94" s="121">
        <f t="shared" si="64"/>
        <v>13948.512059453074</v>
      </c>
      <c r="X94" s="121">
        <f t="shared" si="64"/>
        <v>14269.32783682049</v>
      </c>
      <c r="Y94" s="121">
        <f t="shared" si="64"/>
        <v>14597.522377067355</v>
      </c>
      <c r="Z94" s="121">
        <f t="shared" si="64"/>
        <v>14933.265391739891</v>
      </c>
      <c r="AA94" s="121">
        <f t="shared" si="64"/>
        <v>15276.730495749925</v>
      </c>
      <c r="AB94" s="121">
        <f t="shared" si="64"/>
        <v>15628.095297152166</v>
      </c>
      <c r="AC94" s="121">
        <f t="shared" si="64"/>
        <v>15987.541488986675</v>
      </c>
      <c r="AD94" s="121">
        <f t="shared" si="64"/>
        <v>16355.254943233358</v>
      </c>
      <c r="AE94" s="124">
        <f t="shared" si="64"/>
        <v>16731.425806927724</v>
      </c>
    </row>
    <row r="95" spans="2:36" s="111" customFormat="1" x14ac:dyDescent="0.2">
      <c r="B95" s="112" t="s">
        <v>37</v>
      </c>
      <c r="C95" s="107"/>
      <c r="D95" s="113">
        <v>4.2</v>
      </c>
      <c r="E95" s="122"/>
      <c r="F95" s="122"/>
      <c r="G95" s="122"/>
      <c r="H95" s="122"/>
      <c r="I95" s="122"/>
      <c r="J95" s="122"/>
      <c r="K95" s="121">
        <f t="shared" ref="K95:AE95" si="65">$D74*SUM(K34:K35)</f>
        <v>0</v>
      </c>
      <c r="L95" s="121">
        <f t="shared" si="65"/>
        <v>0</v>
      </c>
      <c r="M95" s="121">
        <f t="shared" si="65"/>
        <v>0</v>
      </c>
      <c r="N95" s="121">
        <f t="shared" si="65"/>
        <v>0</v>
      </c>
      <c r="O95" s="121">
        <f t="shared" si="65"/>
        <v>0</v>
      </c>
      <c r="P95" s="121">
        <f t="shared" si="65"/>
        <v>5118.8424584539853</v>
      </c>
      <c r="Q95" s="121">
        <f t="shared" si="65"/>
        <v>6945.209935853667</v>
      </c>
      <c r="R95" s="121">
        <f t="shared" si="65"/>
        <v>7484.9351307206853</v>
      </c>
      <c r="S95" s="121">
        <f t="shared" si="65"/>
        <v>7657.088638727254</v>
      </c>
      <c r="T95" s="121">
        <f t="shared" si="65"/>
        <v>7833.2016774179883</v>
      </c>
      <c r="U95" s="121">
        <f t="shared" si="65"/>
        <v>8013.3653159985961</v>
      </c>
      <c r="V95" s="121">
        <f t="shared" si="65"/>
        <v>8197.6727182665618</v>
      </c>
      <c r="W95" s="121">
        <f t="shared" si="65"/>
        <v>8386.2191907866909</v>
      </c>
      <c r="X95" s="121">
        <f t="shared" si="65"/>
        <v>8579.1022321747714</v>
      </c>
      <c r="Y95" s="121">
        <f t="shared" si="65"/>
        <v>8776.4215835147988</v>
      </c>
      <c r="Z95" s="121">
        <f t="shared" si="65"/>
        <v>8978.2792799356412</v>
      </c>
      <c r="AA95" s="121">
        <f t="shared" si="65"/>
        <v>9184.7797033741481</v>
      </c>
      <c r="AB95" s="121">
        <f t="shared" si="65"/>
        <v>9396.0296365517734</v>
      </c>
      <c r="AC95" s="121">
        <f t="shared" si="65"/>
        <v>9612.1383181924448</v>
      </c>
      <c r="AD95" s="121">
        <f t="shared" si="65"/>
        <v>9833.2174995108726</v>
      </c>
      <c r="AE95" s="124">
        <f t="shared" si="65"/>
        <v>10059.381501999624</v>
      </c>
    </row>
    <row r="96" spans="2:36" s="111" customFormat="1" x14ac:dyDescent="0.2">
      <c r="B96" s="112" t="s">
        <v>38</v>
      </c>
      <c r="C96" s="107"/>
      <c r="D96" s="113">
        <v>5.7</v>
      </c>
      <c r="E96" s="122"/>
      <c r="F96" s="122"/>
      <c r="G96" s="122"/>
      <c r="H96" s="122"/>
      <c r="I96" s="122"/>
      <c r="J96" s="122"/>
      <c r="K96" s="121">
        <f t="shared" ref="K96:AE96" si="66">$D75*SUM(K43:K44)</f>
        <v>0</v>
      </c>
      <c r="L96" s="121">
        <f t="shared" si="66"/>
        <v>0</v>
      </c>
      <c r="M96" s="121">
        <f t="shared" si="66"/>
        <v>0</v>
      </c>
      <c r="N96" s="121">
        <f t="shared" si="66"/>
        <v>0</v>
      </c>
      <c r="O96" s="121">
        <f t="shared" si="66"/>
        <v>0</v>
      </c>
      <c r="P96" s="121">
        <f t="shared" si="66"/>
        <v>10893.160738548089</v>
      </c>
      <c r="Q96" s="121">
        <f t="shared" si="66"/>
        <v>16453.293005281696</v>
      </c>
      <c r="R96" s="121">
        <f t="shared" si="66"/>
        <v>18012.525294370836</v>
      </c>
      <c r="S96" s="121">
        <f t="shared" si="66"/>
        <v>18426.813376141377</v>
      </c>
      <c r="T96" s="121">
        <f t="shared" si="66"/>
        <v>18850.63008379261</v>
      </c>
      <c r="U96" s="121">
        <f t="shared" si="66"/>
        <v>19284.194575719834</v>
      </c>
      <c r="V96" s="121">
        <f t="shared" si="66"/>
        <v>19727.731050961389</v>
      </c>
      <c r="W96" s="121">
        <f t="shared" si="66"/>
        <v>20181.468865133498</v>
      </c>
      <c r="X96" s="121">
        <f t="shared" si="66"/>
        <v>20645.642649031597</v>
      </c>
      <c r="Y96" s="121">
        <f t="shared" si="66"/>
        <v>21120.492429959289</v>
      </c>
      <c r="Z96" s="121">
        <f t="shared" si="66"/>
        <v>21606.263755848351</v>
      </c>
      <c r="AA96" s="121">
        <f t="shared" si="66"/>
        <v>22103.2078222329</v>
      </c>
      <c r="AB96" s="121">
        <f t="shared" si="66"/>
        <v>22611.581602144255</v>
      </c>
      <c r="AC96" s="121">
        <f t="shared" si="66"/>
        <v>23131.647978993522</v>
      </c>
      <c r="AD96" s="121">
        <f t="shared" si="66"/>
        <v>23663.67588251039</v>
      </c>
      <c r="AE96" s="124">
        <f t="shared" si="66"/>
        <v>24207.940427808113</v>
      </c>
    </row>
    <row r="97" spans="2:39" s="111" customFormat="1" x14ac:dyDescent="0.2">
      <c r="B97" s="112" t="s">
        <v>39</v>
      </c>
      <c r="C97" s="107"/>
      <c r="D97" s="113">
        <v>4.3</v>
      </c>
      <c r="E97" s="122"/>
      <c r="F97" s="122"/>
      <c r="G97" s="122"/>
      <c r="H97" s="122"/>
      <c r="I97" s="122"/>
      <c r="J97" s="122"/>
      <c r="K97" s="121">
        <f t="shared" ref="K97:AE97" si="67">$D76*SUM(K52:K53)</f>
        <v>0</v>
      </c>
      <c r="L97" s="121">
        <f t="shared" si="67"/>
        <v>0</v>
      </c>
      <c r="M97" s="121">
        <f t="shared" si="67"/>
        <v>0</v>
      </c>
      <c r="N97" s="121">
        <f t="shared" si="67"/>
        <v>0</v>
      </c>
      <c r="O97" s="121">
        <f t="shared" si="67"/>
        <v>0</v>
      </c>
      <c r="P97" s="121">
        <f t="shared" si="67"/>
        <v>6782.3747871443329</v>
      </c>
      <c r="Q97" s="121">
        <f t="shared" si="67"/>
        <v>8197.2984791243307</v>
      </c>
      <c r="R97" s="121">
        <f t="shared" si="67"/>
        <v>8665.8112225200694</v>
      </c>
      <c r="S97" s="121">
        <f t="shared" si="67"/>
        <v>8865.1248806379917</v>
      </c>
      <c r="T97" s="121">
        <f t="shared" si="67"/>
        <v>9069.0227528926753</v>
      </c>
      <c r="U97" s="121">
        <f t="shared" si="67"/>
        <v>9277.6102762092178</v>
      </c>
      <c r="V97" s="121">
        <f t="shared" si="67"/>
        <v>9490.9953125620232</v>
      </c>
      <c r="W97" s="121">
        <f t="shared" si="67"/>
        <v>9709.288204750932</v>
      </c>
      <c r="X97" s="121">
        <f t="shared" si="67"/>
        <v>9932.6018334602322</v>
      </c>
      <c r="Y97" s="121">
        <f t="shared" si="67"/>
        <v>10161.051675629817</v>
      </c>
      <c r="Z97" s="121">
        <f t="shared" si="67"/>
        <v>10394.755864169278</v>
      </c>
      <c r="AA97" s="121">
        <f t="shared" si="67"/>
        <v>10633.835249045182</v>
      </c>
      <c r="AB97" s="121">
        <f t="shared" si="67"/>
        <v>10878.413459773239</v>
      </c>
      <c r="AC97" s="121">
        <f t="shared" si="67"/>
        <v>11128.616969347977</v>
      </c>
      <c r="AD97" s="121">
        <f t="shared" si="67"/>
        <v>11384.575159643013</v>
      </c>
      <c r="AE97" s="124">
        <f t="shared" si="67"/>
        <v>11646.420388314766</v>
      </c>
    </row>
    <row r="98" spans="2:39" s="111" customFormat="1" x14ac:dyDescent="0.2">
      <c r="B98" s="112" t="s">
        <v>111</v>
      </c>
      <c r="C98" s="107"/>
      <c r="D98" s="113">
        <v>5.7</v>
      </c>
      <c r="E98" s="122"/>
      <c r="F98" s="122"/>
      <c r="G98" s="122"/>
      <c r="H98" s="122"/>
      <c r="I98" s="122"/>
      <c r="J98" s="122"/>
      <c r="K98" s="121">
        <f t="shared" ref="K98:AE98" si="68">$D77*SUM(K61:K62)</f>
        <v>0</v>
      </c>
      <c r="L98" s="121">
        <f t="shared" si="68"/>
        <v>0</v>
      </c>
      <c r="M98" s="121">
        <f t="shared" si="68"/>
        <v>0</v>
      </c>
      <c r="N98" s="121">
        <f t="shared" si="68"/>
        <v>0</v>
      </c>
      <c r="O98" s="121">
        <f t="shared" si="68"/>
        <v>0</v>
      </c>
      <c r="P98" s="121">
        <f t="shared" si="68"/>
        <v>1078.2823237956</v>
      </c>
      <c r="Q98" s="121">
        <f t="shared" si="68"/>
        <v>2256.3057625422925</v>
      </c>
      <c r="R98" s="121">
        <f t="shared" si="68"/>
        <v>2564.6675500897395</v>
      </c>
      <c r="S98" s="121">
        <f t="shared" si="68"/>
        <v>2623.6549037418031</v>
      </c>
      <c r="T98" s="121">
        <f t="shared" si="68"/>
        <v>2683.9989665278645</v>
      </c>
      <c r="U98" s="121">
        <f t="shared" si="68"/>
        <v>2745.7309427580058</v>
      </c>
      <c r="V98" s="121">
        <f t="shared" si="68"/>
        <v>2808.8827544414385</v>
      </c>
      <c r="W98" s="121">
        <f t="shared" si="68"/>
        <v>2873.4870577935917</v>
      </c>
      <c r="X98" s="121">
        <f t="shared" si="68"/>
        <v>2939.5772601228437</v>
      </c>
      <c r="Y98" s="121">
        <f t="shared" si="68"/>
        <v>3007.187537105669</v>
      </c>
      <c r="Z98" s="121">
        <f t="shared" si="68"/>
        <v>3076.352850459099</v>
      </c>
      <c r="AA98" s="121">
        <f t="shared" si="68"/>
        <v>3147.1089660196581</v>
      </c>
      <c r="AB98" s="121">
        <f t="shared" si="68"/>
        <v>3219.4924722381097</v>
      </c>
      <c r="AC98" s="121">
        <f t="shared" si="68"/>
        <v>3293.5407990995859</v>
      </c>
      <c r="AD98" s="121">
        <f t="shared" si="68"/>
        <v>3369.2922374788759</v>
      </c>
      <c r="AE98" s="124">
        <f t="shared" si="68"/>
        <v>3446.7859589408899</v>
      </c>
    </row>
    <row r="99" spans="2:39" x14ac:dyDescent="0.2">
      <c r="B99" s="119" t="s">
        <v>307</v>
      </c>
      <c r="C99" s="111"/>
      <c r="D99" s="122"/>
      <c r="K99" s="255">
        <f>SUM(K92:K98)</f>
        <v>0</v>
      </c>
      <c r="L99" s="255">
        <f t="shared" ref="L99:AE99" si="69">SUM(L92:L98)</f>
        <v>0</v>
      </c>
      <c r="M99" s="255">
        <f t="shared" si="69"/>
        <v>0</v>
      </c>
      <c r="N99" s="255">
        <f t="shared" si="69"/>
        <v>0</v>
      </c>
      <c r="O99" s="255">
        <f t="shared" si="69"/>
        <v>0</v>
      </c>
      <c r="P99" s="255">
        <f t="shared" si="69"/>
        <v>48438.514584151926</v>
      </c>
      <c r="Q99" s="255">
        <f t="shared" si="69"/>
        <v>71947.076856516011</v>
      </c>
      <c r="R99" s="255">
        <f t="shared" si="69"/>
        <v>78582.1964492111</v>
      </c>
      <c r="S99" s="255">
        <f t="shared" si="69"/>
        <v>80389.586967542928</v>
      </c>
      <c r="T99" s="255">
        <f t="shared" si="69"/>
        <v>82238.547467796423</v>
      </c>
      <c r="U99" s="255">
        <f t="shared" si="69"/>
        <v>84130.03405955575</v>
      </c>
      <c r="V99" s="255">
        <f t="shared" si="69"/>
        <v>86065.024842925472</v>
      </c>
      <c r="W99" s="255">
        <f t="shared" si="69"/>
        <v>88044.520414312778</v>
      </c>
      <c r="X99" s="255">
        <f t="shared" si="69"/>
        <v>90069.544383841989</v>
      </c>
      <c r="Y99" s="255">
        <f t="shared" si="69"/>
        <v>92141.143904670302</v>
      </c>
      <c r="Z99" s="255">
        <f t="shared" si="69"/>
        <v>94260.390214477709</v>
      </c>
      <c r="AA99" s="255">
        <f t="shared" si="69"/>
        <v>96428.379189410742</v>
      </c>
      <c r="AB99" s="255">
        <f t="shared" si="69"/>
        <v>98646.231910767194</v>
      </c>
      <c r="AC99" s="255">
        <f t="shared" si="69"/>
        <v>100915.09524471473</v>
      </c>
      <c r="AD99" s="255">
        <f t="shared" si="69"/>
        <v>103236.14243534319</v>
      </c>
      <c r="AE99" s="264">
        <f t="shared" si="69"/>
        <v>105610.57371135608</v>
      </c>
    </row>
    <row r="100" spans="2:39" x14ac:dyDescent="0.2">
      <c r="B100"/>
      <c r="C100"/>
      <c r="D100"/>
      <c r="E100"/>
      <c r="F100"/>
      <c r="G100"/>
      <c r="H100"/>
      <c r="I100"/>
      <c r="J100"/>
      <c r="K100"/>
      <c r="L100"/>
      <c r="M100"/>
      <c r="N100"/>
      <c r="O100"/>
      <c r="P100" s="161"/>
      <c r="Q100"/>
      <c r="R100"/>
      <c r="S100"/>
      <c r="T100"/>
      <c r="U100"/>
      <c r="V100"/>
      <c r="W100"/>
      <c r="X100"/>
      <c r="Y100"/>
      <c r="Z100"/>
      <c r="AA100"/>
      <c r="AB100"/>
      <c r="AC100"/>
      <c r="AD100" s="239"/>
      <c r="AE100" s="243"/>
      <c r="AF100"/>
      <c r="AG100"/>
      <c r="AH100"/>
      <c r="AI100"/>
      <c r="AJ100"/>
      <c r="AK100"/>
      <c r="AL100"/>
      <c r="AM100"/>
    </row>
    <row r="101" spans="2:39" x14ac:dyDescent="0.2">
      <c r="B101" s="235" t="s">
        <v>293</v>
      </c>
      <c r="C101"/>
      <c r="D101"/>
      <c r="E101"/>
      <c r="F101"/>
      <c r="G101"/>
      <c r="H101"/>
      <c r="I101"/>
      <c r="J101"/>
      <c r="K101"/>
      <c r="L101"/>
      <c r="M101"/>
      <c r="N101"/>
      <c r="O101"/>
      <c r="P101"/>
      <c r="Q101"/>
      <c r="R101"/>
      <c r="S101"/>
      <c r="T101"/>
      <c r="U101"/>
      <c r="V101"/>
      <c r="W101"/>
      <c r="X101"/>
      <c r="Y101"/>
      <c r="Z101"/>
      <c r="AA101"/>
      <c r="AB101"/>
      <c r="AC101"/>
      <c r="AD101" s="239"/>
      <c r="AE101" s="243"/>
      <c r="AF101"/>
      <c r="AG101"/>
      <c r="AH101"/>
      <c r="AI101"/>
      <c r="AJ101"/>
      <c r="AK101"/>
      <c r="AL101"/>
      <c r="AM101"/>
    </row>
    <row r="102" spans="2:39" x14ac:dyDescent="0.2">
      <c r="B102" s="22" t="s">
        <v>76</v>
      </c>
      <c r="D102" s="237" t="s">
        <v>296</v>
      </c>
      <c r="E102" s="22" t="s">
        <v>294</v>
      </c>
      <c r="F102" s="22">
        <v>2003</v>
      </c>
      <c r="G102" s="22">
        <v>2004</v>
      </c>
      <c r="H102" s="22">
        <v>2005</v>
      </c>
      <c r="I102" s="22">
        <v>2006</v>
      </c>
      <c r="J102" s="22">
        <v>2007</v>
      </c>
      <c r="K102" s="22">
        <v>2008</v>
      </c>
      <c r="L102" s="22">
        <v>2009</v>
      </c>
      <c r="M102" s="22">
        <v>2010</v>
      </c>
      <c r="N102" s="22">
        <v>2011</v>
      </c>
      <c r="O102" s="22" t="s">
        <v>295</v>
      </c>
      <c r="P102" s="22">
        <v>2013</v>
      </c>
      <c r="Q102" s="22">
        <v>2014</v>
      </c>
      <c r="R102" s="22">
        <v>2015</v>
      </c>
      <c r="S102" s="22">
        <v>2016</v>
      </c>
      <c r="T102" s="22">
        <v>2017</v>
      </c>
      <c r="U102" s="22">
        <v>2018</v>
      </c>
      <c r="V102" s="22">
        <v>2019</v>
      </c>
      <c r="W102" s="22">
        <v>2020</v>
      </c>
      <c r="X102" s="22">
        <v>2021</v>
      </c>
      <c r="Y102" s="22">
        <v>2022</v>
      </c>
      <c r="Z102" s="22">
        <v>2023</v>
      </c>
      <c r="AA102" s="22">
        <v>2024</v>
      </c>
      <c r="AB102" s="22">
        <v>2025</v>
      </c>
      <c r="AC102" s="22">
        <v>2026</v>
      </c>
      <c r="AD102" s="240">
        <v>2027</v>
      </c>
      <c r="AE102" s="244">
        <v>2028</v>
      </c>
      <c r="AF102" s="22"/>
    </row>
    <row r="103" spans="2:39" x14ac:dyDescent="0.2">
      <c r="B103" t="s">
        <v>297</v>
      </c>
      <c r="D103" s="20">
        <v>2.7E-2</v>
      </c>
      <c r="E103" s="159">
        <v>34443603</v>
      </c>
      <c r="F103" s="160">
        <f t="shared" ref="F103:N103" si="70">E103*(1+$D103)</f>
        <v>35373580.280999996</v>
      </c>
      <c r="G103" s="160">
        <f t="shared" si="70"/>
        <v>36328666.948586993</v>
      </c>
      <c r="H103" s="160">
        <f t="shared" si="70"/>
        <v>37309540.956198841</v>
      </c>
      <c r="I103" s="160">
        <f t="shared" si="70"/>
        <v>38316898.562016204</v>
      </c>
      <c r="J103" s="160">
        <f t="shared" si="70"/>
        <v>39351454.823190637</v>
      </c>
      <c r="K103" s="160">
        <f t="shared" si="70"/>
        <v>40413944.103416778</v>
      </c>
      <c r="L103" s="160">
        <f t="shared" si="70"/>
        <v>41505120.59420903</v>
      </c>
      <c r="M103" s="160">
        <f t="shared" si="70"/>
        <v>42625758.850252673</v>
      </c>
      <c r="N103" s="160">
        <f t="shared" si="70"/>
        <v>43776654.33920949</v>
      </c>
      <c r="O103" s="159">
        <v>44928923</v>
      </c>
      <c r="P103" s="161">
        <f t="shared" ref="P103:AE103" si="71">O103*(1+$D103)</f>
        <v>46142003.920999996</v>
      </c>
      <c r="Q103" s="161">
        <f t="shared" si="71"/>
        <v>47387838.026866995</v>
      </c>
      <c r="R103" s="161">
        <f t="shared" si="71"/>
        <v>48667309.6535924</v>
      </c>
      <c r="S103" s="161">
        <f t="shared" si="71"/>
        <v>49981327.014239393</v>
      </c>
      <c r="T103" s="161">
        <f t="shared" si="71"/>
        <v>51330822.843623854</v>
      </c>
      <c r="U103" s="161">
        <f t="shared" si="71"/>
        <v>52716755.060401693</v>
      </c>
      <c r="V103" s="161">
        <f t="shared" si="71"/>
        <v>54140107.447032534</v>
      </c>
      <c r="W103" s="161">
        <f t="shared" si="71"/>
        <v>55601890.348102406</v>
      </c>
      <c r="X103" s="161">
        <f t="shared" si="71"/>
        <v>57103141.387501165</v>
      </c>
      <c r="Y103" s="161">
        <f t="shared" si="71"/>
        <v>58644926.204963692</v>
      </c>
      <c r="Z103" s="161">
        <f t="shared" si="71"/>
        <v>60228339.212497704</v>
      </c>
      <c r="AA103" s="161">
        <f t="shared" si="71"/>
        <v>61854504.37123514</v>
      </c>
      <c r="AB103" s="161">
        <f t="shared" si="71"/>
        <v>63524575.989258483</v>
      </c>
      <c r="AC103" s="161">
        <f t="shared" si="71"/>
        <v>65239739.540968455</v>
      </c>
      <c r="AD103" s="241">
        <f t="shared" si="71"/>
        <v>67001212.508574598</v>
      </c>
      <c r="AE103" s="245">
        <f t="shared" si="71"/>
        <v>68810245.246306106</v>
      </c>
      <c r="AF103" s="161"/>
    </row>
    <row r="104" spans="2:39" x14ac:dyDescent="0.2">
      <c r="B104" s="162" t="s">
        <v>299</v>
      </c>
      <c r="D104" s="20">
        <v>2.8000000000000001E-2</v>
      </c>
      <c r="E104" s="159">
        <f>E103-E105</f>
        <v>981754</v>
      </c>
      <c r="F104" s="160">
        <f t="shared" ref="F104:N104" si="72">E104*(1+$D104)</f>
        <v>1009243.1120000001</v>
      </c>
      <c r="G104" s="160">
        <f t="shared" si="72"/>
        <v>1037501.9191360001</v>
      </c>
      <c r="H104" s="160">
        <f t="shared" si="72"/>
        <v>1066551.9728718081</v>
      </c>
      <c r="I104" s="160">
        <f t="shared" si="72"/>
        <v>1096415.4281122189</v>
      </c>
      <c r="J104" s="160">
        <f t="shared" si="72"/>
        <v>1127115.060099361</v>
      </c>
      <c r="K104" s="160">
        <f t="shared" si="72"/>
        <v>1158674.2817821431</v>
      </c>
      <c r="L104" s="160">
        <f t="shared" si="72"/>
        <v>1191117.1616720431</v>
      </c>
      <c r="M104" s="160">
        <f t="shared" si="72"/>
        <v>1224468.4421988605</v>
      </c>
      <c r="N104" s="160">
        <f t="shared" si="72"/>
        <v>1258753.5585804286</v>
      </c>
      <c r="O104" s="159">
        <f>O103-O105</f>
        <v>1303569</v>
      </c>
      <c r="P104" s="161">
        <f t="shared" ref="P104:AE104" si="73">O104*(1+$D104)</f>
        <v>1340068.932</v>
      </c>
      <c r="Q104" s="161">
        <f t="shared" si="73"/>
        <v>1377590.862096</v>
      </c>
      <c r="R104" s="161">
        <f t="shared" si="73"/>
        <v>1416163.4062346881</v>
      </c>
      <c r="S104" s="161">
        <f t="shared" si="73"/>
        <v>1455815.9816092595</v>
      </c>
      <c r="T104" s="161">
        <f t="shared" si="73"/>
        <v>1496578.8290943189</v>
      </c>
      <c r="U104" s="161">
        <f t="shared" si="73"/>
        <v>1538483.0363089598</v>
      </c>
      <c r="V104" s="161">
        <f t="shared" si="73"/>
        <v>1581560.5613256108</v>
      </c>
      <c r="W104" s="161">
        <f t="shared" si="73"/>
        <v>1625844.2570427279</v>
      </c>
      <c r="X104" s="161">
        <f t="shared" si="73"/>
        <v>1671367.8962399242</v>
      </c>
      <c r="Y104" s="161">
        <f t="shared" si="73"/>
        <v>1718166.1973346421</v>
      </c>
      <c r="Z104" s="161">
        <f t="shared" si="73"/>
        <v>1766274.850860012</v>
      </c>
      <c r="AA104" s="161">
        <f t="shared" si="73"/>
        <v>1815730.5466840924</v>
      </c>
      <c r="AB104" s="161">
        <f t="shared" si="73"/>
        <v>1866571.0019912471</v>
      </c>
      <c r="AC104" s="161">
        <f t="shared" si="73"/>
        <v>1918834.990047002</v>
      </c>
      <c r="AD104" s="241">
        <f t="shared" si="73"/>
        <v>1972562.369768318</v>
      </c>
      <c r="AE104" s="245">
        <f t="shared" si="73"/>
        <v>2027794.1161218309</v>
      </c>
      <c r="AF104" s="161"/>
    </row>
    <row r="105" spans="2:39" x14ac:dyDescent="0.2">
      <c r="B105" s="162" t="s">
        <v>298</v>
      </c>
      <c r="D105" s="20">
        <v>2.7E-2</v>
      </c>
      <c r="E105" s="159">
        <v>33461849</v>
      </c>
      <c r="F105" s="160">
        <f t="shared" ref="F105:N105" si="74">E105*(1+$D105)</f>
        <v>34365318.923</v>
      </c>
      <c r="G105" s="160">
        <f t="shared" si="74"/>
        <v>35293182.533920996</v>
      </c>
      <c r="H105" s="160">
        <f t="shared" si="74"/>
        <v>36246098.462336861</v>
      </c>
      <c r="I105" s="160">
        <f t="shared" si="74"/>
        <v>37224743.120819956</v>
      </c>
      <c r="J105" s="160">
        <f t="shared" si="74"/>
        <v>38229811.185082093</v>
      </c>
      <c r="K105" s="160">
        <f t="shared" si="74"/>
        <v>39262016.087079309</v>
      </c>
      <c r="L105" s="160">
        <f t="shared" si="74"/>
        <v>40322090.521430448</v>
      </c>
      <c r="M105" s="160">
        <f t="shared" si="74"/>
        <v>41410786.965509064</v>
      </c>
      <c r="N105" s="160">
        <f t="shared" si="74"/>
        <v>42528878.213577807</v>
      </c>
      <c r="O105" s="159">
        <v>43625354</v>
      </c>
      <c r="P105" s="161">
        <f t="shared" ref="P105:AE105" si="75">O105*(1+$D105)</f>
        <v>44803238.557999998</v>
      </c>
      <c r="Q105" s="161">
        <f t="shared" si="75"/>
        <v>46012925.999065995</v>
      </c>
      <c r="R105" s="161">
        <f t="shared" si="75"/>
        <v>47255275.001040772</v>
      </c>
      <c r="S105" s="161">
        <f t="shared" si="75"/>
        <v>48531167.426068865</v>
      </c>
      <c r="T105" s="161">
        <f t="shared" si="75"/>
        <v>49841508.946572721</v>
      </c>
      <c r="U105" s="161">
        <f t="shared" si="75"/>
        <v>51187229.688130178</v>
      </c>
      <c r="V105" s="161">
        <f t="shared" si="75"/>
        <v>52569284.889709689</v>
      </c>
      <c r="W105" s="161">
        <f t="shared" si="75"/>
        <v>53988655.581731848</v>
      </c>
      <c r="X105" s="161">
        <f t="shared" si="75"/>
        <v>55446349.282438606</v>
      </c>
      <c r="Y105" s="161">
        <f t="shared" si="75"/>
        <v>56943400.713064447</v>
      </c>
      <c r="Z105" s="161">
        <f t="shared" si="75"/>
        <v>58480872.532317184</v>
      </c>
      <c r="AA105" s="161">
        <f t="shared" si="75"/>
        <v>60059856.090689741</v>
      </c>
      <c r="AB105" s="161">
        <f t="shared" si="75"/>
        <v>61681472.205138355</v>
      </c>
      <c r="AC105" s="161">
        <f t="shared" si="75"/>
        <v>63346871.954677083</v>
      </c>
      <c r="AD105" s="241">
        <f t="shared" si="75"/>
        <v>65057237.497453362</v>
      </c>
      <c r="AE105" s="245">
        <f t="shared" si="75"/>
        <v>66813782.909884594</v>
      </c>
      <c r="AF105" s="161"/>
    </row>
    <row r="106" spans="2:39" x14ac:dyDescent="0.2">
      <c r="B106" s="107"/>
      <c r="C106" s="238" t="s">
        <v>35</v>
      </c>
      <c r="D106" s="20">
        <v>2.1000000000000001E-2</v>
      </c>
      <c r="E106" s="159">
        <v>1692025</v>
      </c>
      <c r="F106" s="160">
        <f t="shared" ref="F106:N106" si="76">E106*(1+$D106)</f>
        <v>1727557.5249999999</v>
      </c>
      <c r="G106" s="160">
        <f t="shared" si="76"/>
        <v>1763836.2330249997</v>
      </c>
      <c r="H106" s="160">
        <f t="shared" si="76"/>
        <v>1800876.7939185246</v>
      </c>
      <c r="I106" s="160">
        <f t="shared" si="76"/>
        <v>1838695.2065908136</v>
      </c>
      <c r="J106" s="160">
        <f t="shared" si="76"/>
        <v>1877307.8059292205</v>
      </c>
      <c r="K106" s="160">
        <f t="shared" si="76"/>
        <v>1916731.2698537339</v>
      </c>
      <c r="L106" s="160">
        <f t="shared" si="76"/>
        <v>1956982.6265206621</v>
      </c>
      <c r="M106" s="160">
        <f t="shared" si="76"/>
        <v>1998079.2616775958</v>
      </c>
      <c r="N106" s="160">
        <f t="shared" si="76"/>
        <v>2040038.926172825</v>
      </c>
      <c r="O106" s="159">
        <v>2083588</v>
      </c>
      <c r="P106" s="161">
        <f t="shared" ref="P106:AE106" si="77">O106*(1+$D106)</f>
        <v>2127343.3479999998</v>
      </c>
      <c r="Q106" s="161">
        <f t="shared" si="77"/>
        <v>2172017.5583079997</v>
      </c>
      <c r="R106" s="161">
        <f t="shared" si="77"/>
        <v>2217629.9270324674</v>
      </c>
      <c r="S106" s="161">
        <f t="shared" si="77"/>
        <v>2264200.1555001489</v>
      </c>
      <c r="T106" s="161">
        <f t="shared" si="77"/>
        <v>2311748.3587656519</v>
      </c>
      <c r="U106" s="161">
        <f t="shared" si="77"/>
        <v>2360295.0742997304</v>
      </c>
      <c r="V106" s="161">
        <f t="shared" si="77"/>
        <v>2409861.2708600243</v>
      </c>
      <c r="W106" s="161">
        <f t="shared" si="77"/>
        <v>2460468.3575480846</v>
      </c>
      <c r="X106" s="161">
        <f t="shared" si="77"/>
        <v>2512138.1930565941</v>
      </c>
      <c r="Y106" s="161">
        <f t="shared" si="77"/>
        <v>2564893.0951107824</v>
      </c>
      <c r="Z106" s="161">
        <f t="shared" si="77"/>
        <v>2618755.8501081085</v>
      </c>
      <c r="AA106" s="161">
        <f t="shared" si="77"/>
        <v>2673749.7229603785</v>
      </c>
      <c r="AB106" s="161">
        <f t="shared" si="77"/>
        <v>2729898.4671425461</v>
      </c>
      <c r="AC106" s="161">
        <f t="shared" si="77"/>
        <v>2787226.3349525393</v>
      </c>
      <c r="AD106" s="241">
        <f t="shared" si="77"/>
        <v>2845758.0879865424</v>
      </c>
      <c r="AE106" s="245">
        <f t="shared" si="77"/>
        <v>2905519.0078342594</v>
      </c>
      <c r="AF106" s="161"/>
    </row>
    <row r="107" spans="2:39" x14ac:dyDescent="0.2">
      <c r="B107" s="107"/>
      <c r="C107" s="238" t="s">
        <v>34</v>
      </c>
      <c r="D107" s="20">
        <v>2.1999999999999999E-2</v>
      </c>
      <c r="E107" s="159">
        <v>1636280</v>
      </c>
      <c r="F107" s="160">
        <f t="shared" ref="F107:N107" si="78">E107*(1+$D107)</f>
        <v>1672278.16</v>
      </c>
      <c r="G107" s="160">
        <f t="shared" si="78"/>
        <v>1709068.2795199999</v>
      </c>
      <c r="H107" s="160">
        <f t="shared" si="78"/>
        <v>1746667.78166944</v>
      </c>
      <c r="I107" s="160">
        <f t="shared" si="78"/>
        <v>1785094.4728661678</v>
      </c>
      <c r="J107" s="160">
        <f t="shared" si="78"/>
        <v>1824366.5512692234</v>
      </c>
      <c r="K107" s="160">
        <f t="shared" si="78"/>
        <v>1864502.6153971464</v>
      </c>
      <c r="L107" s="160">
        <f t="shared" si="78"/>
        <v>1905521.6729358837</v>
      </c>
      <c r="M107" s="160">
        <f t="shared" si="78"/>
        <v>1947443.1497404731</v>
      </c>
      <c r="N107" s="160">
        <f t="shared" si="78"/>
        <v>1990286.8990347637</v>
      </c>
      <c r="O107" s="159">
        <v>2045205</v>
      </c>
      <c r="P107" s="161">
        <f t="shared" ref="P107:AE107" si="79">O107*(1+$D107)</f>
        <v>2090199.51</v>
      </c>
      <c r="Q107" s="161">
        <f t="shared" si="79"/>
        <v>2136183.89922</v>
      </c>
      <c r="R107" s="161">
        <f t="shared" si="79"/>
        <v>2183179.9450028399</v>
      </c>
      <c r="S107" s="161">
        <f t="shared" si="79"/>
        <v>2231209.9037929024</v>
      </c>
      <c r="T107" s="161">
        <f t="shared" si="79"/>
        <v>2280296.5216763462</v>
      </c>
      <c r="U107" s="161">
        <f t="shared" si="79"/>
        <v>2330463.0451532258</v>
      </c>
      <c r="V107" s="161">
        <f t="shared" si="79"/>
        <v>2381733.232146597</v>
      </c>
      <c r="W107" s="161">
        <f t="shared" si="79"/>
        <v>2434131.3632538221</v>
      </c>
      <c r="X107" s="161">
        <f t="shared" si="79"/>
        <v>2487682.2532454063</v>
      </c>
      <c r="Y107" s="161">
        <f t="shared" si="79"/>
        <v>2542411.2628168054</v>
      </c>
      <c r="Z107" s="161">
        <f t="shared" si="79"/>
        <v>2598344.3105987753</v>
      </c>
      <c r="AA107" s="161">
        <f t="shared" si="79"/>
        <v>2655507.8854319486</v>
      </c>
      <c r="AB107" s="161">
        <f t="shared" si="79"/>
        <v>2713929.0589114516</v>
      </c>
      <c r="AC107" s="161">
        <f t="shared" si="79"/>
        <v>2773635.4982075035</v>
      </c>
      <c r="AD107" s="241">
        <f t="shared" si="79"/>
        <v>2834655.4791680686</v>
      </c>
      <c r="AE107" s="245">
        <f t="shared" si="79"/>
        <v>2897017.8997097663</v>
      </c>
      <c r="AF107" s="161"/>
    </row>
    <row r="108" spans="2:39" x14ac:dyDescent="0.2">
      <c r="B108" s="107"/>
      <c r="C108" s="238" t="s">
        <v>36</v>
      </c>
      <c r="D108" s="20">
        <v>2.4E-2</v>
      </c>
      <c r="E108" s="159">
        <v>1753362</v>
      </c>
      <c r="F108" s="160">
        <f t="shared" ref="F108:N108" si="80">E108*(1+$D108)</f>
        <v>1795442.6880000001</v>
      </c>
      <c r="G108" s="160">
        <f t="shared" si="80"/>
        <v>1838533.3125120001</v>
      </c>
      <c r="H108" s="160">
        <f t="shared" si="80"/>
        <v>1882658.1120122881</v>
      </c>
      <c r="I108" s="160">
        <f t="shared" si="80"/>
        <v>1927841.9067005829</v>
      </c>
      <c r="J108" s="160">
        <f t="shared" si="80"/>
        <v>1974110.112461397</v>
      </c>
      <c r="K108" s="160">
        <f t="shared" si="80"/>
        <v>2021488.7551604705</v>
      </c>
      <c r="L108" s="160">
        <f t="shared" si="80"/>
        <v>2070004.4852843219</v>
      </c>
      <c r="M108" s="160">
        <f t="shared" si="80"/>
        <v>2119684.5929311458</v>
      </c>
      <c r="N108" s="160">
        <f t="shared" si="80"/>
        <v>2170557.0231614932</v>
      </c>
      <c r="O108" s="159">
        <v>2218492</v>
      </c>
      <c r="P108" s="161">
        <f t="shared" ref="P108:AE108" si="81">O108*(1+$D108)</f>
        <v>2271735.8080000002</v>
      </c>
      <c r="Q108" s="161">
        <f t="shared" si="81"/>
        <v>2326257.4673920004</v>
      </c>
      <c r="R108" s="161">
        <f t="shared" si="81"/>
        <v>2382087.6466094083</v>
      </c>
      <c r="S108" s="161">
        <f t="shared" si="81"/>
        <v>2439257.750128034</v>
      </c>
      <c r="T108" s="161">
        <f t="shared" si="81"/>
        <v>2497799.9361311067</v>
      </c>
      <c r="U108" s="161">
        <f t="shared" si="81"/>
        <v>2557747.1345982533</v>
      </c>
      <c r="V108" s="161">
        <f t="shared" si="81"/>
        <v>2619133.0658286116</v>
      </c>
      <c r="W108" s="161">
        <f t="shared" si="81"/>
        <v>2681992.2594084982</v>
      </c>
      <c r="X108" s="161">
        <f t="shared" si="81"/>
        <v>2746360.0736343022</v>
      </c>
      <c r="Y108" s="161">
        <f t="shared" si="81"/>
        <v>2812272.7154015256</v>
      </c>
      <c r="Z108" s="161">
        <f t="shared" si="81"/>
        <v>2879767.2605711622</v>
      </c>
      <c r="AA108" s="161">
        <f t="shared" si="81"/>
        <v>2948881.6748248702</v>
      </c>
      <c r="AB108" s="161">
        <f t="shared" si="81"/>
        <v>3019654.8350206669</v>
      </c>
      <c r="AC108" s="161">
        <f t="shared" si="81"/>
        <v>3092126.5510611632</v>
      </c>
      <c r="AD108" s="241">
        <f t="shared" si="81"/>
        <v>3166337.5882866313</v>
      </c>
      <c r="AE108" s="245">
        <f t="shared" si="81"/>
        <v>3242329.6904055104</v>
      </c>
      <c r="AF108" s="161"/>
    </row>
    <row r="109" spans="2:39" x14ac:dyDescent="0.2">
      <c r="B109" s="107"/>
      <c r="C109" s="238" t="s">
        <v>37</v>
      </c>
      <c r="D109" s="20">
        <v>1.0999999999999999E-2</v>
      </c>
      <c r="E109" s="159">
        <v>840404</v>
      </c>
      <c r="F109" s="160">
        <f t="shared" ref="F109:N109" si="82">E109*(1+$D109)</f>
        <v>849648.4439999999</v>
      </c>
      <c r="G109" s="160">
        <f t="shared" si="82"/>
        <v>858994.57688399986</v>
      </c>
      <c r="H109" s="160">
        <f t="shared" si="82"/>
        <v>868443.51722972374</v>
      </c>
      <c r="I109" s="160">
        <f t="shared" si="82"/>
        <v>877996.39591925067</v>
      </c>
      <c r="J109" s="160">
        <f t="shared" si="82"/>
        <v>887654.3562743623</v>
      </c>
      <c r="K109" s="160">
        <f t="shared" si="82"/>
        <v>897418.55419338017</v>
      </c>
      <c r="L109" s="160">
        <f t="shared" si="82"/>
        <v>907290.15828950726</v>
      </c>
      <c r="M109" s="160">
        <f t="shared" si="82"/>
        <v>917270.35003069171</v>
      </c>
      <c r="N109" s="160">
        <f t="shared" si="82"/>
        <v>927360.32388102927</v>
      </c>
      <c r="O109" s="159">
        <v>941238</v>
      </c>
      <c r="P109" s="161">
        <f t="shared" ref="P109:AE109" si="83">O109*(1+$D109)</f>
        <v>951591.6179999999</v>
      </c>
      <c r="Q109" s="161">
        <f t="shared" si="83"/>
        <v>962059.12579799979</v>
      </c>
      <c r="R109" s="161">
        <f t="shared" si="83"/>
        <v>972641.77618177771</v>
      </c>
      <c r="S109" s="161">
        <f t="shared" si="83"/>
        <v>983340.83571977715</v>
      </c>
      <c r="T109" s="161">
        <f t="shared" si="83"/>
        <v>994157.58491269464</v>
      </c>
      <c r="U109" s="161">
        <f t="shared" si="83"/>
        <v>1005093.3183467342</v>
      </c>
      <c r="V109" s="161">
        <f t="shared" si="83"/>
        <v>1016149.3448485482</v>
      </c>
      <c r="W109" s="161">
        <f t="shared" si="83"/>
        <v>1027326.9876418822</v>
      </c>
      <c r="X109" s="161">
        <f t="shared" si="83"/>
        <v>1038627.5845059428</v>
      </c>
      <c r="Y109" s="161">
        <f t="shared" si="83"/>
        <v>1050052.4879355081</v>
      </c>
      <c r="Z109" s="161">
        <f t="shared" si="83"/>
        <v>1061603.0653027985</v>
      </c>
      <c r="AA109" s="161">
        <f t="shared" si="83"/>
        <v>1073280.6990211292</v>
      </c>
      <c r="AB109" s="161">
        <f t="shared" si="83"/>
        <v>1085086.7867103615</v>
      </c>
      <c r="AC109" s="161">
        <f t="shared" si="83"/>
        <v>1097022.7413641755</v>
      </c>
      <c r="AD109" s="241">
        <f t="shared" si="83"/>
        <v>1109089.9915191813</v>
      </c>
      <c r="AE109" s="245">
        <f t="shared" si="83"/>
        <v>1121289.9814258921</v>
      </c>
      <c r="AF109" s="161"/>
    </row>
    <row r="110" spans="2:39" x14ac:dyDescent="0.2">
      <c r="B110" s="107"/>
      <c r="C110" s="238" t="s">
        <v>39</v>
      </c>
      <c r="D110" s="20">
        <v>2.7E-2</v>
      </c>
      <c r="E110" s="159">
        <v>2063328</v>
      </c>
      <c r="F110" s="160">
        <f t="shared" ref="F110:N110" si="84">E110*(1+$D110)</f>
        <v>2119037.8559999997</v>
      </c>
      <c r="G110" s="160">
        <f t="shared" si="84"/>
        <v>2176251.8781119995</v>
      </c>
      <c r="H110" s="160">
        <f t="shared" si="84"/>
        <v>2235010.6788210231</v>
      </c>
      <c r="I110" s="160">
        <f t="shared" si="84"/>
        <v>2295355.9671491906</v>
      </c>
      <c r="J110" s="160">
        <f t="shared" si="84"/>
        <v>2357330.5782622187</v>
      </c>
      <c r="K110" s="160">
        <f t="shared" si="84"/>
        <v>2420978.5038752984</v>
      </c>
      <c r="L110" s="160">
        <f t="shared" si="84"/>
        <v>2486344.9234799314</v>
      </c>
      <c r="M110" s="160">
        <f t="shared" si="84"/>
        <v>2553476.2364138896</v>
      </c>
      <c r="N110" s="160">
        <f t="shared" si="84"/>
        <v>2622420.0947970646</v>
      </c>
      <c r="O110" s="159">
        <v>2707410</v>
      </c>
      <c r="P110" s="161">
        <f t="shared" ref="P110:AE110" si="85">O110*(1+$D110)</f>
        <v>2780510.07</v>
      </c>
      <c r="Q110" s="161">
        <f t="shared" si="85"/>
        <v>2855583.8418899998</v>
      </c>
      <c r="R110" s="161">
        <f t="shared" si="85"/>
        <v>2932684.6056210296</v>
      </c>
      <c r="S110" s="161">
        <f t="shared" si="85"/>
        <v>3011867.0899727973</v>
      </c>
      <c r="T110" s="161">
        <f t="shared" si="85"/>
        <v>3093187.5014020624</v>
      </c>
      <c r="U110" s="161">
        <f t="shared" si="85"/>
        <v>3176703.5639399178</v>
      </c>
      <c r="V110" s="161">
        <f t="shared" si="85"/>
        <v>3262474.5601662952</v>
      </c>
      <c r="W110" s="161">
        <f t="shared" si="85"/>
        <v>3350561.3732907847</v>
      </c>
      <c r="X110" s="161">
        <f t="shared" si="85"/>
        <v>3441026.5303696357</v>
      </c>
      <c r="Y110" s="161">
        <f t="shared" si="85"/>
        <v>3533934.2466896153</v>
      </c>
      <c r="Z110" s="161">
        <f t="shared" si="85"/>
        <v>3629350.4713502345</v>
      </c>
      <c r="AA110" s="161">
        <f t="shared" si="85"/>
        <v>3727342.9340766906</v>
      </c>
      <c r="AB110" s="161">
        <f t="shared" si="85"/>
        <v>3827981.1932967608</v>
      </c>
      <c r="AC110" s="161">
        <f t="shared" si="85"/>
        <v>3931336.685515773</v>
      </c>
      <c r="AD110" s="241">
        <f t="shared" si="85"/>
        <v>4037482.7760246987</v>
      </c>
      <c r="AE110" s="245">
        <f t="shared" si="85"/>
        <v>4146494.8109773654</v>
      </c>
      <c r="AF110" s="161"/>
    </row>
    <row r="111" spans="2:39" x14ac:dyDescent="0.2">
      <c r="B111" s="107"/>
      <c r="C111" s="238" t="s">
        <v>111</v>
      </c>
      <c r="D111" s="20">
        <v>2.4E-2</v>
      </c>
      <c r="E111" s="159">
        <v>1674047</v>
      </c>
      <c r="F111" s="160">
        <f t="shared" ref="F111:N111" si="86">E111*(1+$D111)</f>
        <v>1714224.128</v>
      </c>
      <c r="G111" s="160">
        <f t="shared" si="86"/>
        <v>1755365.5070720001</v>
      </c>
      <c r="H111" s="160">
        <f t="shared" si="86"/>
        <v>1797494.2792417281</v>
      </c>
      <c r="I111" s="160">
        <f t="shared" si="86"/>
        <v>1840634.1419435297</v>
      </c>
      <c r="J111" s="160">
        <f t="shared" si="86"/>
        <v>1884809.3613501745</v>
      </c>
      <c r="K111" s="160">
        <f t="shared" si="86"/>
        <v>1930044.7860225788</v>
      </c>
      <c r="L111" s="160">
        <f t="shared" si="86"/>
        <v>1976365.8608871207</v>
      </c>
      <c r="M111" s="160">
        <f t="shared" si="86"/>
        <v>2023798.6415484117</v>
      </c>
      <c r="N111" s="160">
        <f t="shared" si="86"/>
        <v>2072369.8089455736</v>
      </c>
      <c r="O111" s="159">
        <v>2127930</v>
      </c>
      <c r="P111" s="161">
        <f t="shared" ref="P111:AE111" si="87">O111*(1+$D111)</f>
        <v>2179000.3199999998</v>
      </c>
      <c r="Q111" s="161">
        <f t="shared" si="87"/>
        <v>2231296.3276800001</v>
      </c>
      <c r="R111" s="161">
        <f t="shared" si="87"/>
        <v>2284847.4395443201</v>
      </c>
      <c r="S111" s="161">
        <f t="shared" si="87"/>
        <v>2339683.7780933836</v>
      </c>
      <c r="T111" s="161">
        <f t="shared" si="87"/>
        <v>2395836.188767625</v>
      </c>
      <c r="U111" s="161">
        <f t="shared" si="87"/>
        <v>2453336.2572980481</v>
      </c>
      <c r="V111" s="161">
        <f t="shared" si="87"/>
        <v>2512216.3274732013</v>
      </c>
      <c r="W111" s="161">
        <f t="shared" si="87"/>
        <v>2572509.5193325584</v>
      </c>
      <c r="X111" s="161">
        <f t="shared" si="87"/>
        <v>2634249.7477965397</v>
      </c>
      <c r="Y111" s="161">
        <f t="shared" si="87"/>
        <v>2697471.7417436568</v>
      </c>
      <c r="Z111" s="161">
        <f t="shared" si="87"/>
        <v>2762211.0635455046</v>
      </c>
      <c r="AA111" s="161">
        <f t="shared" si="87"/>
        <v>2828504.1290705968</v>
      </c>
      <c r="AB111" s="161">
        <f t="shared" si="87"/>
        <v>2896388.228168291</v>
      </c>
      <c r="AC111" s="161">
        <f t="shared" si="87"/>
        <v>2965901.5456443299</v>
      </c>
      <c r="AD111" s="241">
        <f t="shared" si="87"/>
        <v>3037083.1827397938</v>
      </c>
      <c r="AE111" s="245">
        <f t="shared" si="87"/>
        <v>3109973.1791255488</v>
      </c>
      <c r="AF111" s="161"/>
    </row>
    <row r="112" spans="2:39" x14ac:dyDescent="0.2">
      <c r="B112" s="107"/>
      <c r="C112" s="238" t="s">
        <v>38</v>
      </c>
      <c r="D112" s="20">
        <v>0.03</v>
      </c>
      <c r="E112" s="159">
        <v>2058866</v>
      </c>
      <c r="F112" s="160">
        <f t="shared" ref="F112:N112" si="88">E112*(1+$D112)</f>
        <v>2120631.98</v>
      </c>
      <c r="G112" s="160">
        <f t="shared" si="88"/>
        <v>2184250.9394</v>
      </c>
      <c r="H112" s="160">
        <f t="shared" si="88"/>
        <v>2249778.467582</v>
      </c>
      <c r="I112" s="160">
        <f t="shared" si="88"/>
        <v>2317271.8216094598</v>
      </c>
      <c r="J112" s="160">
        <f t="shared" si="88"/>
        <v>2386789.9762577438</v>
      </c>
      <c r="K112" s="160">
        <f t="shared" si="88"/>
        <v>2458393.6755454764</v>
      </c>
      <c r="L112" s="160">
        <f t="shared" si="88"/>
        <v>2532145.4858118407</v>
      </c>
      <c r="M112" s="160">
        <f t="shared" si="88"/>
        <v>2608109.8503861958</v>
      </c>
      <c r="N112" s="160">
        <f t="shared" si="88"/>
        <v>2686353.1458977819</v>
      </c>
      <c r="O112" s="159">
        <v>2772509</v>
      </c>
      <c r="P112" s="161">
        <f t="shared" ref="P112:AE112" si="89">O112*(1+$D112)</f>
        <v>2855684.27</v>
      </c>
      <c r="Q112" s="161">
        <f t="shared" si="89"/>
        <v>2941354.7981000002</v>
      </c>
      <c r="R112" s="161">
        <f t="shared" si="89"/>
        <v>3029595.4420430004</v>
      </c>
      <c r="S112" s="161">
        <f t="shared" si="89"/>
        <v>3120483.3053042903</v>
      </c>
      <c r="T112" s="161">
        <f t="shared" si="89"/>
        <v>3214097.8044634191</v>
      </c>
      <c r="U112" s="161">
        <f t="shared" si="89"/>
        <v>3310520.7385973218</v>
      </c>
      <c r="V112" s="161">
        <f t="shared" si="89"/>
        <v>3409836.3607552415</v>
      </c>
      <c r="W112" s="161">
        <f t="shared" si="89"/>
        <v>3512131.4515778986</v>
      </c>
      <c r="X112" s="161">
        <f t="shared" si="89"/>
        <v>3617495.3951252354</v>
      </c>
      <c r="Y112" s="161">
        <f t="shared" si="89"/>
        <v>3726020.2569789924</v>
      </c>
      <c r="Z112" s="161">
        <f t="shared" si="89"/>
        <v>3837800.8646883625</v>
      </c>
      <c r="AA112" s="161">
        <f t="shared" si="89"/>
        <v>3952934.8906290135</v>
      </c>
      <c r="AB112" s="161">
        <f t="shared" si="89"/>
        <v>4071522.9373478838</v>
      </c>
      <c r="AC112" s="161">
        <f t="shared" si="89"/>
        <v>4193668.6254683207</v>
      </c>
      <c r="AD112" s="241">
        <f t="shared" si="89"/>
        <v>4319478.68423237</v>
      </c>
      <c r="AE112" s="245">
        <f t="shared" si="89"/>
        <v>4449063.0447593415</v>
      </c>
      <c r="AF112" s="161"/>
    </row>
    <row r="114" spans="2:31" x14ac:dyDescent="0.2">
      <c r="B114" s="120" t="s">
        <v>147</v>
      </c>
    </row>
    <row r="115" spans="2:31" x14ac:dyDescent="0.2">
      <c r="B115" s="111" t="s">
        <v>76</v>
      </c>
      <c r="K115" s="119" t="s">
        <v>1</v>
      </c>
      <c r="L115" s="111" t="s">
        <v>40</v>
      </c>
      <c r="M115" s="111" t="s">
        <v>41</v>
      </c>
      <c r="N115" s="111" t="s">
        <v>322</v>
      </c>
      <c r="O115" s="111" t="s">
        <v>320</v>
      </c>
      <c r="P115" s="111" t="s">
        <v>321</v>
      </c>
    </row>
    <row r="116" spans="2:31" x14ac:dyDescent="0.2">
      <c r="B116" s="107" t="s">
        <v>34</v>
      </c>
      <c r="D116" s="107" t="s">
        <v>318</v>
      </c>
      <c r="K116" s="258">
        <f>Tanga!G$69</f>
        <v>15000</v>
      </c>
      <c r="L116" s="258">
        <f>Tanga!H$69</f>
        <v>1968</v>
      </c>
      <c r="M116" s="258">
        <f>Tanga!I$69</f>
        <v>1764</v>
      </c>
      <c r="N116" s="109">
        <f>K116/SUM($K116:$M116)</f>
        <v>0.80076873798846893</v>
      </c>
      <c r="O116" s="109">
        <f t="shared" ref="O116:P116" si="90">L116/SUM($K116:$M116)</f>
        <v>0.10506085842408712</v>
      </c>
      <c r="P116" s="109">
        <f t="shared" si="90"/>
        <v>9.417040358744394E-2</v>
      </c>
    </row>
    <row r="117" spans="2:31" x14ac:dyDescent="0.2">
      <c r="B117" s="107" t="s">
        <v>35</v>
      </c>
      <c r="D117" s="107" t="s">
        <v>318</v>
      </c>
      <c r="K117" s="258">
        <f>Dodoma!G$68</f>
        <v>15000</v>
      </c>
      <c r="L117" s="258">
        <f>Dodoma!H$68</f>
        <v>4000</v>
      </c>
      <c r="M117" s="258">
        <f>Dodoma!I$68</f>
        <v>1257</v>
      </c>
      <c r="N117" s="109">
        <f t="shared" ref="N117:N123" si="91">K117/SUM($K117:$M117)</f>
        <v>0.74048477069654939</v>
      </c>
      <c r="O117" s="109">
        <f t="shared" ref="O117:O123" si="92">L117/SUM($K117:$M117)</f>
        <v>0.19746260551907982</v>
      </c>
      <c r="P117" s="109">
        <f t="shared" ref="P117:P123" si="93">M117/SUM($K117:$M117)</f>
        <v>6.2052623784370833E-2</v>
      </c>
    </row>
    <row r="118" spans="2:31" x14ac:dyDescent="0.2">
      <c r="B118" s="107" t="s">
        <v>36</v>
      </c>
      <c r="D118" s="107" t="s">
        <v>318</v>
      </c>
      <c r="K118" s="258">
        <f>Morogoro!G$69</f>
        <v>15000</v>
      </c>
      <c r="L118" s="258">
        <f>Morogoro!H$69</f>
        <v>3615</v>
      </c>
      <c r="M118" s="258">
        <f>Morogoro!I$69</f>
        <v>1181</v>
      </c>
      <c r="N118" s="109">
        <f t="shared" si="91"/>
        <v>0.7577288341079006</v>
      </c>
      <c r="O118" s="109">
        <f t="shared" si="92"/>
        <v>0.18261264902000404</v>
      </c>
      <c r="P118" s="109">
        <f t="shared" si="93"/>
        <v>5.965851687209537E-2</v>
      </c>
    </row>
    <row r="119" spans="2:31" x14ac:dyDescent="0.2">
      <c r="B119" s="107" t="s">
        <v>37</v>
      </c>
      <c r="D119" s="107" t="s">
        <v>318</v>
      </c>
      <c r="K119" s="258">
        <f>Iringa!G$69</f>
        <v>15000</v>
      </c>
      <c r="L119" s="258">
        <f>Iringa!H$69</f>
        <v>1573</v>
      </c>
      <c r="M119" s="258">
        <f>Iringa!I$69</f>
        <v>737</v>
      </c>
      <c r="N119" s="109">
        <f t="shared" si="91"/>
        <v>0.86655112651646449</v>
      </c>
      <c r="O119" s="109">
        <f t="shared" si="92"/>
        <v>9.087232813402657E-2</v>
      </c>
      <c r="P119" s="109">
        <f t="shared" si="93"/>
        <v>4.2576545349508957E-2</v>
      </c>
    </row>
    <row r="120" spans="2:31" x14ac:dyDescent="0.2">
      <c r="B120" s="107" t="s">
        <v>38</v>
      </c>
      <c r="D120" s="107" t="s">
        <v>318</v>
      </c>
      <c r="K120" s="258">
        <f>Iringa!G$69</f>
        <v>15000</v>
      </c>
      <c r="L120" s="258">
        <f>Iringa!H$69</f>
        <v>1573</v>
      </c>
      <c r="M120" s="258">
        <f>Iringa!I$69</f>
        <v>737</v>
      </c>
      <c r="N120" s="109">
        <f t="shared" si="91"/>
        <v>0.86655112651646449</v>
      </c>
      <c r="O120" s="109">
        <f t="shared" si="92"/>
        <v>9.087232813402657E-2</v>
      </c>
      <c r="P120" s="109">
        <f t="shared" si="93"/>
        <v>4.2576545349508957E-2</v>
      </c>
    </row>
    <row r="121" spans="2:31" x14ac:dyDescent="0.2">
      <c r="B121" s="107" t="s">
        <v>39</v>
      </c>
      <c r="D121" s="107" t="s">
        <v>318</v>
      </c>
      <c r="K121" s="258">
        <f>Mbeya!G$69</f>
        <v>15000</v>
      </c>
      <c r="L121" s="258">
        <f>Mbeya!H$69</f>
        <v>2708</v>
      </c>
      <c r="M121" s="258">
        <f>Mbeya!I$69</f>
        <v>1184</v>
      </c>
      <c r="N121" s="109">
        <f t="shared" si="91"/>
        <v>0.7939868727503705</v>
      </c>
      <c r="O121" s="109">
        <f t="shared" si="92"/>
        <v>0.14334109676053355</v>
      </c>
      <c r="P121" s="109">
        <f t="shared" si="93"/>
        <v>6.267203048909592E-2</v>
      </c>
    </row>
    <row r="122" spans="2:31" x14ac:dyDescent="0.2">
      <c r="B122" s="107" t="s">
        <v>111</v>
      </c>
      <c r="D122" s="107" t="s">
        <v>318</v>
      </c>
      <c r="K122" s="258">
        <f>Kigoma!G$69</f>
        <v>15000</v>
      </c>
      <c r="L122" s="258">
        <f>Kigoma!H$69</f>
        <v>1968</v>
      </c>
      <c r="M122" s="258">
        <f>Kigoma!I$69</f>
        <v>700</v>
      </c>
      <c r="N122" s="109">
        <f t="shared" si="91"/>
        <v>0.84899252886574594</v>
      </c>
      <c r="O122" s="109">
        <f t="shared" si="92"/>
        <v>0.11138781978718587</v>
      </c>
      <c r="P122" s="109">
        <f t="shared" si="93"/>
        <v>3.9619651347068144E-2</v>
      </c>
    </row>
    <row r="123" spans="2:31" x14ac:dyDescent="0.2">
      <c r="B123" s="111" t="s">
        <v>123</v>
      </c>
      <c r="C123" s="259" t="s">
        <v>317</v>
      </c>
      <c r="D123" s="111" t="s">
        <v>318</v>
      </c>
      <c r="E123" s="111"/>
      <c r="F123" s="111"/>
      <c r="G123" s="111"/>
      <c r="H123" s="111"/>
      <c r="I123" s="111"/>
      <c r="J123" s="111"/>
      <c r="K123" s="260">
        <f>AVERAGE(K116:K122)</f>
        <v>15000</v>
      </c>
      <c r="L123" s="260">
        <f t="shared" ref="L123:M123" si="94">AVERAGE(L116:L122)</f>
        <v>2486.4285714285716</v>
      </c>
      <c r="M123" s="260">
        <f t="shared" si="94"/>
        <v>1080</v>
      </c>
      <c r="N123" s="109">
        <f t="shared" si="91"/>
        <v>0.80790982187512017</v>
      </c>
      <c r="O123" s="109">
        <f t="shared" si="92"/>
        <v>0.13392067094987112</v>
      </c>
      <c r="P123" s="109">
        <f t="shared" si="93"/>
        <v>5.8169507175008656E-2</v>
      </c>
    </row>
    <row r="125" spans="2:31" x14ac:dyDescent="0.2">
      <c r="B125" s="120" t="s">
        <v>319</v>
      </c>
    </row>
    <row r="126" spans="2:31" x14ac:dyDescent="0.2">
      <c r="B126" s="972" t="s">
        <v>34</v>
      </c>
      <c r="C126" s="107" t="s">
        <v>325</v>
      </c>
      <c r="D126" s="109"/>
      <c r="K126" s="109"/>
      <c r="L126" s="109"/>
      <c r="M126" s="109"/>
      <c r="N126" s="109"/>
      <c r="O126" s="261">
        <f t="shared" ref="O126:AE126" si="95">SUM(O127:O129)</f>
        <v>0</v>
      </c>
      <c r="P126" s="261">
        <f t="shared" si="95"/>
        <v>6.5097071876839732E-2</v>
      </c>
      <c r="Q126" s="261">
        <f t="shared" si="95"/>
        <v>0.17256849079143644</v>
      </c>
      <c r="R126" s="261">
        <f t="shared" si="95"/>
        <v>0.23896922154996025</v>
      </c>
      <c r="S126" s="261">
        <f t="shared" si="95"/>
        <v>0.28730322352337562</v>
      </c>
      <c r="T126" s="261">
        <f t="shared" si="95"/>
        <v>0.33620339900875185</v>
      </c>
      <c r="U126" s="261">
        <f t="shared" si="95"/>
        <v>0.38567816229815743</v>
      </c>
      <c r="V126" s="261">
        <f t="shared" si="95"/>
        <v>0.43573610329404433</v>
      </c>
      <c r="W126" s="261">
        <f t="shared" si="95"/>
        <v>0.48638599230482488</v>
      </c>
      <c r="X126" s="261">
        <f t="shared" si="95"/>
        <v>0.53763678498938883</v>
      </c>
      <c r="Y126" s="261">
        <f>SUM(Y127:Y129)</f>
        <v>0.58949762745543566</v>
      </c>
      <c r="Z126" s="261">
        <f t="shared" si="95"/>
        <v>0.64197786151661096</v>
      </c>
      <c r="AA126" s="261">
        <f t="shared" si="95"/>
        <v>0.69508703011361894</v>
      </c>
      <c r="AB126" s="261">
        <f t="shared" si="95"/>
        <v>0.74883488290466427</v>
      </c>
      <c r="AC126" s="261">
        <f t="shared" si="95"/>
        <v>0.80323138203073396</v>
      </c>
      <c r="AD126" s="261">
        <f t="shared" si="95"/>
        <v>0.85828670806140583</v>
      </c>
      <c r="AE126" s="265">
        <f t="shared" si="95"/>
        <v>0.91401126612711026</v>
      </c>
    </row>
    <row r="127" spans="2:31" s="113" customFormat="1" outlineLevel="1" x14ac:dyDescent="0.2">
      <c r="B127" s="972"/>
      <c r="C127" s="106" t="s">
        <v>10</v>
      </c>
      <c r="D127" s="109">
        <f>N116</f>
        <v>0.80076873798846893</v>
      </c>
      <c r="E127" s="115"/>
      <c r="F127" s="115"/>
      <c r="G127" s="115"/>
      <c r="H127" s="115"/>
      <c r="I127" s="115"/>
      <c r="J127" s="115"/>
      <c r="K127" s="116"/>
      <c r="L127" s="116"/>
      <c r="M127" s="116"/>
      <c r="N127" s="116"/>
      <c r="O127" s="116">
        <f t="shared" ref="O127:AE129" si="96">O$134*(O$5/O$13)*$D127</f>
        <v>0</v>
      </c>
      <c r="P127" s="116">
        <f t="shared" si="96"/>
        <v>5.2127700093561602E-2</v>
      </c>
      <c r="Q127" s="116">
        <f t="shared" si="96"/>
        <v>0.13818745258763329</v>
      </c>
      <c r="R127" s="116">
        <f t="shared" si="96"/>
        <v>0.19135908195864851</v>
      </c>
      <c r="S127" s="116">
        <f t="shared" si="96"/>
        <v>0.23006343972083249</v>
      </c>
      <c r="T127" s="116">
        <f t="shared" si="96"/>
        <v>0.26922117153167191</v>
      </c>
      <c r="U127" s="116">
        <f t="shared" si="96"/>
        <v>0.3088390152932074</v>
      </c>
      <c r="V127" s="116">
        <f t="shared" si="96"/>
        <v>0.34892384953078504</v>
      </c>
      <c r="W127" s="116">
        <f t="shared" si="96"/>
        <v>0.38948269723320378</v>
      </c>
      <c r="X127" s="116">
        <f t="shared" si="96"/>
        <v>0.43052272981213069</v>
      </c>
      <c r="Y127" s="116">
        <f t="shared" si="96"/>
        <v>0.47205127118468582</v>
      </c>
      <c r="Z127" s="116">
        <f t="shared" si="96"/>
        <v>0.51407580198319258</v>
      </c>
      <c r="AA127" s="116">
        <f t="shared" si="96"/>
        <v>0.55660396389623545</v>
      </c>
      <c r="AB127" s="116">
        <f t="shared" si="96"/>
        <v>0.59964356414531095</v>
      </c>
      <c r="AC127" s="116">
        <f t="shared" si="96"/>
        <v>0.64320258010148457</v>
      </c>
      <c r="AD127" s="116">
        <f t="shared" si="96"/>
        <v>0.68728916404660945</v>
      </c>
      <c r="AE127" s="144">
        <f t="shared" si="96"/>
        <v>0.73191164808384868</v>
      </c>
    </row>
    <row r="128" spans="2:31" s="113" customFormat="1" outlineLevel="1" x14ac:dyDescent="0.2">
      <c r="B128" s="972"/>
      <c r="C128" s="106" t="s">
        <v>44</v>
      </c>
      <c r="D128" s="109">
        <f>O116</f>
        <v>0.10506085842408712</v>
      </c>
      <c r="E128" s="115"/>
      <c r="F128" s="115"/>
      <c r="G128" s="115"/>
      <c r="H128" s="115"/>
      <c r="I128" s="115"/>
      <c r="J128" s="115"/>
      <c r="K128" s="116"/>
      <c r="L128" s="116"/>
      <c r="M128" s="116"/>
      <c r="N128" s="116"/>
      <c r="O128" s="116">
        <f t="shared" si="96"/>
        <v>0</v>
      </c>
      <c r="P128" s="116">
        <f t="shared" si="96"/>
        <v>6.8391542522752823E-3</v>
      </c>
      <c r="Q128" s="116">
        <f t="shared" si="96"/>
        <v>1.8130193779497487E-2</v>
      </c>
      <c r="R128" s="116">
        <f t="shared" si="96"/>
        <v>2.5106311552974683E-2</v>
      </c>
      <c r="S128" s="116">
        <f t="shared" si="96"/>
        <v>3.0184323291373223E-2</v>
      </c>
      <c r="T128" s="116">
        <f t="shared" si="96"/>
        <v>3.5321817704955356E-2</v>
      </c>
      <c r="U128" s="116">
        <f t="shared" si="96"/>
        <v>4.0519678806468812E-2</v>
      </c>
      <c r="V128" s="116">
        <f t="shared" si="96"/>
        <v>4.5778809058438993E-2</v>
      </c>
      <c r="W128" s="116">
        <f t="shared" si="96"/>
        <v>5.1100129876996331E-2</v>
      </c>
      <c r="X128" s="116">
        <f t="shared" si="96"/>
        <v>5.6484582151351548E-2</v>
      </c>
      <c r="Y128" s="116">
        <f t="shared" si="96"/>
        <v>6.1933126779430775E-2</v>
      </c>
      <c r="Z128" s="116">
        <f t="shared" si="96"/>
        <v>6.7446745220194865E-2</v>
      </c>
      <c r="AA128" s="116">
        <f t="shared" si="96"/>
        <v>7.3026440063186093E-2</v>
      </c>
      <c r="AB128" s="116">
        <f t="shared" si="96"/>
        <v>7.8673235615864798E-2</v>
      </c>
      <c r="AC128" s="116">
        <f t="shared" si="96"/>
        <v>8.4388178509314779E-2</v>
      </c>
      <c r="AD128" s="116">
        <f t="shared" si="96"/>
        <v>9.0172338322915158E-2</v>
      </c>
      <c r="AE128" s="144">
        <f t="shared" si="96"/>
        <v>9.6026808228600949E-2</v>
      </c>
    </row>
    <row r="129" spans="2:32" s="113" customFormat="1" outlineLevel="1" x14ac:dyDescent="0.2">
      <c r="B129" s="972"/>
      <c r="C129" s="106" t="s">
        <v>45</v>
      </c>
      <c r="D129" s="109">
        <f>P116</f>
        <v>9.417040358744394E-2</v>
      </c>
      <c r="E129" s="115"/>
      <c r="F129" s="115"/>
      <c r="G129" s="115"/>
      <c r="H129" s="115"/>
      <c r="I129" s="115"/>
      <c r="J129" s="115"/>
      <c r="K129" s="116"/>
      <c r="L129" s="116"/>
      <c r="M129" s="116"/>
      <c r="N129" s="116"/>
      <c r="O129" s="116">
        <f t="shared" ref="O129:Z129" si="97">O$134*(O$5/O$13)*$D129</f>
        <v>0</v>
      </c>
      <c r="P129" s="116">
        <f t="shared" si="97"/>
        <v>6.1302175310028444E-3</v>
      </c>
      <c r="Q129" s="116">
        <f t="shared" si="97"/>
        <v>1.6250844424305674E-2</v>
      </c>
      <c r="R129" s="116">
        <f t="shared" si="97"/>
        <v>2.2503828038337063E-2</v>
      </c>
      <c r="S129" s="116">
        <f t="shared" si="97"/>
        <v>2.7055460511169898E-2</v>
      </c>
      <c r="T129" s="116">
        <f t="shared" si="97"/>
        <v>3.1660409772124615E-2</v>
      </c>
      <c r="U129" s="116">
        <f t="shared" si="97"/>
        <v>3.631946819848119E-2</v>
      </c>
      <c r="V129" s="116">
        <f t="shared" si="97"/>
        <v>4.1033444704820315E-2</v>
      </c>
      <c r="W129" s="116">
        <f t="shared" si="97"/>
        <v>4.5803165194624761E-2</v>
      </c>
      <c r="X129" s="116">
        <f t="shared" si="97"/>
        <v>5.062947302590657E-2</v>
      </c>
      <c r="Y129" s="116">
        <f t="shared" si="97"/>
        <v>5.5513229491319052E-2</v>
      </c>
      <c r="Z129" s="116">
        <f t="shared" si="97"/>
        <v>6.045531431322345E-2</v>
      </c>
      <c r="AA129" s="116">
        <f t="shared" si="96"/>
        <v>6.5456626154197284E-2</v>
      </c>
      <c r="AB129" s="116">
        <f t="shared" si="96"/>
        <v>7.0518083143488564E-2</v>
      </c>
      <c r="AC129" s="116">
        <f t="shared" si="96"/>
        <v>7.5640623419934577E-2</v>
      </c>
      <c r="AD129" s="116">
        <f t="shared" si="96"/>
        <v>8.0825205691881258E-2</v>
      </c>
      <c r="AE129" s="144">
        <f t="shared" si="96"/>
        <v>8.6072809814660603E-2</v>
      </c>
    </row>
    <row r="130" spans="2:32" x14ac:dyDescent="0.2">
      <c r="B130" s="972"/>
      <c r="C130" s="107" t="s">
        <v>324</v>
      </c>
      <c r="D130" s="109"/>
      <c r="E130" s="106"/>
      <c r="F130" s="106"/>
      <c r="G130" s="106"/>
      <c r="H130" s="106"/>
      <c r="I130" s="106"/>
      <c r="J130" s="106"/>
      <c r="K130" s="108"/>
      <c r="L130" s="108"/>
      <c r="M130" s="108"/>
      <c r="N130" s="108"/>
      <c r="O130" s="108">
        <f t="shared" ref="O130:AE130" si="98">SUM(O131:O133)</f>
        <v>0</v>
      </c>
      <c r="P130" s="108">
        <f t="shared" si="98"/>
        <v>2.0251228960922121</v>
      </c>
      <c r="Q130" s="108">
        <f t="shared" si="98"/>
        <v>4.1378197902635536</v>
      </c>
      <c r="R130" s="108">
        <f t="shared" si="98"/>
        <v>5.4579711808205316</v>
      </c>
      <c r="S130" s="108">
        <f t="shared" si="98"/>
        <v>6.561902423988883</v>
      </c>
      <c r="T130" s="108">
        <f t="shared" si="98"/>
        <v>7.6787648667970352</v>
      </c>
      <c r="U130" s="108">
        <f t="shared" si="98"/>
        <v>8.8087506886533227</v>
      </c>
      <c r="V130" s="108">
        <f t="shared" si="98"/>
        <v>9.9520560798442528</v>
      </c>
      <c r="W130" s="108">
        <f t="shared" si="98"/>
        <v>11.108881351063555</v>
      </c>
      <c r="X130" s="108">
        <f t="shared" si="98"/>
        <v>12.279431046343356</v>
      </c>
      <c r="Y130" s="108">
        <f>SUM(Y131:Y133)</f>
        <v>13.463914059498181</v>
      </c>
      <c r="Z130" s="108">
        <f t="shared" si="98"/>
        <v>14.662543754196008</v>
      </c>
      <c r="AA130" s="108">
        <f t="shared" si="98"/>
        <v>15.875538087774681</v>
      </c>
      <c r="AB130" s="108">
        <f t="shared" si="98"/>
        <v>17.103119738925464</v>
      </c>
      <c r="AC130" s="108">
        <f t="shared" si="98"/>
        <v>18.34551623936996</v>
      </c>
      <c r="AD130" s="108">
        <f t="shared" si="98"/>
        <v>19.602960109660451</v>
      </c>
      <c r="AE130" s="143">
        <f t="shared" si="98"/>
        <v>20.875688999238285</v>
      </c>
      <c r="AF130" s="254"/>
    </row>
    <row r="131" spans="2:32" outlineLevel="1" x14ac:dyDescent="0.2">
      <c r="B131" s="972"/>
      <c r="C131" s="106" t="s">
        <v>10</v>
      </c>
      <c r="D131" s="109">
        <f>D127</f>
        <v>0.80076873798846893</v>
      </c>
      <c r="E131" s="110"/>
      <c r="F131" s="110"/>
      <c r="G131" s="110"/>
      <c r="H131" s="110"/>
      <c r="I131" s="110"/>
      <c r="J131" s="110"/>
      <c r="K131" s="108"/>
      <c r="L131" s="108"/>
      <c r="M131" s="108"/>
      <c r="N131" s="108"/>
      <c r="O131" s="116">
        <f t="shared" ref="O131:AE133" si="99">O$134*(O$9/O$13)*$D131</f>
        <v>0</v>
      </c>
      <c r="P131" s="116">
        <f>P$134*(P$9/P$13)*$D131</f>
        <v>1.6216551057753139</v>
      </c>
      <c r="Q131" s="116">
        <f t="shared" si="99"/>
        <v>3.3134367314730571</v>
      </c>
      <c r="R131" s="116">
        <f t="shared" si="99"/>
        <v>4.3705726944430907</v>
      </c>
      <c r="S131" s="116">
        <f t="shared" si="99"/>
        <v>5.2545663228610531</v>
      </c>
      <c r="T131" s="116">
        <f t="shared" si="99"/>
        <v>6.1489148516952561</v>
      </c>
      <c r="U131" s="116">
        <f t="shared" si="99"/>
        <v>7.053772172207978</v>
      </c>
      <c r="V131" s="116">
        <f t="shared" si="99"/>
        <v>7.9692953874473513</v>
      </c>
      <c r="W131" s="116">
        <f t="shared" si="99"/>
        <v>8.8956448999548012</v>
      </c>
      <c r="X131" s="116">
        <f t="shared" si="99"/>
        <v>9.8329845021967941</v>
      </c>
      <c r="Y131" s="116">
        <f t="shared" si="99"/>
        <v>10.781481469809563</v>
      </c>
      <c r="Z131" s="116">
        <f t="shared" si="99"/>
        <v>11.741306657748245</v>
      </c>
      <c r="AA131" s="116">
        <f t="shared" si="99"/>
        <v>12.712634599435201</v>
      </c>
      <c r="AB131" s="116">
        <f t="shared" si="99"/>
        <v>13.695643609005016</v>
      </c>
      <c r="AC131" s="116">
        <f t="shared" si="99"/>
        <v>14.690515886747246</v>
      </c>
      <c r="AD131" s="116">
        <f t="shared" si="99"/>
        <v>15.697437627851098</v>
      </c>
      <c r="AE131" s="144">
        <f t="shared" si="99"/>
        <v>16.716599134559807</v>
      </c>
    </row>
    <row r="132" spans="2:32" outlineLevel="1" x14ac:dyDescent="0.2">
      <c r="B132" s="972"/>
      <c r="C132" s="106" t="s">
        <v>44</v>
      </c>
      <c r="D132" s="109">
        <f t="shared" ref="D132:D133" si="100">D128</f>
        <v>0.10506085842408712</v>
      </c>
      <c r="E132" s="110"/>
      <c r="F132" s="110"/>
      <c r="G132" s="110"/>
      <c r="H132" s="110"/>
      <c r="I132" s="110"/>
      <c r="J132" s="110"/>
      <c r="K132" s="108"/>
      <c r="L132" s="108"/>
      <c r="M132" s="108"/>
      <c r="N132" s="108"/>
      <c r="O132" s="116">
        <f t="shared" ref="O132:AD133" si="101">O$134*(O$9/O$13)*$D132</f>
        <v>0</v>
      </c>
      <c r="P132" s="116">
        <f t="shared" si="101"/>
        <v>0.21276114987772118</v>
      </c>
      <c r="Q132" s="116">
        <f t="shared" si="101"/>
        <v>0.43472289916926504</v>
      </c>
      <c r="R132" s="116">
        <f t="shared" si="101"/>
        <v>0.57341913751093343</v>
      </c>
      <c r="S132" s="116">
        <f t="shared" si="101"/>
        <v>0.68939910155937012</v>
      </c>
      <c r="T132" s="116">
        <f t="shared" si="101"/>
        <v>0.8067376285424176</v>
      </c>
      <c r="U132" s="116">
        <f t="shared" si="101"/>
        <v>0.92545490899368665</v>
      </c>
      <c r="V132" s="116">
        <f t="shared" si="101"/>
        <v>1.0455715548330926</v>
      </c>
      <c r="W132" s="116">
        <f t="shared" si="101"/>
        <v>1.1671086108740698</v>
      </c>
      <c r="X132" s="116">
        <f t="shared" si="101"/>
        <v>1.2900875666882194</v>
      </c>
      <c r="Y132" s="116">
        <f t="shared" si="101"/>
        <v>1.4145303688390145</v>
      </c>
      <c r="Z132" s="116">
        <f t="shared" si="101"/>
        <v>1.5404594334965698</v>
      </c>
      <c r="AA132" s="116">
        <f t="shared" si="101"/>
        <v>1.6678976594458985</v>
      </c>
      <c r="AB132" s="116">
        <f t="shared" si="101"/>
        <v>1.796868441501458</v>
      </c>
      <c r="AC132" s="116">
        <f t="shared" si="101"/>
        <v>1.9273956843412385</v>
      </c>
      <c r="AD132" s="116">
        <f t="shared" si="101"/>
        <v>2.0595038167740638</v>
      </c>
      <c r="AE132" s="144">
        <f t="shared" si="99"/>
        <v>2.1932178064542462</v>
      </c>
    </row>
    <row r="133" spans="2:32" outlineLevel="1" x14ac:dyDescent="0.2">
      <c r="B133" s="972"/>
      <c r="C133" s="106" t="s">
        <v>45</v>
      </c>
      <c r="D133" s="109">
        <f t="shared" si="100"/>
        <v>9.417040358744394E-2</v>
      </c>
      <c r="E133" s="110"/>
      <c r="F133" s="110"/>
      <c r="G133" s="110"/>
      <c r="H133" s="110"/>
      <c r="I133" s="110"/>
      <c r="J133" s="110"/>
      <c r="K133" s="108"/>
      <c r="L133" s="108"/>
      <c r="M133" s="108"/>
      <c r="N133" s="108"/>
      <c r="O133" s="116">
        <f t="shared" si="101"/>
        <v>0</v>
      </c>
      <c r="P133" s="116">
        <f t="shared" si="101"/>
        <v>0.1907066404391769</v>
      </c>
      <c r="Q133" s="116">
        <f t="shared" si="101"/>
        <v>0.38966015962123146</v>
      </c>
      <c r="R133" s="116">
        <f t="shared" si="101"/>
        <v>0.51397934886650742</v>
      </c>
      <c r="S133" s="116">
        <f t="shared" si="101"/>
        <v>0.61793699956845982</v>
      </c>
      <c r="T133" s="116">
        <f t="shared" si="101"/>
        <v>0.72311238655936205</v>
      </c>
      <c r="U133" s="116">
        <f t="shared" si="101"/>
        <v>0.8295236074516581</v>
      </c>
      <c r="V133" s="116">
        <f t="shared" si="101"/>
        <v>0.93718913756380851</v>
      </c>
      <c r="W133" s="116">
        <f t="shared" si="101"/>
        <v>1.0461278402346845</v>
      </c>
      <c r="X133" s="116">
        <f t="shared" si="101"/>
        <v>1.1563589774583429</v>
      </c>
      <c r="Y133" s="116">
        <f t="shared" si="101"/>
        <v>1.2679022208496045</v>
      </c>
      <c r="Z133" s="116">
        <f t="shared" si="101"/>
        <v>1.3807776629511934</v>
      </c>
      <c r="AA133" s="116">
        <f t="shared" si="101"/>
        <v>1.4950058288935797</v>
      </c>
      <c r="AB133" s="116">
        <f t="shared" si="101"/>
        <v>1.6106076884189897</v>
      </c>
      <c r="AC133" s="116">
        <f t="shared" si="101"/>
        <v>1.7276046682814761</v>
      </c>
      <c r="AD133" s="116">
        <f t="shared" si="101"/>
        <v>1.846018665035289</v>
      </c>
      <c r="AE133" s="144">
        <f t="shared" si="99"/>
        <v>1.9658720582242331</v>
      </c>
    </row>
    <row r="134" spans="2:32" s="111" customFormat="1" x14ac:dyDescent="0.2">
      <c r="B134" s="972"/>
      <c r="C134" s="117" t="s">
        <v>323</v>
      </c>
      <c r="D134" s="109"/>
      <c r="K134" s="118"/>
      <c r="L134" s="118"/>
      <c r="M134" s="118"/>
      <c r="N134" s="118"/>
      <c r="O134" s="118">
        <f>Tanga!H118</f>
        <v>0</v>
      </c>
      <c r="P134" s="118">
        <f>Tanga!I118</f>
        <v>2.0902199679690519</v>
      </c>
      <c r="Q134" s="118">
        <f>Tanga!J118</f>
        <v>4.3103882810549905</v>
      </c>
      <c r="R134" s="118">
        <f>Tanga!K118</f>
        <v>5.6969404023704922</v>
      </c>
      <c r="S134" s="118">
        <f>Tanga!L118</f>
        <v>6.8492056475122585</v>
      </c>
      <c r="T134" s="118">
        <f>Tanga!M118</f>
        <v>8.0149682658057877</v>
      </c>
      <c r="U134" s="118">
        <f>Tanga!N118</f>
        <v>9.1944288509514802</v>
      </c>
      <c r="V134" s="118">
        <f>Tanga!O118</f>
        <v>10.387792183138297</v>
      </c>
      <c r="W134" s="118">
        <f>Tanga!P118</f>
        <v>11.595267343368381</v>
      </c>
      <c r="X134" s="118">
        <f>Tanga!Q118</f>
        <v>12.817067831332745</v>
      </c>
      <c r="Y134" s="118">
        <f>Tanga!R118</f>
        <v>14.053411686953616</v>
      </c>
      <c r="Z134" s="118">
        <f>Tanga!S118</f>
        <v>15.30452161571262</v>
      </c>
      <c r="AA134" s="118">
        <f>Tanga!T118</f>
        <v>16.570625117888298</v>
      </c>
      <c r="AB134" s="118">
        <f>Tanga!U118</f>
        <v>17.851954621830128</v>
      </c>
      <c r="AC134" s="118">
        <f>Tanga!V118</f>
        <v>19.148747621400695</v>
      </c>
      <c r="AD134" s="118">
        <f>Tanga!W118</f>
        <v>20.461246817721857</v>
      </c>
      <c r="AE134" s="145">
        <f>Tanga!X118</f>
        <v>21.789700265365397</v>
      </c>
    </row>
    <row r="135" spans="2:32" x14ac:dyDescent="0.2">
      <c r="B135" s="972" t="s">
        <v>35</v>
      </c>
      <c r="C135" s="107" t="s">
        <v>325</v>
      </c>
      <c r="D135" s="109"/>
      <c r="K135" s="109"/>
      <c r="L135" s="109"/>
      <c r="M135" s="109"/>
      <c r="N135" s="109"/>
      <c r="O135" s="261">
        <f t="shared" ref="O135:P135" si="102">SUM(O136:O138)</f>
        <v>0</v>
      </c>
      <c r="P135" s="261">
        <f t="shared" si="102"/>
        <v>0.33127990431076942</v>
      </c>
      <c r="Q135" s="261">
        <f t="shared" ref="Q135" si="103">SUM(Q136:Q138)</f>
        <v>1.1379973542854451</v>
      </c>
      <c r="R135" s="261">
        <f t="shared" ref="R135" si="104">SUM(R136:R138)</f>
        <v>1.4578209470041945</v>
      </c>
      <c r="S135" s="261">
        <f t="shared" ref="S135" si="105">SUM(S136:S138)</f>
        <v>1.5670186783448623</v>
      </c>
      <c r="T135" s="261">
        <f t="shared" ref="T135" si="106">SUM(T136:T138)</f>
        <v>1.6782808603246306</v>
      </c>
      <c r="U135" s="261">
        <f t="shared" ref="U135" si="107">SUM(U136:U138)</f>
        <v>1.7916604527385018</v>
      </c>
      <c r="V135" s="261">
        <f t="shared" ref="V135" si="108">SUM(V136:V138)</f>
        <v>1.9072120188164703</v>
      </c>
      <c r="W135" s="261">
        <f t="shared" ref="W135" si="109">SUM(W136:W138)</f>
        <v>2.0249917769414791</v>
      </c>
      <c r="X135" s="261">
        <f t="shared" ref="X135" si="110">SUM(X136:X138)</f>
        <v>2.1450576540703112</v>
      </c>
      <c r="Y135" s="261">
        <f>SUM(Y136:Y138)</f>
        <v>2.267469340913876</v>
      </c>
      <c r="Z135" s="261">
        <f t="shared" ref="Z135" si="111">SUM(Z136:Z138)</f>
        <v>2.3922883489351729</v>
      </c>
      <c r="AA135" s="261">
        <f t="shared" ref="AA135" si="112">SUM(AA136:AA138)</f>
        <v>2.5195780692251781</v>
      </c>
      <c r="AB135" s="261">
        <f t="shared" ref="AB135" si="113">SUM(AB136:AB138)</f>
        <v>2.6494038333189005</v>
      </c>
      <c r="AC135" s="261">
        <f t="shared" ref="AC135" si="114">SUM(AC136:AC138)</f>
        <v>2.7818329760159233</v>
      </c>
      <c r="AD135" s="261">
        <f t="shared" ref="AD135" si="115">SUM(AD136:AD138)</f>
        <v>2.9169349002718583</v>
      </c>
      <c r="AE135" s="265">
        <f t="shared" ref="AE135" si="116">SUM(AE136:AE138)</f>
        <v>3.0547811442293797</v>
      </c>
    </row>
    <row r="136" spans="2:32" outlineLevel="1" x14ac:dyDescent="0.2">
      <c r="B136" s="972"/>
      <c r="C136" s="106" t="s">
        <v>10</v>
      </c>
      <c r="D136" s="109">
        <f>N117</f>
        <v>0.74048477069654939</v>
      </c>
      <c r="E136" s="115"/>
      <c r="F136" s="115"/>
      <c r="G136" s="115"/>
      <c r="H136" s="115"/>
      <c r="I136" s="115"/>
      <c r="J136" s="115"/>
      <c r="K136" s="116"/>
      <c r="L136" s="116"/>
      <c r="M136" s="116"/>
      <c r="N136" s="116"/>
      <c r="O136" s="116">
        <f>O$143*(O$14/O$22)*$D136</f>
        <v>0</v>
      </c>
      <c r="P136" s="116">
        <f>P$143*(P$14/P$22)*$D136</f>
        <v>0.24530772397993489</v>
      </c>
      <c r="Q136" s="116">
        <f t="shared" ref="Q136:AE138" si="117">Q$143*(Q$14/Q$22)*$D136</f>
        <v>0.84266970994133772</v>
      </c>
      <c r="R136" s="116">
        <f t="shared" si="117"/>
        <v>1.0794942096590274</v>
      </c>
      <c r="S136" s="116">
        <f t="shared" si="117"/>
        <v>1.1603534667114053</v>
      </c>
      <c r="T136" s="116">
        <f t="shared" si="117"/>
        <v>1.2427414180218916</v>
      </c>
      <c r="U136" s="116">
        <f t="shared" si="117"/>
        <v>1.3266972795121454</v>
      </c>
      <c r="V136" s="116">
        <f t="shared" si="117"/>
        <v>1.412261454423017</v>
      </c>
      <c r="W136" s="116">
        <f t="shared" si="117"/>
        <v>1.4994755716109092</v>
      </c>
      <c r="X136" s="116">
        <f t="shared" si="117"/>
        <v>1.5883825251051327</v>
      </c>
      <c r="Y136" s="116">
        <f t="shared" si="117"/>
        <v>1.6790265149680674</v>
      </c>
      <c r="Z136" s="116">
        <f t="shared" si="117"/>
        <v>1.7714530895012883</v>
      </c>
      <c r="AA136" s="116">
        <f t="shared" si="117"/>
        <v>1.8657091888422603</v>
      </c>
      <c r="AB136" s="116">
        <f t="shared" si="117"/>
        <v>1.9618431899977049</v>
      </c>
      <c r="AC136" s="116">
        <f t="shared" si="117"/>
        <v>2.0599049533612503</v>
      </c>
      <c r="AD136" s="116">
        <f t="shared" si="117"/>
        <v>2.1599458707645693</v>
      </c>
      <c r="AE136" s="144">
        <f t="shared" si="117"/>
        <v>2.2620189151128347</v>
      </c>
    </row>
    <row r="137" spans="2:32" outlineLevel="1" x14ac:dyDescent="0.2">
      <c r="B137" s="972"/>
      <c r="C137" s="106" t="s">
        <v>44</v>
      </c>
      <c r="D137" s="109">
        <f>O117</f>
        <v>0.19746260551907982</v>
      </c>
      <c r="E137" s="115"/>
      <c r="F137" s="115"/>
      <c r="G137" s="115"/>
      <c r="H137" s="115"/>
      <c r="I137" s="115"/>
      <c r="J137" s="115"/>
      <c r="K137" s="116"/>
      <c r="L137" s="116"/>
      <c r="M137" s="116"/>
      <c r="N137" s="116"/>
      <c r="O137" s="116">
        <f t="shared" ref="O137:AD138" si="118">O$143*(O$14/O$22)*$D137</f>
        <v>0</v>
      </c>
      <c r="P137" s="116">
        <f t="shared" si="118"/>
        <v>6.5415393061315968E-2</v>
      </c>
      <c r="Q137" s="116">
        <f t="shared" si="118"/>
        <v>0.22471192265102338</v>
      </c>
      <c r="R137" s="116">
        <f t="shared" si="118"/>
        <v>0.28786512257574065</v>
      </c>
      <c r="S137" s="116">
        <f t="shared" si="118"/>
        <v>0.30942759112304136</v>
      </c>
      <c r="T137" s="116">
        <f t="shared" si="118"/>
        <v>0.33139771147250446</v>
      </c>
      <c r="U137" s="116">
        <f t="shared" si="118"/>
        <v>0.35378594120323875</v>
      </c>
      <c r="V137" s="116">
        <f t="shared" si="118"/>
        <v>0.37660305451280446</v>
      </c>
      <c r="W137" s="116">
        <f t="shared" si="118"/>
        <v>0.39986015242957579</v>
      </c>
      <c r="X137" s="116">
        <f t="shared" si="118"/>
        <v>0.42356867336136866</v>
      </c>
      <c r="Y137" s="116">
        <f t="shared" si="118"/>
        <v>0.44774040399148463</v>
      </c>
      <c r="Z137" s="116">
        <f t="shared" si="118"/>
        <v>0.47238749053367685</v>
      </c>
      <c r="AA137" s="116">
        <f t="shared" si="118"/>
        <v>0.49752245035793607</v>
      </c>
      <c r="AB137" s="116">
        <f t="shared" si="118"/>
        <v>0.52315818399938796</v>
      </c>
      <c r="AC137" s="116">
        <f t="shared" si="118"/>
        <v>0.54930798756300003</v>
      </c>
      <c r="AD137" s="116">
        <f t="shared" si="118"/>
        <v>0.57598556553721836</v>
      </c>
      <c r="AE137" s="144">
        <f t="shared" si="117"/>
        <v>0.60320504403008923</v>
      </c>
    </row>
    <row r="138" spans="2:32" outlineLevel="1" x14ac:dyDescent="0.2">
      <c r="B138" s="972"/>
      <c r="C138" s="106" t="s">
        <v>45</v>
      </c>
      <c r="D138" s="109">
        <f>P117</f>
        <v>6.2052623784370833E-2</v>
      </c>
      <c r="E138" s="115"/>
      <c r="F138" s="115"/>
      <c r="G138" s="115"/>
      <c r="H138" s="115"/>
      <c r="I138" s="115"/>
      <c r="J138" s="115"/>
      <c r="K138" s="116"/>
      <c r="L138" s="116"/>
      <c r="M138" s="116"/>
      <c r="N138" s="116"/>
      <c r="O138" s="116">
        <f t="shared" si="118"/>
        <v>0</v>
      </c>
      <c r="P138" s="116">
        <f t="shared" si="118"/>
        <v>2.0556787269518539E-2</v>
      </c>
      <c r="Q138" s="116">
        <f t="shared" si="117"/>
        <v>7.0615721693084096E-2</v>
      </c>
      <c r="R138" s="116">
        <f t="shared" si="117"/>
        <v>9.046161476942649E-2</v>
      </c>
      <c r="S138" s="116">
        <f t="shared" si="117"/>
        <v>9.7237620510415748E-2</v>
      </c>
      <c r="T138" s="116">
        <f t="shared" si="117"/>
        <v>0.10414173083023452</v>
      </c>
      <c r="U138" s="116">
        <f t="shared" si="117"/>
        <v>0.11117723202311777</v>
      </c>
      <c r="V138" s="116">
        <f t="shared" si="117"/>
        <v>0.11834750988064881</v>
      </c>
      <c r="W138" s="116">
        <f t="shared" si="117"/>
        <v>0.12565605290099419</v>
      </c>
      <c r="X138" s="116">
        <f t="shared" si="117"/>
        <v>0.1331064556038101</v>
      </c>
      <c r="Y138" s="116">
        <f t="shared" si="117"/>
        <v>0.14070242195432403</v>
      </c>
      <c r="Z138" s="116">
        <f t="shared" si="117"/>
        <v>0.14844776890020794</v>
      </c>
      <c r="AA138" s="116">
        <f t="shared" si="117"/>
        <v>0.15634643002498141</v>
      </c>
      <c r="AB138" s="116">
        <f t="shared" si="117"/>
        <v>0.16440245932180766</v>
      </c>
      <c r="AC138" s="116">
        <f t="shared" si="117"/>
        <v>0.17262003509167276</v>
      </c>
      <c r="AD138" s="116">
        <f t="shared" si="117"/>
        <v>0.18100346397007089</v>
      </c>
      <c r="AE138" s="144">
        <f t="shared" si="117"/>
        <v>0.18955718508645553</v>
      </c>
    </row>
    <row r="139" spans="2:32" x14ac:dyDescent="0.2">
      <c r="B139" s="972"/>
      <c r="C139" s="107" t="s">
        <v>324</v>
      </c>
      <c r="D139" s="109"/>
      <c r="E139" s="106"/>
      <c r="F139" s="106"/>
      <c r="G139" s="106"/>
      <c r="H139" s="106"/>
      <c r="I139" s="106"/>
      <c r="J139" s="106"/>
      <c r="K139" s="108"/>
      <c r="L139" s="108"/>
      <c r="M139" s="108"/>
      <c r="N139" s="108"/>
      <c r="O139" s="108">
        <f t="shared" ref="O139:P139" si="119">SUM(O140:O142)</f>
        <v>0</v>
      </c>
      <c r="P139" s="108">
        <f t="shared" si="119"/>
        <v>4.5816460016547342</v>
      </c>
      <c r="Q139" s="108">
        <f t="shared" ref="Q139" si="120">SUM(Q140:Q142)</f>
        <v>9.188296690429695</v>
      </c>
      <c r="R139" s="108">
        <f t="shared" ref="R139" si="121">SUM(R140:R142)</f>
        <v>10.793972506486275</v>
      </c>
      <c r="S139" s="108">
        <f t="shared" ref="S139" si="122">SUM(S140:S142)</f>
        <v>11.6024924500939</v>
      </c>
      <c r="T139" s="108">
        <f t="shared" ref="T139" si="123">SUM(T140:T142)</f>
        <v>12.426297963225837</v>
      </c>
      <c r="U139" s="108">
        <f t="shared" ref="U139" si="124">SUM(U140:U142)</f>
        <v>13.265781169875385</v>
      </c>
      <c r="V139" s="108">
        <f t="shared" ref="V139" si="125">SUM(V140:V142)</f>
        <v>14.121346066161268</v>
      </c>
      <c r="W139" s="108">
        <f t="shared" ref="W139" si="126">SUM(W140:W142)</f>
        <v>14.993408903256913</v>
      </c>
      <c r="X139" s="108">
        <f t="shared" ref="X139" si="127">SUM(X140:X142)</f>
        <v>15.882398582928486</v>
      </c>
      <c r="Y139" s="108">
        <f>SUM(Y140:Y142)</f>
        <v>16.788757066099773</v>
      </c>
      <c r="Z139" s="108">
        <f t="shared" ref="Z139" si="128">SUM(Z140:Z142)</f>
        <v>17.712939794875506</v>
      </c>
      <c r="AA139" s="108">
        <f t="shared" ref="AA139" si="129">SUM(AA140:AA142)</f>
        <v>18.655416128469227</v>
      </c>
      <c r="AB139" s="108">
        <f t="shared" ref="AB139" si="130">SUM(AB140:AB142)</f>
        <v>19.616669793496428</v>
      </c>
      <c r="AC139" s="108">
        <f t="shared" ref="AC139" si="131">SUM(AC140:AC142)</f>
        <v>20.597199349109342</v>
      </c>
      <c r="AD139" s="108">
        <f t="shared" ref="AD139" si="132">SUM(AD140:AD142)</f>
        <v>21.597518667465085</v>
      </c>
      <c r="AE139" s="143">
        <f t="shared" ref="AE139" si="133">SUM(AE140:AE142)</f>
        <v>22.618157430035719</v>
      </c>
    </row>
    <row r="140" spans="2:32" ht="12" customHeight="1" outlineLevel="1" x14ac:dyDescent="0.2">
      <c r="B140" s="972"/>
      <c r="C140" s="106" t="s">
        <v>10</v>
      </c>
      <c r="D140" s="109">
        <f>D136</f>
        <v>0.74048477069654939</v>
      </c>
      <c r="E140" s="110"/>
      <c r="F140" s="110"/>
      <c r="G140" s="110"/>
      <c r="H140" s="110"/>
      <c r="I140" s="110"/>
      <c r="J140" s="110"/>
      <c r="K140" s="108"/>
      <c r="L140" s="108"/>
      <c r="M140" s="108"/>
      <c r="N140" s="108"/>
      <c r="O140" s="116">
        <f>O$143*(O$18/O$22)*$D140</f>
        <v>0</v>
      </c>
      <c r="P140" s="116">
        <f>P$143*(P$18/P$22)*$D140</f>
        <v>3.3926390889480675</v>
      </c>
      <c r="Q140" s="116">
        <f t="shared" ref="Q140:AE142" si="134">Q$143*(Q$18/Q$22)*$D140</f>
        <v>6.803793767904696</v>
      </c>
      <c r="R140" s="116">
        <f t="shared" si="134"/>
        <v>7.9927722563703476</v>
      </c>
      <c r="S140" s="116">
        <f t="shared" si="134"/>
        <v>8.5914689614162256</v>
      </c>
      <c r="T140" s="116">
        <f t="shared" si="134"/>
        <v>9.2014843979062828</v>
      </c>
      <c r="U140" s="116">
        <f t="shared" si="134"/>
        <v>9.8231089276857766</v>
      </c>
      <c r="V140" s="116">
        <f t="shared" si="134"/>
        <v>10.456641703728046</v>
      </c>
      <c r="W140" s="116">
        <f t="shared" si="134"/>
        <v>11.102390953687797</v>
      </c>
      <c r="X140" s="116">
        <f t="shared" si="134"/>
        <v>11.760674272791</v>
      </c>
      <c r="Y140" s="116">
        <f t="shared" si="134"/>
        <v>12.431818926370964</v>
      </c>
      <c r="Z140" s="116">
        <f t="shared" si="134"/>
        <v>13.116162162370172</v>
      </c>
      <c r="AA140" s="116">
        <f t="shared" si="134"/>
        <v>13.814051534138244</v>
      </c>
      <c r="AB140" s="116">
        <f t="shared" si="134"/>
        <v>14.525845233867129</v>
      </c>
      <c r="AC140" s="116">
        <f t="shared" si="134"/>
        <v>15.251912437016347</v>
      </c>
      <c r="AD140" s="116">
        <f t="shared" si="134"/>
        <v>15.992633658092329</v>
      </c>
      <c r="AE140" s="144">
        <f t="shared" si="134"/>
        <v>16.748401118158451</v>
      </c>
    </row>
    <row r="141" spans="2:32" outlineLevel="1" x14ac:dyDescent="0.2">
      <c r="B141" s="972"/>
      <c r="C141" s="106" t="s">
        <v>44</v>
      </c>
      <c r="D141" s="109">
        <f t="shared" ref="D141:D142" si="135">D137</f>
        <v>0.19746260551907982</v>
      </c>
      <c r="E141" s="110"/>
      <c r="F141" s="110"/>
      <c r="G141" s="110"/>
      <c r="H141" s="110"/>
      <c r="I141" s="110"/>
      <c r="J141" s="110"/>
      <c r="K141" s="108"/>
      <c r="L141" s="108"/>
      <c r="M141" s="108"/>
      <c r="N141" s="108"/>
      <c r="O141" s="116">
        <f t="shared" ref="O141:AD142" si="136">O$143*(O$18/O$22)*$D141</f>
        <v>0</v>
      </c>
      <c r="P141" s="116">
        <f t="shared" si="136"/>
        <v>0.90470375705281791</v>
      </c>
      <c r="Q141" s="116">
        <f t="shared" si="136"/>
        <v>1.8143450047745855</v>
      </c>
      <c r="R141" s="116">
        <f t="shared" si="136"/>
        <v>2.1314059350320926</v>
      </c>
      <c r="S141" s="116">
        <f t="shared" si="136"/>
        <v>2.2910583897109933</v>
      </c>
      <c r="T141" s="116">
        <f t="shared" si="136"/>
        <v>2.4537291727750086</v>
      </c>
      <c r="U141" s="116">
        <f t="shared" si="136"/>
        <v>2.6194957140495401</v>
      </c>
      <c r="V141" s="116">
        <f t="shared" si="136"/>
        <v>2.7884377876608122</v>
      </c>
      <c r="W141" s="116">
        <f t="shared" si="136"/>
        <v>2.960637587650079</v>
      </c>
      <c r="X141" s="116">
        <f t="shared" si="136"/>
        <v>3.1361798060775996</v>
      </c>
      <c r="Y141" s="116">
        <f t="shared" si="136"/>
        <v>3.3151517136989233</v>
      </c>
      <c r="Z141" s="116">
        <f t="shared" si="136"/>
        <v>3.4976432432987119</v>
      </c>
      <c r="AA141" s="116">
        <f t="shared" si="136"/>
        <v>3.6837470757701984</v>
      </c>
      <c r="AB141" s="116">
        <f t="shared" si="136"/>
        <v>3.8735587290312341</v>
      </c>
      <c r="AC141" s="116">
        <f t="shared" si="136"/>
        <v>4.0671766498710253</v>
      </c>
      <c r="AD141" s="116">
        <f t="shared" si="136"/>
        <v>4.2647023088246208</v>
      </c>
      <c r="AE141" s="144">
        <f t="shared" si="134"/>
        <v>4.4662402981755864</v>
      </c>
    </row>
    <row r="142" spans="2:32" outlineLevel="1" x14ac:dyDescent="0.2">
      <c r="B142" s="972"/>
      <c r="C142" s="106" t="s">
        <v>45</v>
      </c>
      <c r="D142" s="109">
        <f t="shared" si="135"/>
        <v>6.2052623784370833E-2</v>
      </c>
      <c r="E142" s="110"/>
      <c r="F142" s="110"/>
      <c r="G142" s="110"/>
      <c r="H142" s="110"/>
      <c r="I142" s="110"/>
      <c r="J142" s="110"/>
      <c r="K142" s="108"/>
      <c r="L142" s="108"/>
      <c r="M142" s="108"/>
      <c r="N142" s="108"/>
      <c r="O142" s="116">
        <f t="shared" si="136"/>
        <v>0</v>
      </c>
      <c r="P142" s="116">
        <f t="shared" si="136"/>
        <v>0.28430315565384806</v>
      </c>
      <c r="Q142" s="116">
        <f t="shared" si="134"/>
        <v>0.57015791775041347</v>
      </c>
      <c r="R142" s="116">
        <f t="shared" si="134"/>
        <v>0.66979431508383513</v>
      </c>
      <c r="S142" s="116">
        <f t="shared" si="134"/>
        <v>0.7199650989666796</v>
      </c>
      <c r="T142" s="116">
        <f t="shared" si="134"/>
        <v>0.77108439254454642</v>
      </c>
      <c r="U142" s="116">
        <f t="shared" si="134"/>
        <v>0.82317652814006792</v>
      </c>
      <c r="V142" s="116">
        <f t="shared" si="134"/>
        <v>0.87626657477241021</v>
      </c>
      <c r="W142" s="116">
        <f t="shared" si="134"/>
        <v>0.93038036191903739</v>
      </c>
      <c r="X142" s="116">
        <f t="shared" si="134"/>
        <v>0.9855445040598857</v>
      </c>
      <c r="Y142" s="116">
        <f t="shared" si="134"/>
        <v>1.0417864260298866</v>
      </c>
      <c r="Z142" s="116">
        <f t="shared" si="134"/>
        <v>1.0991343892066203</v>
      </c>
      <c r="AA142" s="116">
        <f t="shared" si="134"/>
        <v>1.1576175185607849</v>
      </c>
      <c r="AB142" s="116">
        <f t="shared" si="134"/>
        <v>1.2172658305980653</v>
      </c>
      <c r="AC142" s="116">
        <f t="shared" si="134"/>
        <v>1.2781102622219698</v>
      </c>
      <c r="AD142" s="116">
        <f t="shared" si="134"/>
        <v>1.340182700548137</v>
      </c>
      <c r="AE142" s="144">
        <f t="shared" si="134"/>
        <v>1.4035160137016782</v>
      </c>
    </row>
    <row r="143" spans="2:32" s="111" customFormat="1" x14ac:dyDescent="0.2">
      <c r="B143" s="972"/>
      <c r="C143" s="117" t="s">
        <v>323</v>
      </c>
      <c r="D143" s="109">
        <f t="shared" ref="D143:D189" si="137">D22</f>
        <v>0</v>
      </c>
      <c r="K143" s="118"/>
      <c r="L143" s="118"/>
      <c r="M143" s="118"/>
      <c r="N143" s="118"/>
      <c r="O143" s="118">
        <f>Dodoma!H117</f>
        <v>0</v>
      </c>
      <c r="P143" s="118">
        <f>Dodoma!I117</f>
        <v>4.912925905965503</v>
      </c>
      <c r="Q143" s="118">
        <f>Dodoma!J117</f>
        <v>10.326294044715141</v>
      </c>
      <c r="R143" s="118">
        <f>Dodoma!K117</f>
        <v>12.251793453490471</v>
      </c>
      <c r="S143" s="118">
        <f>Dodoma!L117</f>
        <v>13.16951112843876</v>
      </c>
      <c r="T143" s="118">
        <f>Dodoma!M117</f>
        <v>14.104578823550469</v>
      </c>
      <c r="U143" s="118">
        <f>Dodoma!N117</f>
        <v>15.057441622613887</v>
      </c>
      <c r="V143" s="118">
        <f>Dodoma!O117</f>
        <v>16.028558084977739</v>
      </c>
      <c r="W143" s="118">
        <f>Dodoma!P117</f>
        <v>17.018400680198393</v>
      </c>
      <c r="X143" s="118">
        <f>Dodoma!Q117</f>
        <v>18.027456236998795</v>
      </c>
      <c r="Y143" s="118">
        <f>Dodoma!R117</f>
        <v>19.056226407013646</v>
      </c>
      <c r="Z143" s="118">
        <f>Dodoma!S117</f>
        <v>20.105228143810677</v>
      </c>
      <c r="AA143" s="118">
        <f>Dodoma!T117</f>
        <v>21.174994197694403</v>
      </c>
      <c r="AB143" s="118">
        <f>Dodoma!U117</f>
        <v>22.266073626815331</v>
      </c>
      <c r="AC143" s="118">
        <f>Dodoma!V117</f>
        <v>23.379032325125266</v>
      </c>
      <c r="AD143" s="118">
        <f>Dodoma!W117</f>
        <v>24.514453567736943</v>
      </c>
      <c r="AE143" s="145">
        <f>Dodoma!X117</f>
        <v>25.672938574265096</v>
      </c>
    </row>
    <row r="144" spans="2:32" x14ac:dyDescent="0.2">
      <c r="B144" s="972" t="s">
        <v>36</v>
      </c>
      <c r="C144" s="107" t="s">
        <v>325</v>
      </c>
      <c r="D144" s="109"/>
      <c r="K144" s="109"/>
      <c r="L144" s="109"/>
      <c r="M144" s="109"/>
      <c r="N144" s="109"/>
      <c r="O144" s="261">
        <f t="shared" ref="O144:P144" si="138">SUM(O145:O147)</f>
        <v>0</v>
      </c>
      <c r="P144" s="261">
        <f t="shared" si="138"/>
        <v>0.16856012628876019</v>
      </c>
      <c r="Q144" s="261">
        <f t="shared" ref="Q144" si="139">SUM(Q145:Q147)</f>
        <v>0.51494899687230955</v>
      </c>
      <c r="R144" s="261">
        <f t="shared" ref="R144" si="140">SUM(R145:R147)</f>
        <v>0.6922257579439971</v>
      </c>
      <c r="S144" s="261">
        <f t="shared" ref="S144" si="141">SUM(S145:S147)</f>
        <v>0.79251307398872461</v>
      </c>
      <c r="T144" s="261">
        <f t="shared" ref="T144" si="142">SUM(T145:T147)</f>
        <v>0.89414315577003722</v>
      </c>
      <c r="U144" s="261">
        <f t="shared" ref="U144" si="143">SUM(U145:U147)</f>
        <v>0.99714072557560518</v>
      </c>
      <c r="V144" s="261">
        <f t="shared" ref="V144" si="144">SUM(V145:V147)</f>
        <v>1.1015311282365405</v>
      </c>
      <c r="W144" s="261">
        <f t="shared" ref="W144" si="145">SUM(W145:W147)</f>
        <v>1.1593145413072183</v>
      </c>
      <c r="X144" s="261">
        <f t="shared" ref="X144" si="146">SUM(X145:X147)</f>
        <v>1.2623028315831051</v>
      </c>
      <c r="Y144" s="261">
        <f>SUM(Y145:Y147)</f>
        <v>1.3667053294508003</v>
      </c>
      <c r="Z144" s="261">
        <f t="shared" ref="Z144" si="147">SUM(Z145:Z147)</f>
        <v>1.4725489480956389</v>
      </c>
      <c r="AA144" s="261">
        <f t="shared" ref="AA144" si="148">SUM(AA145:AA147)</f>
        <v>1.5798612942187791</v>
      </c>
      <c r="AB144" s="261">
        <f t="shared" ref="AB144" si="149">SUM(AB145:AB147)</f>
        <v>1.6886706890746259</v>
      </c>
      <c r="AC144" s="261">
        <f t="shared" ref="AC144" si="150">SUM(AC145:AC147)</f>
        <v>1.7990061901872829</v>
      </c>
      <c r="AD144" s="261">
        <f t="shared" ref="AD144" si="151">SUM(AD145:AD147)</f>
        <v>1.9108976137683169</v>
      </c>
      <c r="AE144" s="265">
        <f>SUM(AE145:AE147)</f>
        <v>2.0243755578590199</v>
      </c>
    </row>
    <row r="145" spans="2:31" outlineLevel="1" x14ac:dyDescent="0.2">
      <c r="B145" s="972"/>
      <c r="C145" s="106" t="s">
        <v>10</v>
      </c>
      <c r="D145" s="109">
        <f>N118</f>
        <v>0.7577288341079006</v>
      </c>
      <c r="E145" s="115"/>
      <c r="F145" s="115"/>
      <c r="G145" s="115"/>
      <c r="H145" s="115"/>
      <c r="I145" s="115"/>
      <c r="J145" s="115"/>
      <c r="K145" s="116"/>
      <c r="L145" s="116"/>
      <c r="M145" s="116"/>
      <c r="N145" s="116"/>
      <c r="O145" s="116">
        <f>O$152*(O$23/O$31)*$D145</f>
        <v>0</v>
      </c>
      <c r="P145" s="116">
        <f t="shared" ref="O145:AD147" si="152">P$152*(P$23/P$31)*$D145</f>
        <v>0.12772286796986274</v>
      </c>
      <c r="Q145" s="116">
        <f t="shared" si="152"/>
        <v>0.39019170302508804</v>
      </c>
      <c r="R145" s="116">
        <f t="shared" si="152"/>
        <v>0.52451941650636269</v>
      </c>
      <c r="S145" s="116">
        <f t="shared" si="152"/>
        <v>0.60051000756874462</v>
      </c>
      <c r="T145" s="116">
        <f t="shared" si="152"/>
        <v>0.67751805094718931</v>
      </c>
      <c r="U145" s="116">
        <f t="shared" si="152"/>
        <v>0.75556227943190934</v>
      </c>
      <c r="V145" s="116">
        <f t="shared" si="152"/>
        <v>0.83466189753223419</v>
      </c>
      <c r="W145" s="116">
        <f t="shared" si="152"/>
        <v>0.8784460557490541</v>
      </c>
      <c r="X145" s="116">
        <f t="shared" si="152"/>
        <v>0.95648325286656777</v>
      </c>
      <c r="Y145" s="116">
        <f t="shared" si="152"/>
        <v>1.0355920358538091</v>
      </c>
      <c r="Z145" s="116">
        <f t="shared" si="152"/>
        <v>1.1157927976073239</v>
      </c>
      <c r="AA145" s="116">
        <f t="shared" si="152"/>
        <v>1.1971064565205944</v>
      </c>
      <c r="AB145" s="116">
        <f t="shared" si="152"/>
        <v>1.2795544724247014</v>
      </c>
      <c r="AC145" s="116">
        <f t="shared" si="152"/>
        <v>1.3631588630435059</v>
      </c>
      <c r="AD145" s="116">
        <f t="shared" si="152"/>
        <v>1.4479422209802362</v>
      </c>
      <c r="AE145" s="144">
        <f t="shared" ref="Q145:AE147" si="153">AE$152*(AE$23/AE$31)*$D145</f>
        <v>1.5339277312530459</v>
      </c>
    </row>
    <row r="146" spans="2:31" outlineLevel="1" x14ac:dyDescent="0.2">
      <c r="B146" s="972"/>
      <c r="C146" s="106" t="s">
        <v>44</v>
      </c>
      <c r="D146" s="109">
        <f>O118</f>
        <v>0.18261264902000404</v>
      </c>
      <c r="E146" s="115"/>
      <c r="F146" s="115"/>
      <c r="G146" s="115"/>
      <c r="H146" s="115"/>
      <c r="I146" s="115"/>
      <c r="J146" s="115"/>
      <c r="K146" s="116"/>
      <c r="L146" s="116"/>
      <c r="M146" s="116"/>
      <c r="N146" s="116"/>
      <c r="O146" s="116">
        <f t="shared" si="152"/>
        <v>0</v>
      </c>
      <c r="P146" s="116">
        <f t="shared" si="152"/>
        <v>3.0781211180736921E-2</v>
      </c>
      <c r="Q146" s="116">
        <f t="shared" si="153"/>
        <v>9.4036200429046229E-2</v>
      </c>
      <c r="R146" s="116">
        <f t="shared" si="153"/>
        <v>0.12640917937803339</v>
      </c>
      <c r="S146" s="116">
        <f t="shared" si="153"/>
        <v>0.14472291182406746</v>
      </c>
      <c r="T146" s="116">
        <f t="shared" si="153"/>
        <v>0.16328185027827261</v>
      </c>
      <c r="U146" s="116">
        <f t="shared" si="153"/>
        <v>0.18209050934309015</v>
      </c>
      <c r="V146" s="116">
        <f t="shared" si="153"/>
        <v>0.20115351730526845</v>
      </c>
      <c r="W146" s="116">
        <f t="shared" si="153"/>
        <v>0.21170549943552203</v>
      </c>
      <c r="X146" s="116">
        <f t="shared" si="153"/>
        <v>0.23051246394084285</v>
      </c>
      <c r="Y146" s="116">
        <f t="shared" si="153"/>
        <v>0.24957768064076799</v>
      </c>
      <c r="Z146" s="116">
        <f t="shared" si="153"/>
        <v>0.26890606422336505</v>
      </c>
      <c r="AA146" s="116">
        <f t="shared" si="153"/>
        <v>0.28850265602146324</v>
      </c>
      <c r="AB146" s="116">
        <f t="shared" si="153"/>
        <v>0.30837262785435304</v>
      </c>
      <c r="AC146" s="116">
        <f t="shared" si="153"/>
        <v>0.3285212859934849</v>
      </c>
      <c r="AD146" s="116">
        <f t="shared" si="153"/>
        <v>0.3489540752562369</v>
      </c>
      <c r="AE146" s="144">
        <f t="shared" si="153"/>
        <v>0.3696765832319841</v>
      </c>
    </row>
    <row r="147" spans="2:31" outlineLevel="1" x14ac:dyDescent="0.2">
      <c r="B147" s="972"/>
      <c r="C147" s="106" t="s">
        <v>45</v>
      </c>
      <c r="D147" s="109">
        <f>P118</f>
        <v>5.965851687209537E-2</v>
      </c>
      <c r="E147" s="115"/>
      <c r="F147" s="115"/>
      <c r="G147" s="115"/>
      <c r="H147" s="115"/>
      <c r="I147" s="115"/>
      <c r="J147" s="115"/>
      <c r="K147" s="116"/>
      <c r="L147" s="116"/>
      <c r="M147" s="116"/>
      <c r="N147" s="116"/>
      <c r="O147" s="116">
        <f t="shared" si="152"/>
        <v>0</v>
      </c>
      <c r="P147" s="116">
        <f t="shared" si="152"/>
        <v>1.0056047138160527E-2</v>
      </c>
      <c r="Q147" s="116">
        <f t="shared" si="153"/>
        <v>3.0721093418175267E-2</v>
      </c>
      <c r="R147" s="116">
        <f t="shared" si="153"/>
        <v>4.1297162059600948E-2</v>
      </c>
      <c r="S147" s="116">
        <f t="shared" si="153"/>
        <v>4.7280154595912491E-2</v>
      </c>
      <c r="T147" s="116">
        <f t="shared" si="153"/>
        <v>5.3343254544575364E-2</v>
      </c>
      <c r="U147" s="116">
        <f t="shared" si="153"/>
        <v>5.9487936800605663E-2</v>
      </c>
      <c r="V147" s="116">
        <f t="shared" si="153"/>
        <v>6.5715713399037909E-2</v>
      </c>
      <c r="W147" s="116">
        <f t="shared" si="153"/>
        <v>6.9162986122642184E-2</v>
      </c>
      <c r="X147" s="116">
        <f t="shared" si="153"/>
        <v>7.5307114775694434E-2</v>
      </c>
      <c r="Y147" s="116">
        <f t="shared" si="153"/>
        <v>8.1535612956223233E-2</v>
      </c>
      <c r="Z147" s="116">
        <f t="shared" si="153"/>
        <v>8.7850086264949959E-2</v>
      </c>
      <c r="AA147" s="116">
        <f t="shared" si="153"/>
        <v>9.4252181676721461E-2</v>
      </c>
      <c r="AB147" s="116">
        <f t="shared" si="153"/>
        <v>0.10074358879557148</v>
      </c>
      <c r="AC147" s="116">
        <f t="shared" si="153"/>
        <v>0.10732604115029201</v>
      </c>
      <c r="AD147" s="116">
        <f t="shared" si="153"/>
        <v>0.11400131753184392</v>
      </c>
      <c r="AE147" s="144">
        <f t="shared" si="153"/>
        <v>0.12077124337398981</v>
      </c>
    </row>
    <row r="148" spans="2:31" x14ac:dyDescent="0.2">
      <c r="B148" s="972"/>
      <c r="C148" s="107" t="s">
        <v>324</v>
      </c>
      <c r="D148" s="109"/>
      <c r="E148" s="106"/>
      <c r="F148" s="106"/>
      <c r="G148" s="106"/>
      <c r="H148" s="106"/>
      <c r="I148" s="106"/>
      <c r="J148" s="106"/>
      <c r="K148" s="108"/>
      <c r="L148" s="108"/>
      <c r="M148" s="108"/>
      <c r="N148" s="108"/>
      <c r="O148" s="108">
        <f t="shared" ref="O148:P148" si="154">SUM(O149:O151)</f>
        <v>0</v>
      </c>
      <c r="P148" s="108">
        <f t="shared" si="154"/>
        <v>4.0473836706330264</v>
      </c>
      <c r="Q148" s="108">
        <f t="shared" ref="Q148" si="155">SUM(Q149:Q151)</f>
        <v>8.4223252695914823</v>
      </c>
      <c r="R148" s="108">
        <f t="shared" ref="R148" si="156">SUM(R149:R151)</f>
        <v>10.587917871731189</v>
      </c>
      <c r="S148" s="108">
        <f t="shared" ref="S148" si="157">SUM(S149:S151)</f>
        <v>12.121859441619771</v>
      </c>
      <c r="T148" s="108">
        <f t="shared" ref="T148" si="158">SUM(T149:T151)</f>
        <v>13.676339243691682</v>
      </c>
      <c r="U148" s="108">
        <f t="shared" ref="U148" si="159">SUM(U149:U151)</f>
        <v>15.251735416940511</v>
      </c>
      <c r="V148" s="108">
        <f t="shared" ref="V148" si="160">SUM(V149:V151)</f>
        <v>16.848435622454033</v>
      </c>
      <c r="W148" s="108">
        <f t="shared" ref="W148" si="161">SUM(W149:W151)</f>
        <v>17.732260046667591</v>
      </c>
      <c r="X148" s="108">
        <f t="shared" ref="X148" si="162">SUM(X149:X151)</f>
        <v>19.307514285154511</v>
      </c>
      <c r="Y148" s="108">
        <f>SUM(Y149:Y151)</f>
        <v>20.904399492532455</v>
      </c>
      <c r="Z148" s="108">
        <f t="shared" ref="Z148" si="163">SUM(Z149:Z151)</f>
        <v>22.52332731860313</v>
      </c>
      <c r="AA148" s="108">
        <f t="shared" ref="AA148" si="164">SUM(AA149:AA151)</f>
        <v>24.164720020818208</v>
      </c>
      <c r="AB148" s="108">
        <f t="shared" ref="AB148" si="165">SUM(AB149:AB151)</f>
        <v>25.829010786056806</v>
      </c>
      <c r="AC148" s="108">
        <f t="shared" ref="AC148" si="166">SUM(AC149:AC151)</f>
        <v>27.51664406278849</v>
      </c>
      <c r="AD148" s="108">
        <f t="shared" ref="AD148" si="167">SUM(AD149:AD151)</f>
        <v>29.22807590396383</v>
      </c>
      <c r="AE148" s="143">
        <f>SUM(AE149:AE151)</f>
        <v>30.963774320985852</v>
      </c>
    </row>
    <row r="149" spans="2:31" outlineLevel="1" x14ac:dyDescent="0.2">
      <c r="B149" s="972"/>
      <c r="C149" s="106" t="s">
        <v>10</v>
      </c>
      <c r="D149" s="109">
        <f>D145</f>
        <v>0.7577288341079006</v>
      </c>
      <c r="E149" s="110"/>
      <c r="F149" s="110"/>
      <c r="G149" s="110"/>
      <c r="H149" s="110"/>
      <c r="I149" s="110"/>
      <c r="J149" s="110"/>
      <c r="K149" s="108"/>
      <c r="L149" s="108"/>
      <c r="M149" s="108"/>
      <c r="N149" s="108"/>
      <c r="O149" s="116">
        <f>O$152*(O$27/O$31)*$D149</f>
        <v>0</v>
      </c>
      <c r="P149" s="116">
        <f>P$152*(P$27/P$31)*$D149</f>
        <v>3.0668193099361183</v>
      </c>
      <c r="Q149" s="116">
        <f t="shared" ref="Q149:AE151" si="168">Q$152*(Q$27/Q$31)*$D149</f>
        <v>6.3818387070050635</v>
      </c>
      <c r="R149" s="116">
        <f t="shared" si="168"/>
        <v>8.0227706645770773</v>
      </c>
      <c r="S149" s="116">
        <f t="shared" si="168"/>
        <v>9.1850824219183966</v>
      </c>
      <c r="T149" s="116">
        <f t="shared" si="168"/>
        <v>10.362956589986625</v>
      </c>
      <c r="U149" s="116">
        <f t="shared" si="168"/>
        <v>11.556679695600508</v>
      </c>
      <c r="V149" s="116">
        <f t="shared" si="168"/>
        <v>12.766545480744115</v>
      </c>
      <c r="W149" s="116">
        <f t="shared" si="168"/>
        <v>13.43624473125954</v>
      </c>
      <c r="X149" s="116">
        <f t="shared" si="168"/>
        <v>14.629860288811763</v>
      </c>
      <c r="Y149" s="116">
        <f t="shared" si="168"/>
        <v>15.839866255202406</v>
      </c>
      <c r="Z149" s="116">
        <f t="shared" si="168"/>
        <v>17.066574549355774</v>
      </c>
      <c r="AA149" s="116">
        <f t="shared" si="168"/>
        <v>18.310305127918426</v>
      </c>
      <c r="AB149" s="116">
        <f t="shared" si="168"/>
        <v>19.571386229079213</v>
      </c>
      <c r="AC149" s="116">
        <f t="shared" si="168"/>
        <v>20.850154624258806</v>
      </c>
      <c r="AD149" s="116">
        <f t="shared" si="168"/>
        <v>22.146955877927738</v>
      </c>
      <c r="AE149" s="144">
        <f>AE$152*(AE$27/AE$31)*$D149</f>
        <v>23.462144615820762</v>
      </c>
    </row>
    <row r="150" spans="2:31" outlineLevel="1" x14ac:dyDescent="0.2">
      <c r="B150" s="972"/>
      <c r="C150" s="106" t="s">
        <v>44</v>
      </c>
      <c r="D150" s="109">
        <f t="shared" ref="D150:D151" si="169">D146</f>
        <v>0.18261264902000404</v>
      </c>
      <c r="E150" s="110"/>
      <c r="F150" s="110"/>
      <c r="G150" s="110"/>
      <c r="H150" s="110"/>
      <c r="I150" s="110"/>
      <c r="J150" s="110"/>
      <c r="K150" s="108"/>
      <c r="L150" s="108"/>
      <c r="M150" s="108"/>
      <c r="N150" s="108"/>
      <c r="O150" s="116">
        <f t="shared" ref="O150:AE151" si="170">O$152*(O$27/O$31)*$D150</f>
        <v>0</v>
      </c>
      <c r="P150" s="116">
        <f t="shared" si="170"/>
        <v>0.73910345369460451</v>
      </c>
      <c r="Q150" s="116">
        <f t="shared" si="170"/>
        <v>1.5380231283882202</v>
      </c>
      <c r="R150" s="116">
        <f t="shared" si="170"/>
        <v>1.9334877301630755</v>
      </c>
      <c r="S150" s="116">
        <f t="shared" si="170"/>
        <v>2.2136048636823338</v>
      </c>
      <c r="T150" s="116">
        <f t="shared" si="170"/>
        <v>2.4974725381867766</v>
      </c>
      <c r="U150" s="116">
        <f t="shared" si="170"/>
        <v>2.7851598066397223</v>
      </c>
      <c r="V150" s="116">
        <f t="shared" si="170"/>
        <v>3.0767374608593316</v>
      </c>
      <c r="W150" s="116">
        <f t="shared" si="170"/>
        <v>3.2381349802335491</v>
      </c>
      <c r="X150" s="116">
        <f t="shared" si="170"/>
        <v>3.5257963296036348</v>
      </c>
      <c r="Y150" s="116">
        <f t="shared" si="170"/>
        <v>3.8174077675037799</v>
      </c>
      <c r="Z150" s="116">
        <f t="shared" si="170"/>
        <v>4.1130444663947419</v>
      </c>
      <c r="AA150" s="116">
        <f t="shared" si="170"/>
        <v>4.41278353582834</v>
      </c>
      <c r="AB150" s="116">
        <f t="shared" si="170"/>
        <v>4.71670408120809</v>
      </c>
      <c r="AC150" s="116">
        <f t="shared" si="170"/>
        <v>5.0248872644463729</v>
      </c>
      <c r="AD150" s="116">
        <f t="shared" si="170"/>
        <v>5.3374163665805847</v>
      </c>
      <c r="AE150" s="144">
        <f t="shared" si="170"/>
        <v>5.6543768524128035</v>
      </c>
    </row>
    <row r="151" spans="2:31" outlineLevel="1" x14ac:dyDescent="0.2">
      <c r="B151" s="972"/>
      <c r="C151" s="106" t="s">
        <v>45</v>
      </c>
      <c r="D151" s="109">
        <f t="shared" si="169"/>
        <v>5.965851687209537E-2</v>
      </c>
      <c r="E151" s="110"/>
      <c r="F151" s="110"/>
      <c r="G151" s="110"/>
      <c r="H151" s="110"/>
      <c r="I151" s="110"/>
      <c r="J151" s="110"/>
      <c r="K151" s="108"/>
      <c r="L151" s="108"/>
      <c r="M151" s="108"/>
      <c r="N151" s="108"/>
      <c r="O151" s="116">
        <f t="shared" si="170"/>
        <v>0</v>
      </c>
      <c r="P151" s="116">
        <f t="shared" si="170"/>
        <v>0.24146090700230369</v>
      </c>
      <c r="Q151" s="116">
        <f t="shared" si="168"/>
        <v>0.50246343419819861</v>
      </c>
      <c r="R151" s="116">
        <f t="shared" si="168"/>
        <v>0.6316594769910352</v>
      </c>
      <c r="S151" s="116">
        <f t="shared" si="168"/>
        <v>0.72317215601904172</v>
      </c>
      <c r="T151" s="116">
        <f t="shared" si="168"/>
        <v>0.8159101155182803</v>
      </c>
      <c r="U151" s="116">
        <f t="shared" si="168"/>
        <v>0.90989591470027997</v>
      </c>
      <c r="V151" s="116">
        <f t="shared" si="168"/>
        <v>1.0051526808505866</v>
      </c>
      <c r="W151" s="116">
        <f t="shared" si="168"/>
        <v>1.0578803351745012</v>
      </c>
      <c r="X151" s="116">
        <f t="shared" si="168"/>
        <v>1.1518576667391127</v>
      </c>
      <c r="Y151" s="116">
        <f t="shared" si="168"/>
        <v>1.2471254698262695</v>
      </c>
      <c r="Z151" s="116">
        <f t="shared" si="168"/>
        <v>1.3437083028526111</v>
      </c>
      <c r="AA151" s="116">
        <f t="shared" si="168"/>
        <v>1.4416313570714439</v>
      </c>
      <c r="AB151" s="116">
        <f t="shared" si="168"/>
        <v>1.5409204757695032</v>
      </c>
      <c r="AC151" s="116">
        <f t="shared" si="168"/>
        <v>1.64160217408331</v>
      </c>
      <c r="AD151" s="116">
        <f t="shared" si="168"/>
        <v>1.7437036594555104</v>
      </c>
      <c r="AE151" s="144">
        <f t="shared" si="168"/>
        <v>1.8472528527522878</v>
      </c>
    </row>
    <row r="152" spans="2:31" s="111" customFormat="1" x14ac:dyDescent="0.2">
      <c r="B152" s="972"/>
      <c r="C152" s="117" t="s">
        <v>323</v>
      </c>
      <c r="D152" s="109">
        <f t="shared" si="137"/>
        <v>0</v>
      </c>
      <c r="K152" s="118"/>
      <c r="L152" s="118"/>
      <c r="M152" s="118"/>
      <c r="N152" s="118"/>
      <c r="O152" s="118">
        <f>Morogoro!H118</f>
        <v>0</v>
      </c>
      <c r="P152" s="118">
        <f>Morogoro!I118</f>
        <v>4.1404734950575861</v>
      </c>
      <c r="Q152" s="118">
        <f>Morogoro!J118</f>
        <v>8.6160387507920859</v>
      </c>
      <c r="R152" s="118">
        <f>Morogoro!K118</f>
        <v>10.831439982781003</v>
      </c>
      <c r="S152" s="118">
        <f>Morogoro!L118</f>
        <v>12.400662208777026</v>
      </c>
      <c r="T152" s="118">
        <f>Morogoro!M118</f>
        <v>13.99089504629659</v>
      </c>
      <c r="U152" s="118">
        <f>Morogoro!N118</f>
        <v>15.602525331530142</v>
      </c>
      <c r="V152" s="118">
        <f>Morogoro!O118</f>
        <v>17.235949641770475</v>
      </c>
      <c r="W152" s="118">
        <f>Morogoro!P118</f>
        <v>18.891574587974809</v>
      </c>
      <c r="X152" s="118">
        <f>Morogoro!Q118</f>
        <v>20.569817116737617</v>
      </c>
      <c r="Y152" s="118">
        <f>Morogoro!R118</f>
        <v>22.271104821983258</v>
      </c>
      <c r="Z152" s="118">
        <f>Morogoro!S118</f>
        <v>23.995876266698765</v>
      </c>
      <c r="AA152" s="118">
        <f>Morogoro!T118</f>
        <v>25.744581315036989</v>
      </c>
      <c r="AB152" s="118">
        <f>Morogoro!U118</f>
        <v>27.517681475131432</v>
      </c>
      <c r="AC152" s="118">
        <f>Morogoro!V118</f>
        <v>29.315650252975772</v>
      </c>
      <c r="AD152" s="118">
        <f>Morogoro!W118</f>
        <v>31.138973517732147</v>
      </c>
      <c r="AE152" s="145">
        <f>Morogoro!X118</f>
        <v>32.988149878844872</v>
      </c>
    </row>
    <row r="153" spans="2:31" x14ac:dyDescent="0.2">
      <c r="B153" s="972" t="s">
        <v>37</v>
      </c>
      <c r="C153" s="107" t="s">
        <v>325</v>
      </c>
      <c r="D153" s="109"/>
      <c r="K153" s="109"/>
      <c r="L153" s="109"/>
      <c r="M153" s="109"/>
      <c r="N153" s="109"/>
      <c r="O153" s="261">
        <f t="shared" ref="O153:P153" si="171">SUM(O154:O156)</f>
        <v>0</v>
      </c>
      <c r="P153" s="261">
        <f t="shared" si="171"/>
        <v>5.1983051915345892E-2</v>
      </c>
      <c r="Q153" s="261">
        <f t="shared" ref="Q153" si="172">SUM(Q154:Q156)</f>
        <v>0.14281163582382594</v>
      </c>
      <c r="R153" s="261">
        <f t="shared" ref="R153" si="173">SUM(R154:R156)</f>
        <v>0.1824289044771738</v>
      </c>
      <c r="S153" s="261">
        <f t="shared" ref="S153" si="174">SUM(S154:S156)</f>
        <v>0.20148436535184977</v>
      </c>
      <c r="T153" s="261">
        <f t="shared" ref="T153" si="175">SUM(T154:T156)</f>
        <v>0.22083851058275064</v>
      </c>
      <c r="U153" s="261">
        <f t="shared" ref="U153" si="176">SUM(U154:U156)</f>
        <v>0.2404979201649467</v>
      </c>
      <c r="V153" s="261">
        <f t="shared" ref="V153" si="177">SUM(V154:V156)</f>
        <v>0.26046935929388443</v>
      </c>
      <c r="W153" s="261">
        <f t="shared" ref="W153" si="178">SUM(W154:W156)</f>
        <v>0.28075978418506564</v>
      </c>
      <c r="X153" s="261">
        <f t="shared" ref="X153" si="179">SUM(X154:X156)</f>
        <v>0.30137634808376895</v>
      </c>
      <c r="Y153" s="261">
        <f>SUM(Y154:Y156)</f>
        <v>0.3223264074710992</v>
      </c>
      <c r="Z153" s="261">
        <f t="shared" ref="Z153" si="180">SUM(Z154:Z156)</f>
        <v>0.3436175284728451</v>
      </c>
      <c r="AA153" s="261">
        <f t="shared" ref="AA153" si="181">SUM(AA154:AA156)</f>
        <v>0.36525749347786357</v>
      </c>
      <c r="AB153" s="261">
        <f t="shared" ref="AB153" si="182">SUM(AB154:AB156)</f>
        <v>0.387254307972909</v>
      </c>
      <c r="AC153" s="261">
        <f t="shared" ref="AC153" si="183">SUM(AC154:AC156)</f>
        <v>0.40961620760106088</v>
      </c>
      <c r="AD153" s="261">
        <f t="shared" ref="AD153" si="184">SUM(AD154:AD156)</f>
        <v>0.43235166545116938</v>
      </c>
      <c r="AE153" s="265">
        <f t="shared" ref="AE153" si="185">SUM(AE154:AE156)</f>
        <v>0.45546939958592225</v>
      </c>
    </row>
    <row r="154" spans="2:31" outlineLevel="1" x14ac:dyDescent="0.2">
      <c r="B154" s="972"/>
      <c r="C154" s="106" t="s">
        <v>10</v>
      </c>
      <c r="D154" s="109">
        <f>N119</f>
        <v>0.86655112651646449</v>
      </c>
      <c r="E154" s="115"/>
      <c r="F154" s="115"/>
      <c r="G154" s="115"/>
      <c r="H154" s="115"/>
      <c r="I154" s="115"/>
      <c r="J154" s="115"/>
      <c r="K154" s="116"/>
      <c r="L154" s="116"/>
      <c r="M154" s="116"/>
      <c r="N154" s="116"/>
      <c r="O154" s="116">
        <f>O$161*(O$32/O$40)*$D154</f>
        <v>0</v>
      </c>
      <c r="P154" s="116">
        <f>P$161*(P$32/P$40)*$D154</f>
        <v>4.5045972197006838E-2</v>
      </c>
      <c r="Q154" s="116">
        <f t="shared" ref="Q154:AE156" si="186">Q$161*(Q$32/Q$40)*$D154</f>
        <v>0.12375358390279545</v>
      </c>
      <c r="R154" s="116">
        <f t="shared" si="186"/>
        <v>0.15808397268385946</v>
      </c>
      <c r="S154" s="116">
        <f t="shared" si="186"/>
        <v>0.17459650377110034</v>
      </c>
      <c r="T154" s="116">
        <f t="shared" si="186"/>
        <v>0.19136786012370074</v>
      </c>
      <c r="U154" s="116">
        <f t="shared" si="186"/>
        <v>0.20840374364380129</v>
      </c>
      <c r="V154" s="116">
        <f t="shared" si="186"/>
        <v>0.22571001671913729</v>
      </c>
      <c r="W154" s="116">
        <f t="shared" si="186"/>
        <v>0.24329270726608809</v>
      </c>
      <c r="X154" s="116">
        <f t="shared" si="186"/>
        <v>0.26115801393740812</v>
      </c>
      <c r="Y154" s="116">
        <f t="shared" si="186"/>
        <v>0.27931231150008595</v>
      </c>
      <c r="Z154" s="116">
        <f t="shared" si="186"/>
        <v>0.29776215638894726</v>
      </c>
      <c r="AA154" s="116">
        <f t="shared" si="186"/>
        <v>0.31651429244182289</v>
      </c>
      <c r="AB154" s="116">
        <f t="shared" si="186"/>
        <v>0.33557565682227819</v>
      </c>
      <c r="AC154" s="116">
        <f t="shared" si="186"/>
        <v>0.35495338613610128</v>
      </c>
      <c r="AD154" s="116">
        <f t="shared" si="186"/>
        <v>0.3746548227479804</v>
      </c>
      <c r="AE154" s="144">
        <f t="shared" si="186"/>
        <v>0.39468752130495866</v>
      </c>
    </row>
    <row r="155" spans="2:31" outlineLevel="1" x14ac:dyDescent="0.2">
      <c r="B155" s="972"/>
      <c r="C155" s="106" t="s">
        <v>44</v>
      </c>
      <c r="D155" s="109">
        <f>O119</f>
        <v>9.087232813402657E-2</v>
      </c>
      <c r="E155" s="115"/>
      <c r="F155" s="115"/>
      <c r="G155" s="115"/>
      <c r="H155" s="115"/>
      <c r="I155" s="115"/>
      <c r="J155" s="115"/>
      <c r="K155" s="116"/>
      <c r="L155" s="116"/>
      <c r="M155" s="116"/>
      <c r="N155" s="116"/>
      <c r="O155" s="116">
        <f t="shared" ref="O155:AD156" si="187">O$161*(O$32/O$40)*$D155</f>
        <v>0</v>
      </c>
      <c r="P155" s="116">
        <f t="shared" si="187"/>
        <v>4.72382095105945E-3</v>
      </c>
      <c r="Q155" s="116">
        <f t="shared" si="187"/>
        <v>1.2977625831939815E-2</v>
      </c>
      <c r="R155" s="116">
        <f t="shared" si="187"/>
        <v>1.6577739268780728E-2</v>
      </c>
      <c r="S155" s="116">
        <f t="shared" si="187"/>
        <v>1.8309353362129386E-2</v>
      </c>
      <c r="T155" s="116">
        <f t="shared" si="187"/>
        <v>2.0068109598305416E-2</v>
      </c>
      <c r="U155" s="116">
        <f t="shared" si="187"/>
        <v>2.185460591677996E-2</v>
      </c>
      <c r="V155" s="116">
        <f t="shared" si="187"/>
        <v>2.366945708661353E-2</v>
      </c>
      <c r="W155" s="116">
        <f t="shared" si="187"/>
        <v>2.5513295235303768E-2</v>
      </c>
      <c r="X155" s="116">
        <f t="shared" si="187"/>
        <v>2.7386770394902862E-2</v>
      </c>
      <c r="Y155" s="116">
        <f t="shared" si="187"/>
        <v>2.9290551065975678E-2</v>
      </c>
      <c r="Z155" s="116">
        <f t="shared" si="187"/>
        <v>3.1225324799987603E-2</v>
      </c>
      <c r="AA155" s="116">
        <f t="shared" si="187"/>
        <v>3.3191798800732496E-2</v>
      </c>
      <c r="AB155" s="116">
        <f t="shared" si="187"/>
        <v>3.5190700545429568E-2</v>
      </c>
      <c r="AC155" s="116">
        <f t="shared" si="187"/>
        <v>3.722277842613915E-2</v>
      </c>
      <c r="AD155" s="116">
        <f t="shared" si="187"/>
        <v>3.9288802412171545E-2</v>
      </c>
      <c r="AE155" s="144">
        <f t="shared" si="186"/>
        <v>4.1389564734179991E-2</v>
      </c>
    </row>
    <row r="156" spans="2:31" outlineLevel="1" x14ac:dyDescent="0.2">
      <c r="B156" s="972"/>
      <c r="C156" s="106" t="s">
        <v>45</v>
      </c>
      <c r="D156" s="109">
        <f>P119</f>
        <v>4.2576545349508957E-2</v>
      </c>
      <c r="E156" s="115"/>
      <c r="F156" s="115"/>
      <c r="G156" s="115"/>
      <c r="H156" s="115"/>
      <c r="I156" s="115"/>
      <c r="J156" s="115"/>
      <c r="K156" s="116"/>
      <c r="L156" s="116"/>
      <c r="M156" s="116"/>
      <c r="N156" s="116"/>
      <c r="O156" s="116">
        <f t="shared" si="187"/>
        <v>0</v>
      </c>
      <c r="P156" s="116">
        <f t="shared" si="187"/>
        <v>2.2132587672796028E-3</v>
      </c>
      <c r="Q156" s="116">
        <f t="shared" si="186"/>
        <v>6.0804260890906835E-3</v>
      </c>
      <c r="R156" s="116">
        <f t="shared" si="186"/>
        <v>7.7671925245336284E-3</v>
      </c>
      <c r="S156" s="116">
        <f t="shared" si="186"/>
        <v>8.5785082186200633E-3</v>
      </c>
      <c r="T156" s="116">
        <f t="shared" si="186"/>
        <v>9.4025408607444974E-3</v>
      </c>
      <c r="U156" s="116">
        <f t="shared" si="186"/>
        <v>1.0239570604365436E-2</v>
      </c>
      <c r="V156" s="116">
        <f t="shared" si="186"/>
        <v>1.1089885488133612E-2</v>
      </c>
      <c r="W156" s="116">
        <f t="shared" si="186"/>
        <v>1.1953781683673795E-2</v>
      </c>
      <c r="X156" s="116">
        <f t="shared" si="186"/>
        <v>1.2831563751457985E-2</v>
      </c>
      <c r="Y156" s="116">
        <f t="shared" si="186"/>
        <v>1.3723544905037558E-2</v>
      </c>
      <c r="Z156" s="116">
        <f t="shared" si="186"/>
        <v>1.4630047283910277E-2</v>
      </c>
      <c r="AA156" s="116">
        <f t="shared" si="186"/>
        <v>1.5551402235308232E-2</v>
      </c>
      <c r="AB156" s="116">
        <f t="shared" si="186"/>
        <v>1.6487950605201269E-2</v>
      </c>
      <c r="AC156" s="116">
        <f t="shared" si="186"/>
        <v>1.7440043038820442E-2</v>
      </c>
      <c r="AD156" s="116">
        <f t="shared" si="186"/>
        <v>1.8408040291017436E-2</v>
      </c>
      <c r="AE156" s="144">
        <f t="shared" si="186"/>
        <v>1.9392313546783634E-2</v>
      </c>
    </row>
    <row r="157" spans="2:31" x14ac:dyDescent="0.2">
      <c r="B157" s="972"/>
      <c r="C157" s="107" t="s">
        <v>324</v>
      </c>
      <c r="D157" s="109"/>
      <c r="E157" s="106"/>
      <c r="F157" s="106"/>
      <c r="G157" s="106"/>
      <c r="H157" s="106"/>
      <c r="I157" s="106"/>
      <c r="J157" s="106"/>
      <c r="K157" s="108"/>
      <c r="L157" s="108"/>
      <c r="M157" s="108"/>
      <c r="N157" s="108"/>
      <c r="O157" s="108">
        <f t="shared" ref="O157:P157" si="188">SUM(O158:O160)</f>
        <v>0</v>
      </c>
      <c r="P157" s="108">
        <f t="shared" si="188"/>
        <v>1.5547408144636501</v>
      </c>
      <c r="Q157" s="108">
        <f t="shared" ref="Q157" si="189">SUM(Q158:Q160)</f>
        <v>3.2204891442282033</v>
      </c>
      <c r="R157" s="108">
        <f t="shared" ref="R157" si="190">SUM(R158:R160)</f>
        <v>3.9050344240585568</v>
      </c>
      <c r="S157" s="108">
        <f t="shared" ref="S157" si="191">SUM(S158:S160)</f>
        <v>4.3129315766242131</v>
      </c>
      <c r="T157" s="108">
        <f t="shared" ref="T157" si="192">SUM(T158:T160)</f>
        <v>4.7272223031485989</v>
      </c>
      <c r="U157" s="108">
        <f t="shared" ref="U157" si="193">SUM(U158:U160)</f>
        <v>5.1480474536101504</v>
      </c>
      <c r="V157" s="108">
        <f t="shared" ref="V157" si="194">SUM(V158:V160)</f>
        <v>5.575551842347247</v>
      </c>
      <c r="W157" s="108">
        <f t="shared" ref="W157" si="195">SUM(W158:W160)</f>
        <v>6.0098843726330475</v>
      </c>
      <c r="X157" s="108">
        <f t="shared" ref="X157" si="196">SUM(X158:X160)</f>
        <v>6.4511981653183206</v>
      </c>
      <c r="Y157" s="108">
        <f t="shared" ref="Y157" si="197">SUM(Y158:Y160)</f>
        <v>6.8996506916767784</v>
      </c>
      <c r="Z157" s="108">
        <f t="shared" ref="Z157" si="198">SUM(Z158:Z160)</f>
        <v>7.3554039105918054</v>
      </c>
      <c r="AA157" s="108">
        <f t="shared" ref="AA157" si="199">SUM(AA158:AA160)</f>
        <v>7.8186244102281179</v>
      </c>
      <c r="AB157" s="108">
        <f t="shared" ref="AB157" si="200">SUM(AB158:AB160)</f>
        <v>8.2894835543366483</v>
      </c>
      <c r="AC157" s="108">
        <f t="shared" ref="AC157" si="201">SUM(AC158:AC160)</f>
        <v>8.7681576333459041</v>
      </c>
      <c r="AD157" s="108">
        <f t="shared" ref="AD157" si="202">SUM(AD158:AD160)</f>
        <v>9.2548280203980529</v>
      </c>
      <c r="AE157" s="143">
        <f t="shared" ref="AE157" si="203">SUM(AE158:AE160)</f>
        <v>9.7496813324933349</v>
      </c>
    </row>
    <row r="158" spans="2:31" outlineLevel="1" x14ac:dyDescent="0.2">
      <c r="B158" s="972"/>
      <c r="C158" s="106" t="s">
        <v>10</v>
      </c>
      <c r="D158" s="109">
        <f>D154</f>
        <v>0.86655112651646449</v>
      </c>
      <c r="E158" s="110"/>
      <c r="F158" s="110"/>
      <c r="G158" s="110"/>
      <c r="H158" s="110"/>
      <c r="I158" s="110"/>
      <c r="J158" s="110"/>
      <c r="K158" s="108"/>
      <c r="L158" s="108"/>
      <c r="M158" s="108"/>
      <c r="N158" s="108"/>
      <c r="O158" s="116">
        <f>O$161*(O$36/O$40)*$D158</f>
        <v>0</v>
      </c>
      <c r="P158" s="116">
        <f>P$161*(P$36/P$40)*$D158</f>
        <v>1.3472624042146015</v>
      </c>
      <c r="Q158" s="116">
        <f t="shared" ref="Q158:AE160" si="204">Q$161*(Q$36/Q$40)*$D158</f>
        <v>2.7907184958649944</v>
      </c>
      <c r="R158" s="116">
        <f t="shared" si="204"/>
        <v>3.3839119792535155</v>
      </c>
      <c r="S158" s="116">
        <f t="shared" si="204"/>
        <v>3.737375716312143</v>
      </c>
      <c r="T158" s="116">
        <f t="shared" si="204"/>
        <v>4.0963798120871742</v>
      </c>
      <c r="U158" s="116">
        <f t="shared" si="204"/>
        <v>4.4610463202860924</v>
      </c>
      <c r="V158" s="116">
        <f t="shared" si="204"/>
        <v>4.8315007299369555</v>
      </c>
      <c r="W158" s="116">
        <f t="shared" si="204"/>
        <v>5.2078720733388622</v>
      </c>
      <c r="X158" s="116">
        <f t="shared" si="204"/>
        <v>5.5902930375375393</v>
      </c>
      <c r="Y158" s="116">
        <f>Y$161*(Y$36/Y$40)*$D158</f>
        <v>5.9789000794426155</v>
      </c>
      <c r="Z158" s="116">
        <f t="shared" si="204"/>
        <v>6.3738335447069367</v>
      </c>
      <c r="AA158" s="116">
        <f t="shared" si="204"/>
        <v>6.7752377904923033</v>
      </c>
      <c r="AB158" s="116">
        <f t="shared" si="204"/>
        <v>7.1832613122501288</v>
      </c>
      <c r="AC158" s="116">
        <f t="shared" si="204"/>
        <v>7.5980568746498305</v>
      </c>
      <c r="AD158" s="116">
        <f t="shared" si="204"/>
        <v>8.0197816467920742</v>
      </c>
      <c r="AE158" s="144">
        <f t="shared" si="204"/>
        <v>8.4485973418486431</v>
      </c>
    </row>
    <row r="159" spans="2:31" outlineLevel="1" x14ac:dyDescent="0.2">
      <c r="B159" s="972"/>
      <c r="C159" s="106" t="s">
        <v>44</v>
      </c>
      <c r="D159" s="109">
        <f t="shared" ref="D159:D160" si="205">D155</f>
        <v>9.087232813402657E-2</v>
      </c>
      <c r="E159" s="110"/>
      <c r="F159" s="110"/>
      <c r="G159" s="110"/>
      <c r="H159" s="110"/>
      <c r="I159" s="110"/>
      <c r="J159" s="110"/>
      <c r="K159" s="108"/>
      <c r="L159" s="108"/>
      <c r="M159" s="108"/>
      <c r="N159" s="108"/>
      <c r="O159" s="116">
        <f t="shared" ref="O159:AD160" si="206">O$161*(O$36/O$40)*$D159</f>
        <v>0</v>
      </c>
      <c r="P159" s="116">
        <f t="shared" si="206"/>
        <v>0.14128291745530452</v>
      </c>
      <c r="Q159" s="116">
        <f t="shared" si="206"/>
        <v>0.29265334626637574</v>
      </c>
      <c r="R159" s="116">
        <f t="shared" si="206"/>
        <v>0.35485956955771863</v>
      </c>
      <c r="S159" s="116">
        <f t="shared" si="206"/>
        <v>0.39192613345060007</v>
      </c>
      <c r="T159" s="116">
        <f t="shared" si="206"/>
        <v>0.42957369629420833</v>
      </c>
      <c r="U159" s="116">
        <f t="shared" si="206"/>
        <v>0.46781505745400154</v>
      </c>
      <c r="V159" s="116">
        <f t="shared" si="206"/>
        <v>0.50666337654605542</v>
      </c>
      <c r="W159" s="116">
        <f t="shared" si="206"/>
        <v>0.54613218475746861</v>
      </c>
      <c r="X159" s="116">
        <f t="shared" si="206"/>
        <v>0.58623539653643653</v>
      </c>
      <c r="Y159" s="116">
        <f t="shared" si="206"/>
        <v>0.62698732166421556</v>
      </c>
      <c r="Z159" s="116">
        <f t="shared" si="206"/>
        <v>0.66840267772160067</v>
      </c>
      <c r="AA159" s="116">
        <f t="shared" si="206"/>
        <v>0.71049660296295947</v>
      </c>
      <c r="AB159" s="116">
        <f t="shared" si="206"/>
        <v>0.75328466961129681</v>
      </c>
      <c r="AC159" s="116">
        <f t="shared" si="206"/>
        <v>0.7967828975882788</v>
      </c>
      <c r="AD159" s="116">
        <f t="shared" si="206"/>
        <v>0.84100776869359539</v>
      </c>
      <c r="AE159" s="144">
        <f t="shared" si="204"/>
        <v>0.8859762412485277</v>
      </c>
    </row>
    <row r="160" spans="2:31" outlineLevel="1" x14ac:dyDescent="0.2">
      <c r="B160" s="972"/>
      <c r="C160" s="106" t="s">
        <v>45</v>
      </c>
      <c r="D160" s="109">
        <f t="shared" si="205"/>
        <v>4.2576545349508957E-2</v>
      </c>
      <c r="E160" s="110"/>
      <c r="F160" s="110"/>
      <c r="G160" s="110"/>
      <c r="H160" s="110"/>
      <c r="I160" s="110"/>
      <c r="J160" s="110"/>
      <c r="K160" s="108"/>
      <c r="L160" s="108"/>
      <c r="M160" s="108"/>
      <c r="N160" s="108"/>
      <c r="O160" s="116">
        <f t="shared" si="206"/>
        <v>0</v>
      </c>
      <c r="P160" s="116">
        <f t="shared" si="206"/>
        <v>6.6195492793744093E-2</v>
      </c>
      <c r="Q160" s="116">
        <f t="shared" si="204"/>
        <v>0.1371173020968334</v>
      </c>
      <c r="R160" s="116">
        <f t="shared" si="204"/>
        <v>0.16626287524732272</v>
      </c>
      <c r="S160" s="116">
        <f t="shared" si="204"/>
        <v>0.18362972686146997</v>
      </c>
      <c r="T160" s="116">
        <f t="shared" si="204"/>
        <v>0.20126879476721651</v>
      </c>
      <c r="U160" s="116">
        <f t="shared" si="204"/>
        <v>0.21918607587005667</v>
      </c>
      <c r="V160" s="116">
        <f t="shared" si="204"/>
        <v>0.23738773586423578</v>
      </c>
      <c r="W160" s="116">
        <f t="shared" si="204"/>
        <v>0.25588011453671611</v>
      </c>
      <c r="X160" s="116">
        <f t="shared" si="204"/>
        <v>0.27466973124434441</v>
      </c>
      <c r="Y160" s="116">
        <f t="shared" si="204"/>
        <v>0.29376329056994721</v>
      </c>
      <c r="Z160" s="116">
        <f t="shared" si="204"/>
        <v>0.31316768816326751</v>
      </c>
      <c r="AA160" s="116">
        <f t="shared" si="204"/>
        <v>0.33289001677285518</v>
      </c>
      <c r="AB160" s="116">
        <f t="shared" si="204"/>
        <v>0.352937572475223</v>
      </c>
      <c r="AC160" s="116">
        <f t="shared" si="204"/>
        <v>0.37331786110779502</v>
      </c>
      <c r="AD160" s="116">
        <f t="shared" si="204"/>
        <v>0.39403860491238391</v>
      </c>
      <c r="AE160" s="144">
        <f t="shared" si="204"/>
        <v>0.41510774939616341</v>
      </c>
    </row>
    <row r="161" spans="2:31" s="111" customFormat="1" x14ac:dyDescent="0.2">
      <c r="B161" s="972"/>
      <c r="C161" s="117" t="s">
        <v>323</v>
      </c>
      <c r="D161" s="109">
        <f t="shared" si="137"/>
        <v>0</v>
      </c>
      <c r="K161" s="118"/>
      <c r="L161" s="118"/>
      <c r="M161" s="118"/>
      <c r="N161" s="118"/>
      <c r="O161" s="118">
        <f>Iringa!H118</f>
        <v>0</v>
      </c>
      <c r="P161" s="118">
        <f>Iringa!I118</f>
        <v>1.606723866378996</v>
      </c>
      <c r="Q161" s="118">
        <f>Iringa!J118</f>
        <v>3.3633007800520298</v>
      </c>
      <c r="R161" s="118">
        <f>Iringa!K118</f>
        <v>4.0874633285357307</v>
      </c>
      <c r="S161" s="118">
        <f>Iringa!L118</f>
        <v>4.514415941976063</v>
      </c>
      <c r="T161" s="118">
        <f>Iringa!M118</f>
        <v>4.9480608137313489</v>
      </c>
      <c r="U161" s="118">
        <f>Iringa!N118</f>
        <v>5.3885453737750968</v>
      </c>
      <c r="V161" s="118">
        <f>Iringa!O118</f>
        <v>5.836021201641131</v>
      </c>
      <c r="W161" s="118">
        <f>Iringa!P118</f>
        <v>6.2906441568181126</v>
      </c>
      <c r="X161" s="118">
        <f>Iringa!Q118</f>
        <v>6.7525745134020889</v>
      </c>
      <c r="Y161" s="118">
        <f>Iringa!R118</f>
        <v>7.2219770991478782</v>
      </c>
      <c r="Z161" s="118">
        <f>Iringa!S118</f>
        <v>7.6990214390646496</v>
      </c>
      <c r="AA161" s="118">
        <f>Iringa!T118</f>
        <v>8.1838819037059807</v>
      </c>
      <c r="AB161" s="118">
        <f>Iringa!U118</f>
        <v>8.6767378623095581</v>
      </c>
      <c r="AC161" s="118">
        <f>Iringa!V118</f>
        <v>9.1777738409469656</v>
      </c>
      <c r="AD161" s="118">
        <f>Iringa!W118</f>
        <v>9.6871796858492214</v>
      </c>
      <c r="AE161" s="145">
        <f>Iringa!X118</f>
        <v>10.205150732079257</v>
      </c>
    </row>
    <row r="162" spans="2:31" x14ac:dyDescent="0.2">
      <c r="B162" s="972" t="s">
        <v>38</v>
      </c>
      <c r="C162" s="107" t="s">
        <v>325</v>
      </c>
      <c r="D162" s="109"/>
      <c r="K162" s="109"/>
      <c r="L162" s="109"/>
      <c r="M162" s="109"/>
      <c r="N162" s="109"/>
      <c r="O162" s="261">
        <f t="shared" ref="O162:P162" si="207">SUM(O163:O165)</f>
        <v>0</v>
      </c>
      <c r="P162" s="261">
        <f t="shared" si="207"/>
        <v>0.15767526698820733</v>
      </c>
      <c r="Q162" s="261">
        <f t="shared" ref="Q162" si="208">SUM(Q163:Q165)</f>
        <v>0.4744903719706926</v>
      </c>
      <c r="R162" s="261">
        <f t="shared" ref="R162" si="209">SUM(R163:R165)</f>
        <v>0.6415664546785097</v>
      </c>
      <c r="S162" s="261">
        <f t="shared" ref="S162" si="210">SUM(S163:S165)</f>
        <v>0.74138262107755315</v>
      </c>
      <c r="T162" s="261">
        <f t="shared" ref="T162" si="211">SUM(T163:T165)</f>
        <v>0.84249468591653764</v>
      </c>
      <c r="U162" s="261">
        <f t="shared" ref="U162" si="212">SUM(U163:U165)</f>
        <v>0.94492550197292957</v>
      </c>
      <c r="V162" s="261">
        <f t="shared" ref="V162" si="213">SUM(V163:V165)</f>
        <v>1.0486984793227103</v>
      </c>
      <c r="W162" s="261">
        <f t="shared" ref="W162" si="214">SUM(W163:W165)</f>
        <v>1.1538376018384184</v>
      </c>
      <c r="X162" s="261">
        <f t="shared" ref="X162" si="215">SUM(X163:X165)</f>
        <v>1.2603674442152037</v>
      </c>
      <c r="Y162" s="261">
        <f t="shared" ref="Y162" si="216">SUM(Y163:Y165)</f>
        <v>1.3683131895422449</v>
      </c>
      <c r="Z162" s="261">
        <f t="shared" ref="Z162" si="217">SUM(Z163:Z165)</f>
        <v>1.4777006474374643</v>
      </c>
      <c r="AA162" s="261">
        <f t="shared" ref="AA162" si="218">SUM(AA163:AA165)</f>
        <v>1.5885562727640143</v>
      </c>
      <c r="AB162" s="261">
        <f t="shared" ref="AB162" si="219">SUM(AB163:AB165)</f>
        <v>1.7009071849476853</v>
      </c>
      <c r="AC162" s="261">
        <f t="shared" ref="AC162" si="220">SUM(AC163:AC165)</f>
        <v>1.814781187915014</v>
      </c>
      <c r="AD162" s="261">
        <f t="shared" ref="AD162" si="221">SUM(AD163:AD165)</f>
        <v>1.9302067906724691</v>
      </c>
      <c r="AE162" s="265">
        <f t="shared" ref="AE162" si="222">SUM(AE163:AE165)</f>
        <v>2.0472132285477853</v>
      </c>
    </row>
    <row r="163" spans="2:31" outlineLevel="1" x14ac:dyDescent="0.2">
      <c r="B163" s="972"/>
      <c r="C163" s="106" t="s">
        <v>10</v>
      </c>
      <c r="D163" s="109">
        <f>N120</f>
        <v>0.86655112651646449</v>
      </c>
      <c r="E163" s="115"/>
      <c r="F163" s="115"/>
      <c r="G163" s="115"/>
      <c r="H163" s="115"/>
      <c r="I163" s="115"/>
      <c r="J163" s="115"/>
      <c r="K163" s="116"/>
      <c r="L163" s="116"/>
      <c r="M163" s="116"/>
      <c r="N163" s="116"/>
      <c r="O163" s="116">
        <f>O$170*(O$41/O$49)*$D163</f>
        <v>0</v>
      </c>
      <c r="P163" s="116">
        <f>P$170*(P$41/P$49)*$D163</f>
        <v>0.13663368023241537</v>
      </c>
      <c r="Q163" s="116">
        <f t="shared" ref="Q163:AE165" si="223">Q$170*(Q$41/Q$49)*$D163</f>
        <v>0.41117016635241993</v>
      </c>
      <c r="R163" s="116">
        <f t="shared" si="223"/>
        <v>0.5559501340368368</v>
      </c>
      <c r="S163" s="116">
        <f t="shared" si="223"/>
        <v>0.64244594547448286</v>
      </c>
      <c r="T163" s="116">
        <f t="shared" si="223"/>
        <v>0.73006471916511062</v>
      </c>
      <c r="U163" s="116">
        <f t="shared" si="223"/>
        <v>0.81882625820877775</v>
      </c>
      <c r="V163" s="116">
        <f t="shared" si="223"/>
        <v>0.90875084863319788</v>
      </c>
      <c r="W163" s="116">
        <f t="shared" si="223"/>
        <v>0.99985927369013727</v>
      </c>
      <c r="X163" s="116">
        <f t="shared" si="223"/>
        <v>1.0921728286093619</v>
      </c>
      <c r="Y163" s="116">
        <f t="shared" si="223"/>
        <v>1.1857133358251688</v>
      </c>
      <c r="Z163" s="116">
        <f t="shared" si="223"/>
        <v>1.2805031606910435</v>
      </c>
      <c r="AA163" s="116">
        <f t="shared" si="223"/>
        <v>1.3765652276984526</v>
      </c>
      <c r="AB163" s="116">
        <f t="shared" si="223"/>
        <v>1.473923037216365</v>
      </c>
      <c r="AC163" s="116">
        <f t="shared" si="223"/>
        <v>1.572600682768643</v>
      </c>
      <c r="AD163" s="116">
        <f t="shared" si="223"/>
        <v>1.6726228688669578</v>
      </c>
      <c r="AE163" s="144">
        <f t="shared" si="223"/>
        <v>1.7740149294174916</v>
      </c>
    </row>
    <row r="164" spans="2:31" outlineLevel="1" x14ac:dyDescent="0.2">
      <c r="B164" s="972"/>
      <c r="C164" s="106" t="s">
        <v>44</v>
      </c>
      <c r="D164" s="109">
        <f>O120</f>
        <v>9.087232813402657E-2</v>
      </c>
      <c r="E164" s="115"/>
      <c r="F164" s="115"/>
      <c r="G164" s="115"/>
      <c r="H164" s="115"/>
      <c r="I164" s="115"/>
      <c r="J164" s="115"/>
      <c r="K164" s="116"/>
      <c r="L164" s="116"/>
      <c r="M164" s="116"/>
      <c r="N164" s="116"/>
      <c r="O164" s="116">
        <f t="shared" ref="O164:AD165" si="224">O$170*(O$41/O$49)*$D164</f>
        <v>0</v>
      </c>
      <c r="P164" s="116">
        <f t="shared" si="224"/>
        <v>1.4328318600372624E-2</v>
      </c>
      <c r="Q164" s="116">
        <f t="shared" si="224"/>
        <v>4.3118044778157102E-2</v>
      </c>
      <c r="R164" s="116">
        <f t="shared" si="224"/>
        <v>5.8300637389329613E-2</v>
      </c>
      <c r="S164" s="116">
        <f t="shared" si="224"/>
        <v>6.7371164815424101E-2</v>
      </c>
      <c r="T164" s="116">
        <f t="shared" si="224"/>
        <v>7.6559453549781262E-2</v>
      </c>
      <c r="U164" s="116">
        <f t="shared" si="224"/>
        <v>8.5867580277493818E-2</v>
      </c>
      <c r="V164" s="116">
        <f t="shared" si="224"/>
        <v>9.5297672326668012E-2</v>
      </c>
      <c r="W164" s="116">
        <f t="shared" si="224"/>
        <v>0.10485190916763906</v>
      </c>
      <c r="X164" s="116">
        <f t="shared" si="224"/>
        <v>0.11453252396016843</v>
      </c>
      <c r="Y164" s="116">
        <f t="shared" si="224"/>
        <v>0.12434180515019935</v>
      </c>
      <c r="Z164" s="116">
        <f t="shared" si="224"/>
        <v>0.13428209811780076</v>
      </c>
      <c r="AA164" s="116">
        <f t="shared" si="224"/>
        <v>0.14435580687797772</v>
      </c>
      <c r="AB164" s="116">
        <f t="shared" si="224"/>
        <v>0.15456539583608947</v>
      </c>
      <c r="AC164" s="116">
        <f t="shared" si="224"/>
        <v>0.16491339159967169</v>
      </c>
      <c r="AD164" s="116">
        <f t="shared" si="224"/>
        <v>0.17540238484851495</v>
      </c>
      <c r="AE164" s="144">
        <f t="shared" si="223"/>
        <v>0.18603503226491427</v>
      </c>
    </row>
    <row r="165" spans="2:31" outlineLevel="1" x14ac:dyDescent="0.2">
      <c r="B165" s="972"/>
      <c r="C165" s="106" t="s">
        <v>45</v>
      </c>
      <c r="D165" s="109">
        <f>P120</f>
        <v>4.2576545349508957E-2</v>
      </c>
      <c r="E165" s="115"/>
      <c r="F165" s="115"/>
      <c r="G165" s="115"/>
      <c r="H165" s="115"/>
      <c r="I165" s="115"/>
      <c r="J165" s="115"/>
      <c r="K165" s="116"/>
      <c r="L165" s="116"/>
      <c r="M165" s="116"/>
      <c r="N165" s="116"/>
      <c r="O165" s="116">
        <f t="shared" si="224"/>
        <v>0</v>
      </c>
      <c r="P165" s="116">
        <f t="shared" si="224"/>
        <v>6.713268155419342E-3</v>
      </c>
      <c r="Q165" s="116">
        <f t="shared" si="223"/>
        <v>2.0202160840115568E-2</v>
      </c>
      <c r="R165" s="116">
        <f t="shared" si="223"/>
        <v>2.7315683252343247E-2</v>
      </c>
      <c r="S165" s="116">
        <f t="shared" si="223"/>
        <v>3.1565510787646259E-2</v>
      </c>
      <c r="T165" s="116">
        <f t="shared" si="223"/>
        <v>3.5870513201645769E-2</v>
      </c>
      <c r="U165" s="116">
        <f t="shared" si="223"/>
        <v>4.0231663486657944E-2</v>
      </c>
      <c r="V165" s="116">
        <f t="shared" si="223"/>
        <v>4.4649958362844459E-2</v>
      </c>
      <c r="W165" s="116">
        <f t="shared" si="223"/>
        <v>4.912641898064208E-2</v>
      </c>
      <c r="X165" s="116">
        <f t="shared" si="223"/>
        <v>5.3662091645673322E-2</v>
      </c>
      <c r="Y165" s="116">
        <f t="shared" si="223"/>
        <v>5.8258048566876629E-2</v>
      </c>
      <c r="Z165" s="116">
        <f t="shared" si="223"/>
        <v>6.291538862861995E-2</v>
      </c>
      <c r="AA165" s="116">
        <f t="shared" si="223"/>
        <v>6.7635238187583976E-2</v>
      </c>
      <c r="AB165" s="116">
        <f t="shared" si="223"/>
        <v>7.241875189523074E-2</v>
      </c>
      <c r="AC165" s="116">
        <f t="shared" si="223"/>
        <v>7.7267113546699323E-2</v>
      </c>
      <c r="AD165" s="116">
        <f t="shared" si="223"/>
        <v>8.2181536956996523E-2</v>
      </c>
      <c r="AE165" s="144">
        <f t="shared" si="223"/>
        <v>8.7163266865379424E-2</v>
      </c>
    </row>
    <row r="166" spans="2:31" x14ac:dyDescent="0.2">
      <c r="B166" s="972"/>
      <c r="C166" s="107" t="s">
        <v>324</v>
      </c>
      <c r="D166" s="109"/>
      <c r="E166" s="106"/>
      <c r="F166" s="106"/>
      <c r="G166" s="106"/>
      <c r="H166" s="106"/>
      <c r="I166" s="106"/>
      <c r="J166" s="106"/>
      <c r="K166" s="108"/>
      <c r="L166" s="108"/>
      <c r="M166" s="108"/>
      <c r="N166" s="108"/>
      <c r="O166" s="108">
        <f t="shared" ref="O166:P166" si="225">SUM(O167:O169)</f>
        <v>0</v>
      </c>
      <c r="P166" s="108">
        <f t="shared" si="225"/>
        <v>3.7310797688393222</v>
      </c>
      <c r="Q166" s="108">
        <f t="shared" ref="Q166" si="226">SUM(Q167:Q169)</f>
        <v>7.6045772776230995</v>
      </c>
      <c r="R166" s="108">
        <f t="shared" ref="R166" si="227">SUM(R167:R169)</f>
        <v>9.6082254084301599</v>
      </c>
      <c r="S166" s="108">
        <f t="shared" ref="S166" si="228">SUM(S167:S169)</f>
        <v>11.103091948246307</v>
      </c>
      <c r="T166" s="108">
        <f t="shared" ref="T166" si="229">SUM(T167:T169)</f>
        <v>12.617366117976083</v>
      </c>
      <c r="U166" s="108">
        <f t="shared" ref="U166" si="230">SUM(U167:U169)</f>
        <v>14.151390165309476</v>
      </c>
      <c r="V166" s="108">
        <f t="shared" ref="V166" si="231">SUM(V167:V169)</f>
        <v>15.705514684148675</v>
      </c>
      <c r="W166" s="108">
        <f t="shared" ref="W166" si="232">SUM(W167:W169)</f>
        <v>17.280098861685971</v>
      </c>
      <c r="X166" s="108">
        <f t="shared" ref="X166" si="233">SUM(X167:X169)</f>
        <v>18.875510733389238</v>
      </c>
      <c r="Y166" s="108">
        <f t="shared" ref="Y166" si="234">SUM(Y167:Y169)</f>
        <v>20.492127446155102</v>
      </c>
      <c r="Z166" s="108">
        <f t="shared" ref="Z166" si="235">SUM(Z167:Z169)</f>
        <v>22.130335529897735</v>
      </c>
      <c r="AA166" s="108">
        <f t="shared" ref="AA166" si="236">SUM(AA167:AA169)</f>
        <v>23.790531177850809</v>
      </c>
      <c r="AB166" s="108">
        <f t="shared" ref="AB166" si="237">SUM(AB167:AB169)</f>
        <v>25.47312053586888</v>
      </c>
      <c r="AC166" s="108">
        <f t="shared" ref="AC166" si="238">SUM(AC167:AC169)</f>
        <v>27.1785200010243</v>
      </c>
      <c r="AD166" s="108">
        <f t="shared" ref="AD166" si="239">SUM(AD167:AD169)</f>
        <v>28.907156529804887</v>
      </c>
      <c r="AE166" s="143">
        <f t="shared" ref="AE166" si="240">SUM(AE167:AE169)</f>
        <v>30.659467956228944</v>
      </c>
    </row>
    <row r="167" spans="2:31" outlineLevel="1" x14ac:dyDescent="0.2">
      <c r="B167" s="972"/>
      <c r="C167" s="106" t="s">
        <v>10</v>
      </c>
      <c r="D167" s="109">
        <f>D163</f>
        <v>0.86655112651646449</v>
      </c>
      <c r="E167" s="110"/>
      <c r="F167" s="110"/>
      <c r="G167" s="110"/>
      <c r="H167" s="110"/>
      <c r="I167" s="110"/>
      <c r="J167" s="110"/>
      <c r="K167" s="108"/>
      <c r="L167" s="108"/>
      <c r="M167" s="108"/>
      <c r="N167" s="108"/>
      <c r="O167" s="116">
        <f>O$170*(O$45/O$49)*$D167</f>
        <v>0</v>
      </c>
      <c r="P167" s="116">
        <f>P$170*(P$45/P$49)*$D167</f>
        <v>3.2331713768105046</v>
      </c>
      <c r="Q167" s="116">
        <f t="shared" ref="Q167:AE169" si="241">Q$170*(Q$45/Q$49)*$D167</f>
        <v>6.589755006605805</v>
      </c>
      <c r="R167" s="116">
        <f t="shared" si="241"/>
        <v>8.3260185514992724</v>
      </c>
      <c r="S167" s="116">
        <f t="shared" si="241"/>
        <v>9.6213968355687243</v>
      </c>
      <c r="T167" s="116">
        <f t="shared" si="241"/>
        <v>10.933592823202844</v>
      </c>
      <c r="U167" s="116">
        <f t="shared" si="241"/>
        <v>12.262903089522943</v>
      </c>
      <c r="V167" s="116">
        <f t="shared" si="241"/>
        <v>13.609631442069908</v>
      </c>
      <c r="W167" s="116">
        <f t="shared" si="241"/>
        <v>14.974089134909853</v>
      </c>
      <c r="X167" s="116">
        <f t="shared" si="241"/>
        <v>16.356595089592062</v>
      </c>
      <c r="Y167" s="116">
        <f t="shared" si="241"/>
        <v>17.757476123184663</v>
      </c>
      <c r="Z167" s="116">
        <f t="shared" si="241"/>
        <v>19.17706718362022</v>
      </c>
      <c r="AA167" s="116">
        <f t="shared" si="241"/>
        <v>20.615711592591691</v>
      </c>
      <c r="AB167" s="116">
        <f t="shared" si="241"/>
        <v>22.073761296246865</v>
      </c>
      <c r="AC167" s="116">
        <f t="shared" si="241"/>
        <v>23.551577123937868</v>
      </c>
      <c r="AD167" s="116">
        <f t="shared" si="241"/>
        <v>25.049529055290197</v>
      </c>
      <c r="AE167" s="144">
        <f t="shared" si="241"/>
        <v>26.567996495865636</v>
      </c>
    </row>
    <row r="168" spans="2:31" outlineLevel="1" x14ac:dyDescent="0.2">
      <c r="B168" s="972"/>
      <c r="C168" s="106" t="s">
        <v>44</v>
      </c>
      <c r="D168" s="109">
        <f t="shared" ref="D168:D169" si="242">D164</f>
        <v>9.087232813402657E-2</v>
      </c>
      <c r="E168" s="110"/>
      <c r="F168" s="110"/>
      <c r="G168" s="110"/>
      <c r="H168" s="110"/>
      <c r="I168" s="110"/>
      <c r="J168" s="110"/>
      <c r="K168" s="108"/>
      <c r="L168" s="108"/>
      <c r="M168" s="108"/>
      <c r="N168" s="108"/>
      <c r="O168" s="116">
        <f t="shared" ref="O168:AD169" si="243">O$170*(O$45/O$49)*$D168</f>
        <v>0</v>
      </c>
      <c r="P168" s="116">
        <f t="shared" si="243"/>
        <v>0.33905190504819488</v>
      </c>
      <c r="Q168" s="116">
        <f t="shared" si="243"/>
        <v>0.69104564169272864</v>
      </c>
      <c r="R168" s="116">
        <f t="shared" si="243"/>
        <v>0.87312181210055695</v>
      </c>
      <c r="S168" s="116">
        <f t="shared" si="243"/>
        <v>1.0089638148233069</v>
      </c>
      <c r="T168" s="116">
        <f t="shared" si="243"/>
        <v>1.1465694340598713</v>
      </c>
      <c r="U168" s="116">
        <f t="shared" si="243"/>
        <v>1.2859697706546391</v>
      </c>
      <c r="V168" s="116">
        <f t="shared" si="243"/>
        <v>1.4271966838917309</v>
      </c>
      <c r="W168" s="116">
        <f t="shared" si="243"/>
        <v>1.5702828139475467</v>
      </c>
      <c r="X168" s="116">
        <f t="shared" si="243"/>
        <v>1.7152616050618874</v>
      </c>
      <c r="Y168" s="116">
        <f t="shared" si="243"/>
        <v>1.8621673294512984</v>
      </c>
      <c r="Z168" s="116">
        <f t="shared" si="243"/>
        <v>2.0110351119889738</v>
      </c>
      <c r="AA168" s="116">
        <f t="shared" si="243"/>
        <v>2.1619009556764484</v>
      </c>
      <c r="AB168" s="116">
        <f t="shared" si="243"/>
        <v>2.3148017679330879</v>
      </c>
      <c r="AC168" s="116">
        <f t="shared" si="243"/>
        <v>2.4697753877302842</v>
      </c>
      <c r="AD168" s="116">
        <f t="shared" si="243"/>
        <v>2.6268606135980983</v>
      </c>
      <c r="AE168" s="144">
        <f t="shared" si="241"/>
        <v>2.7860972325331095</v>
      </c>
    </row>
    <row r="169" spans="2:31" outlineLevel="1" x14ac:dyDescent="0.2">
      <c r="B169" s="972"/>
      <c r="C169" s="106" t="s">
        <v>45</v>
      </c>
      <c r="D169" s="109">
        <f t="shared" si="242"/>
        <v>4.2576545349508957E-2</v>
      </c>
      <c r="E169" s="110"/>
      <c r="F169" s="110"/>
      <c r="G169" s="110"/>
      <c r="H169" s="110"/>
      <c r="I169" s="110"/>
      <c r="J169" s="110"/>
      <c r="K169" s="108"/>
      <c r="L169" s="108"/>
      <c r="M169" s="108"/>
      <c r="N169" s="108"/>
      <c r="O169" s="116">
        <f t="shared" si="243"/>
        <v>0</v>
      </c>
      <c r="P169" s="116">
        <f t="shared" si="243"/>
        <v>0.1588564869806228</v>
      </c>
      <c r="Q169" s="116">
        <f t="shared" si="241"/>
        <v>0.32377662932456525</v>
      </c>
      <c r="R169" s="116">
        <f t="shared" si="241"/>
        <v>0.40908504483033092</v>
      </c>
      <c r="S169" s="116">
        <f t="shared" si="241"/>
        <v>0.47273129785427664</v>
      </c>
      <c r="T169" s="116">
        <f t="shared" si="241"/>
        <v>0.53720386071336634</v>
      </c>
      <c r="U169" s="116">
        <f t="shared" si="241"/>
        <v>0.60251730513189394</v>
      </c>
      <c r="V169" s="116">
        <f t="shared" si="241"/>
        <v>0.66868655818703493</v>
      </c>
      <c r="W169" s="116">
        <f t="shared" si="241"/>
        <v>0.73572691282857083</v>
      </c>
      <c r="X169" s="116">
        <f t="shared" si="241"/>
        <v>0.80365403873528996</v>
      </c>
      <c r="Y169" s="116">
        <f t="shared" si="241"/>
        <v>0.87248399351913986</v>
      </c>
      <c r="Z169" s="116">
        <f t="shared" si="241"/>
        <v>0.94223323428854022</v>
      </c>
      <c r="AA169" s="116">
        <f t="shared" si="241"/>
        <v>1.0129186295826718</v>
      </c>
      <c r="AB169" s="116">
        <f t="shared" si="241"/>
        <v>1.0845574716889295</v>
      </c>
      <c r="AC169" s="116">
        <f t="shared" si="241"/>
        <v>1.1571674893561472</v>
      </c>
      <c r="AD169" s="116">
        <f t="shared" si="241"/>
        <v>1.2307668609165918</v>
      </c>
      <c r="AE169" s="144">
        <f t="shared" si="241"/>
        <v>1.3053742278301983</v>
      </c>
    </row>
    <row r="170" spans="2:31" s="111" customFormat="1" x14ac:dyDescent="0.2">
      <c r="B170" s="972"/>
      <c r="C170" s="117" t="s">
        <v>323</v>
      </c>
      <c r="D170" s="109">
        <f t="shared" si="137"/>
        <v>0</v>
      </c>
      <c r="K170" s="118"/>
      <c r="L170" s="118"/>
      <c r="M170" s="118"/>
      <c r="N170" s="118"/>
      <c r="O170" s="118">
        <f>Mwanza!H118</f>
        <v>0</v>
      </c>
      <c r="P170" s="118">
        <f>Mwanza!I118</f>
        <v>3.8887550358275291</v>
      </c>
      <c r="Q170" s="118">
        <f>Mwanza!J118</f>
        <v>8.0790676495937905</v>
      </c>
      <c r="R170" s="118">
        <f>Mwanza!K118</f>
        <v>10.249791863108669</v>
      </c>
      <c r="S170" s="118">
        <f>Mwanza!L118</f>
        <v>11.844474569323861</v>
      </c>
      <c r="T170" s="118">
        <f>Mwanza!M118</f>
        <v>13.459860803892617</v>
      </c>
      <c r="U170" s="118">
        <f>Mwanza!N118</f>
        <v>15.096315667282404</v>
      </c>
      <c r="V170" s="118">
        <f>Mwanza!O118</f>
        <v>16.754213163471384</v>
      </c>
      <c r="W170" s="118">
        <f>Mwanza!P118</f>
        <v>18.43393646352439</v>
      </c>
      <c r="X170" s="118">
        <f>Mwanza!Q118</f>
        <v>20.13587817760444</v>
      </c>
      <c r="Y170" s="118">
        <f>Mwanza!R118</f>
        <v>21.860440635697348</v>
      </c>
      <c r="Z170" s="118">
        <f>Mwanza!S118</f>
        <v>23.608036177335201</v>
      </c>
      <c r="AA170" s="118">
        <f>Mwanza!T118</f>
        <v>25.379087450614819</v>
      </c>
      <c r="AB170" s="118">
        <f>Mwanza!U118</f>
        <v>27.174027720816568</v>
      </c>
      <c r="AC170" s="118">
        <f>Mwanza!V118</f>
        <v>28.993301188939309</v>
      </c>
      <c r="AD170" s="118">
        <f>Mwanza!W118</f>
        <v>30.837363320477358</v>
      </c>
      <c r="AE170" s="145">
        <f>Mwanza!X118</f>
        <v>32.706681184776734</v>
      </c>
    </row>
    <row r="171" spans="2:31" x14ac:dyDescent="0.2">
      <c r="B171" s="972" t="s">
        <v>39</v>
      </c>
      <c r="C171" s="107" t="s">
        <v>325</v>
      </c>
      <c r="D171" s="109"/>
      <c r="K171" s="109"/>
      <c r="L171" s="109"/>
      <c r="M171" s="109"/>
      <c r="N171" s="109"/>
      <c r="O171" s="261">
        <f>SUM(O172:O174)</f>
        <v>0</v>
      </c>
      <c r="P171" s="261">
        <f t="shared" ref="P171" si="244">SUM(P172:P174)</f>
        <v>5.402966877225187E-2</v>
      </c>
      <c r="Q171" s="261">
        <f t="shared" ref="Q171" si="245">SUM(Q172:Q174)</f>
        <v>0.1302812252550456</v>
      </c>
      <c r="R171" s="261">
        <f t="shared" ref="R171" si="246">SUM(R172:R174)</f>
        <v>0.1829959710715568</v>
      </c>
      <c r="S171" s="261">
        <f t="shared" ref="S171" si="247">SUM(S172:S174)</f>
        <v>0.22587179769848573</v>
      </c>
      <c r="T171" s="261">
        <f t="shared" ref="T171" si="248">SUM(T172:T174)</f>
        <v>0.26922506203731361</v>
      </c>
      <c r="U171" s="261">
        <f t="shared" ref="U171" si="249">SUM(U172:U174)</f>
        <v>0.31306215608313664</v>
      </c>
      <c r="V171" s="261">
        <f t="shared" ref="V171" si="250">SUM(V172:V174)</f>
        <v>0.35738958950444821</v>
      </c>
      <c r="W171" s="261">
        <f t="shared" ref="W171" si="251">SUM(W172:W174)</f>
        <v>0.40221399260609847</v>
      </c>
      <c r="X171" s="261">
        <f t="shared" ref="X171" si="252">SUM(X172:X174)</f>
        <v>0.44754211938124561</v>
      </c>
      <c r="Y171" s="261">
        <f t="shared" ref="Y171" si="253">SUM(Y172:Y174)</f>
        <v>0.49338085065514115</v>
      </c>
      <c r="Z171" s="261">
        <f t="shared" ref="Z171" si="254">SUM(Z172:Z174)</f>
        <v>0.53973719732373771</v>
      </c>
      <c r="AA171" s="261">
        <f t="shared" ref="AA171" si="255">SUM(AA172:AA174)</f>
        <v>0.58661830369014989</v>
      </c>
      <c r="AB171" s="261">
        <f t="shared" ref="AB171" si="256">SUM(AB172:AB174)</f>
        <v>0.63403145090211432</v>
      </c>
      <c r="AC171" s="261">
        <f t="shared" ref="AC171" si="257">SUM(AC172:AC174)</f>
        <v>0.68198406049373506</v>
      </c>
      <c r="AD171" s="261">
        <f t="shared" ref="AD171" si="258">SUM(AD172:AD174)</f>
        <v>0.73048369803487445</v>
      </c>
      <c r="AE171" s="265">
        <f t="shared" ref="AE171" si="259">SUM(AE172:AE174)</f>
        <v>0.77953807689161381</v>
      </c>
    </row>
    <row r="172" spans="2:31" outlineLevel="1" x14ac:dyDescent="0.2">
      <c r="B172" s="972"/>
      <c r="C172" s="106" t="s">
        <v>10</v>
      </c>
      <c r="D172" s="109">
        <f>N121</f>
        <v>0.7939868727503705</v>
      </c>
      <c r="E172" s="115"/>
      <c r="F172" s="115"/>
      <c r="G172" s="115"/>
      <c r="H172" s="115"/>
      <c r="I172" s="115"/>
      <c r="J172" s="115"/>
      <c r="K172" s="116"/>
      <c r="L172" s="116"/>
      <c r="M172" s="116"/>
      <c r="N172" s="116"/>
      <c r="O172" s="116">
        <f>O$179*(O$50/O$58)*$D172</f>
        <v>0</v>
      </c>
      <c r="P172" s="116">
        <f>P$179*(P$50/P$58)*$D172</f>
        <v>4.2898847744218614E-2</v>
      </c>
      <c r="Q172" s="116">
        <f t="shared" ref="Q172:AE174" si="260">Q$179*(Q$50/Q$58)*$D172</f>
        <v>0.10344158261834024</v>
      </c>
      <c r="R172" s="116">
        <f t="shared" si="260"/>
        <v>0.14529639879702266</v>
      </c>
      <c r="S172" s="116">
        <f t="shared" si="260"/>
        <v>0.17933924229712503</v>
      </c>
      <c r="T172" s="116">
        <f t="shared" si="260"/>
        <v>0.21376116507303111</v>
      </c>
      <c r="U172" s="116">
        <f t="shared" si="260"/>
        <v>0.24856724228493804</v>
      </c>
      <c r="V172" s="116">
        <f t="shared" si="260"/>
        <v>0.28376264252417549</v>
      </c>
      <c r="W172" s="116">
        <f t="shared" si="260"/>
        <v>0.31935263016575677</v>
      </c>
      <c r="X172" s="116">
        <f t="shared" si="260"/>
        <v>0.35534256779158818</v>
      </c>
      <c r="Y172" s="116">
        <f t="shared" si="260"/>
        <v>0.39173791868659313</v>
      </c>
      <c r="Z172" s="116">
        <f t="shared" si="260"/>
        <v>0.42854424941012415</v>
      </c>
      <c r="AA172" s="116">
        <f t="shared" si="260"/>
        <v>0.46576723244506923</v>
      </c>
      <c r="AB172" s="116">
        <f t="shared" si="260"/>
        <v>0.50341264892714987</v>
      </c>
      <c r="AC172" s="116">
        <f t="shared" si="260"/>
        <v>0.54148639145702016</v>
      </c>
      <c r="AD172" s="116">
        <f t="shared" si="260"/>
        <v>0.57999446699783597</v>
      </c>
      <c r="AE172" s="144">
        <f t="shared" si="260"/>
        <v>0.61894299986101031</v>
      </c>
    </row>
    <row r="173" spans="2:31" outlineLevel="1" x14ac:dyDescent="0.2">
      <c r="B173" s="972"/>
      <c r="C173" s="106" t="s">
        <v>44</v>
      </c>
      <c r="D173" s="109">
        <f>O121</f>
        <v>0.14334109676053355</v>
      </c>
      <c r="E173" s="115"/>
      <c r="F173" s="115"/>
      <c r="G173" s="115"/>
      <c r="H173" s="115"/>
      <c r="I173" s="115"/>
      <c r="J173" s="115"/>
      <c r="K173" s="116"/>
      <c r="L173" s="116"/>
      <c r="M173" s="116"/>
      <c r="N173" s="116"/>
      <c r="O173" s="116">
        <f t="shared" ref="O173:AD174" si="261">O$179*(O$50/O$58)*$D173</f>
        <v>0</v>
      </c>
      <c r="P173" s="116">
        <f t="shared" si="261"/>
        <v>7.7446719794229341E-3</v>
      </c>
      <c r="Q173" s="116">
        <f t="shared" si="261"/>
        <v>1.8674653715364357E-2</v>
      </c>
      <c r="R173" s="116">
        <f t="shared" si="261"/>
        <v>2.6230843196155824E-2</v>
      </c>
      <c r="S173" s="116">
        <f t="shared" si="261"/>
        <v>3.2376711209374305E-2</v>
      </c>
      <c r="T173" s="116">
        <f t="shared" si="261"/>
        <v>3.8591015667851218E-2</v>
      </c>
      <c r="U173" s="116">
        <f t="shared" si="261"/>
        <v>4.4874672807174151E-2</v>
      </c>
      <c r="V173" s="116">
        <f t="shared" si="261"/>
        <v>5.1228615730364489E-2</v>
      </c>
      <c r="W173" s="116">
        <f t="shared" si="261"/>
        <v>5.7653794832591289E-2</v>
      </c>
      <c r="X173" s="116">
        <f t="shared" si="261"/>
        <v>6.4151178238641388E-2</v>
      </c>
      <c r="Y173" s="116">
        <f t="shared" si="261"/>
        <v>7.0721752253552955E-2</v>
      </c>
      <c r="Z173" s="116">
        <f t="shared" si="261"/>
        <v>7.7366521826841075E-2</v>
      </c>
      <c r="AA173" s="116">
        <f t="shared" si="261"/>
        <v>8.4086511030749836E-2</v>
      </c>
      <c r="AB173" s="116">
        <f t="shared" si="261"/>
        <v>9.0882763552981444E-2</v>
      </c>
      <c r="AC173" s="116">
        <f t="shared" si="261"/>
        <v>9.7756343204374041E-2</v>
      </c>
      <c r="AD173" s="116">
        <f t="shared" si="261"/>
        <v>0.10470833444200933</v>
      </c>
      <c r="AE173" s="144">
        <f t="shared" si="260"/>
        <v>0.11173984290824106</v>
      </c>
    </row>
    <row r="174" spans="2:31" outlineLevel="1" x14ac:dyDescent="0.2">
      <c r="B174" s="972"/>
      <c r="C174" s="106" t="s">
        <v>45</v>
      </c>
      <c r="D174" s="109">
        <f>P121</f>
        <v>6.267203048909592E-2</v>
      </c>
      <c r="E174" s="115"/>
      <c r="F174" s="115"/>
      <c r="G174" s="115"/>
      <c r="H174" s="115"/>
      <c r="I174" s="115"/>
      <c r="J174" s="115"/>
      <c r="K174" s="116"/>
      <c r="L174" s="116"/>
      <c r="M174" s="116"/>
      <c r="N174" s="116"/>
      <c r="O174" s="116">
        <f t="shared" si="261"/>
        <v>0</v>
      </c>
      <c r="P174" s="116">
        <f t="shared" si="261"/>
        <v>3.3861490486103234E-3</v>
      </c>
      <c r="Q174" s="116">
        <f t="shared" si="260"/>
        <v>8.1649889213409911E-3</v>
      </c>
      <c r="R174" s="116">
        <f t="shared" si="260"/>
        <v>1.1468729078378325E-2</v>
      </c>
      <c r="S174" s="116">
        <f t="shared" si="260"/>
        <v>1.4155844191986405E-2</v>
      </c>
      <c r="T174" s="116">
        <f t="shared" si="260"/>
        <v>1.6872881296431261E-2</v>
      </c>
      <c r="U174" s="116">
        <f t="shared" si="260"/>
        <v>1.9620240991024447E-2</v>
      </c>
      <c r="V174" s="116">
        <f t="shared" si="260"/>
        <v>2.2398331249908258E-2</v>
      </c>
      <c r="W174" s="116">
        <f t="shared" si="260"/>
        <v>2.5207567607750406E-2</v>
      </c>
      <c r="X174" s="116">
        <f t="shared" si="260"/>
        <v>2.804837335101603E-2</v>
      </c>
      <c r="Y174" s="116">
        <f t="shared" si="260"/>
        <v>3.0921179714995091E-2</v>
      </c>
      <c r="Z174" s="116">
        <f t="shared" si="260"/>
        <v>3.3826426086772471E-2</v>
      </c>
      <c r="AA174" s="116">
        <f t="shared" si="260"/>
        <v>3.6764560214330805E-2</v>
      </c>
      <c r="AB174" s="116">
        <f t="shared" si="260"/>
        <v>3.9736038421983033E-2</v>
      </c>
      <c r="AC174" s="116">
        <f t="shared" si="260"/>
        <v>4.2741325832340797E-2</v>
      </c>
      <c r="AD174" s="116">
        <f t="shared" si="260"/>
        <v>4.5780896595029194E-2</v>
      </c>
      <c r="AE174" s="144">
        <f t="shared" si="260"/>
        <v>4.8855234122362423E-2</v>
      </c>
    </row>
    <row r="175" spans="2:31" x14ac:dyDescent="0.2">
      <c r="B175" s="972"/>
      <c r="C175" s="107" t="s">
        <v>324</v>
      </c>
      <c r="D175" s="109"/>
      <c r="E175" s="106"/>
      <c r="F175" s="106"/>
      <c r="G175" s="106"/>
      <c r="H175" s="106"/>
      <c r="I175" s="106"/>
      <c r="J175" s="106"/>
      <c r="K175" s="108"/>
      <c r="L175" s="108"/>
      <c r="M175" s="108"/>
      <c r="N175" s="108"/>
      <c r="O175" s="108">
        <f t="shared" ref="O175:P175" si="262">SUM(O176:O178)</f>
        <v>0</v>
      </c>
      <c r="P175" s="108">
        <f t="shared" si="262"/>
        <v>1.9414137368041615</v>
      </c>
      <c r="Q175" s="108">
        <f t="shared" ref="Q175" si="263">SUM(Q176:Q178)</f>
        <v>3.9623633416752861</v>
      </c>
      <c r="R175" s="108">
        <f t="shared" ref="R175" si="264">SUM(R176:R178)</f>
        <v>5.3858115017500241</v>
      </c>
      <c r="S175" s="108">
        <f t="shared" ref="S175" si="265">SUM(S176:S178)</f>
        <v>6.6477033283414535</v>
      </c>
      <c r="T175" s="108">
        <f t="shared" ref="T175" si="266">SUM(T176:T178)</f>
        <v>7.9236467731463938</v>
      </c>
      <c r="U175" s="108">
        <f t="shared" ref="U175" si="267">SUM(U176:U178)</f>
        <v>9.2138299609662422</v>
      </c>
      <c r="V175" s="108">
        <f t="shared" ref="V175" si="268">SUM(V176:V178)</f>
        <v>10.518444479884835</v>
      </c>
      <c r="W175" s="108">
        <f t="shared" ref="W175" si="269">SUM(W176:W178)</f>
        <v>11.837685468472232</v>
      </c>
      <c r="X175" s="108">
        <f t="shared" ref="X175" si="270">SUM(X176:X178)</f>
        <v>13.171751705607603</v>
      </c>
      <c r="Y175" s="108">
        <f t="shared" ref="Y175" si="271">SUM(Y176:Y178)</f>
        <v>14.520845703005168</v>
      </c>
      <c r="Z175" s="108">
        <f t="shared" ref="Z175" si="272">SUM(Z176:Z178)</f>
        <v>15.885173800530435</v>
      </c>
      <c r="AA175" s="108">
        <f t="shared" ref="AA175" si="273">SUM(AA176:AA178)</f>
        <v>17.264946264396617</v>
      </c>
      <c r="AB175" s="108">
        <f t="shared" ref="AB175" si="274">SUM(AB176:AB178)</f>
        <v>18.660377388333806</v>
      </c>
      <c r="AC175" s="108">
        <f t="shared" ref="AC175" si="275">SUM(AC176:AC178)</f>
        <v>20.071685597827152</v>
      </c>
      <c r="AD175" s="108">
        <f t="shared" ref="AD175" si="276">SUM(AD176:AD178)</f>
        <v>21.499093557522748</v>
      </c>
      <c r="AE175" s="143">
        <f t="shared" ref="AE175" si="277">SUM(AE176:AE178)</f>
        <v>22.942828281903829</v>
      </c>
    </row>
    <row r="176" spans="2:31" outlineLevel="1" x14ac:dyDescent="0.2">
      <c r="B176" s="972"/>
      <c r="C176" s="106" t="s">
        <v>10</v>
      </c>
      <c r="D176" s="109">
        <f>D172</f>
        <v>0.7939868727503705</v>
      </c>
      <c r="E176" s="110"/>
      <c r="F176" s="110"/>
      <c r="G176" s="110"/>
      <c r="H176" s="110"/>
      <c r="I176" s="110"/>
      <c r="J176" s="110"/>
      <c r="K176" s="108"/>
      <c r="L176" s="108"/>
      <c r="M176" s="108"/>
      <c r="N176" s="108"/>
      <c r="O176" s="116">
        <f>O$179*(O$54/O$58)*$D176</f>
        <v>0</v>
      </c>
      <c r="P176" s="116">
        <f>P$179*(P$54/P$58)*$D176</f>
        <v>1.5414570215997472</v>
      </c>
      <c r="Q176" s="116">
        <f t="shared" ref="Q176:AE178" si="278">Q$179*(Q$54/Q$58)*$D176</f>
        <v>3.1460644783574683</v>
      </c>
      <c r="R176" s="116">
        <f t="shared" si="278"/>
        <v>4.2762636314974785</v>
      </c>
      <c r="S176" s="116">
        <f t="shared" si="278"/>
        <v>5.2781891766420603</v>
      </c>
      <c r="T176" s="116">
        <f t="shared" si="278"/>
        <v>6.2912715221890698</v>
      </c>
      <c r="U176" s="116">
        <f t="shared" si="278"/>
        <v>7.3156600367612548</v>
      </c>
      <c r="V176" s="116">
        <f t="shared" si="278"/>
        <v>8.3515068387821572</v>
      </c>
      <c r="W176" s="116">
        <f t="shared" si="278"/>
        <v>9.3989668657147725</v>
      </c>
      <c r="X176" s="116">
        <f t="shared" si="278"/>
        <v>10.458197945379739</v>
      </c>
      <c r="Y176" s="116">
        <f t="shared" si="278"/>
        <v>11.529360869419728</v>
      </c>
      <c r="Z176" s="116">
        <f t="shared" si="278"/>
        <v>12.612619468979279</v>
      </c>
      <c r="AA176" s="116">
        <f t="shared" si="278"/>
        <v>13.708140692671462</v>
      </c>
      <c r="AB176" s="116">
        <f t="shared" si="278"/>
        <v>14.816094686904885</v>
      </c>
      <c r="AC176" s="116">
        <f t="shared" si="278"/>
        <v>15.936654878647431</v>
      </c>
      <c r="AD176" s="116">
        <f t="shared" si="278"/>
        <v>17.069998060705124</v>
      </c>
      <c r="AE176" s="144">
        <f t="shared" si="278"/>
        <v>18.216304479597579</v>
      </c>
    </row>
    <row r="177" spans="2:31" outlineLevel="1" x14ac:dyDescent="0.2">
      <c r="B177" s="972"/>
      <c r="C177" s="106" t="s">
        <v>44</v>
      </c>
      <c r="D177" s="109">
        <f t="shared" ref="D177:D178" si="279">D173</f>
        <v>0.14334109676053355</v>
      </c>
      <c r="E177" s="110"/>
      <c r="F177" s="110"/>
      <c r="G177" s="110"/>
      <c r="H177" s="110"/>
      <c r="I177" s="110"/>
      <c r="J177" s="110"/>
      <c r="K177" s="108"/>
      <c r="L177" s="108"/>
      <c r="M177" s="108"/>
      <c r="N177" s="108"/>
      <c r="O177" s="116">
        <f t="shared" ref="O177:AD178" si="280">O$179*(O$54/O$58)*$D177</f>
        <v>0</v>
      </c>
      <c r="P177" s="116">
        <f t="shared" si="280"/>
        <v>0.27828437429947434</v>
      </c>
      <c r="Q177" s="116">
        <f t="shared" si="280"/>
        <v>0.56796950715946826</v>
      </c>
      <c r="R177" s="116">
        <f t="shared" si="280"/>
        <v>0.77200812760634474</v>
      </c>
      <c r="S177" s="116">
        <f t="shared" si="280"/>
        <v>0.9528890860231134</v>
      </c>
      <c r="T177" s="116">
        <f t="shared" si="280"/>
        <v>1.1357842188058667</v>
      </c>
      <c r="U177" s="116">
        <f t="shared" si="280"/>
        <v>1.3207204919699653</v>
      </c>
      <c r="V177" s="116">
        <f t="shared" si="280"/>
        <v>1.5077253679614722</v>
      </c>
      <c r="W177" s="116">
        <f t="shared" si="280"/>
        <v>1.6968268181570403</v>
      </c>
      <c r="X177" s="116">
        <f t="shared" si="280"/>
        <v>1.8880533357392224</v>
      </c>
      <c r="Y177" s="116">
        <f t="shared" si="280"/>
        <v>2.0814339489592415</v>
      </c>
      <c r="Z177" s="116">
        <f t="shared" si="280"/>
        <v>2.2769982347997257</v>
      </c>
      <c r="AA177" s="116">
        <f t="shared" si="280"/>
        <v>2.4747763330502877</v>
      </c>
      <c r="AB177" s="116">
        <f t="shared" si="280"/>
        <v>2.6747989608092286</v>
      </c>
      <c r="AC177" s="116">
        <f t="shared" si="280"/>
        <v>2.8770974274251495</v>
      </c>
      <c r="AD177" s="116">
        <f t="shared" si="280"/>
        <v>3.0817036498926318</v>
      </c>
      <c r="AE177" s="144">
        <f t="shared" si="278"/>
        <v>3.2886501687166829</v>
      </c>
    </row>
    <row r="178" spans="2:31" outlineLevel="1" x14ac:dyDescent="0.2">
      <c r="B178" s="972"/>
      <c r="C178" s="106" t="s">
        <v>45</v>
      </c>
      <c r="D178" s="109">
        <f t="shared" si="279"/>
        <v>6.267203048909592E-2</v>
      </c>
      <c r="E178" s="110"/>
      <c r="F178" s="110"/>
      <c r="G178" s="110"/>
      <c r="H178" s="110"/>
      <c r="I178" s="110"/>
      <c r="J178" s="110"/>
      <c r="K178" s="108"/>
      <c r="L178" s="108"/>
      <c r="M178" s="108"/>
      <c r="N178" s="108"/>
      <c r="O178" s="116">
        <f t="shared" si="280"/>
        <v>0</v>
      </c>
      <c r="P178" s="116">
        <f t="shared" si="280"/>
        <v>0.12167234090494006</v>
      </c>
      <c r="Q178" s="116">
        <f t="shared" si="278"/>
        <v>0.24832935615834953</v>
      </c>
      <c r="R178" s="116">
        <f t="shared" si="278"/>
        <v>0.33753974264620101</v>
      </c>
      <c r="S178" s="116">
        <f t="shared" si="278"/>
        <v>0.41662506567628005</v>
      </c>
      <c r="T178" s="116">
        <f t="shared" si="278"/>
        <v>0.49659103215145728</v>
      </c>
      <c r="U178" s="116">
        <f t="shared" si="278"/>
        <v>0.57744943223502176</v>
      </c>
      <c r="V178" s="116">
        <f t="shared" si="278"/>
        <v>0.65921227314120501</v>
      </c>
      <c r="W178" s="116">
        <f t="shared" si="278"/>
        <v>0.74189178460041949</v>
      </c>
      <c r="X178" s="116">
        <f t="shared" si="278"/>
        <v>0.82550042448864092</v>
      </c>
      <c r="Y178" s="116">
        <f t="shared" si="278"/>
        <v>0.91005088462619732</v>
      </c>
      <c r="Z178" s="116">
        <f t="shared" si="278"/>
        <v>0.9955560967514312</v>
      </c>
      <c r="AA178" s="116">
        <f t="shared" si="278"/>
        <v>1.0820292386748676</v>
      </c>
      <c r="AB178" s="116">
        <f t="shared" si="278"/>
        <v>1.1694837406196925</v>
      </c>
      <c r="AC178" s="116">
        <f t="shared" si="278"/>
        <v>1.2579332917545707</v>
      </c>
      <c r="AD178" s="116">
        <f t="shared" si="278"/>
        <v>1.3473918469249913</v>
      </c>
      <c r="AE178" s="144">
        <f t="shared" si="278"/>
        <v>1.4378736335895692</v>
      </c>
    </row>
    <row r="179" spans="2:31" s="111" customFormat="1" x14ac:dyDescent="0.2">
      <c r="B179" s="972"/>
      <c r="C179" s="117" t="s">
        <v>323</v>
      </c>
      <c r="D179" s="109">
        <f t="shared" si="137"/>
        <v>0</v>
      </c>
      <c r="K179" s="118"/>
      <c r="L179" s="118"/>
      <c r="M179" s="118"/>
      <c r="N179" s="118"/>
      <c r="O179" s="118">
        <f>Mbeya!H118</f>
        <v>0</v>
      </c>
      <c r="P179" s="118">
        <f>Mbeya!I118</f>
        <v>1.9954434055764132</v>
      </c>
      <c r="Q179" s="118">
        <f>Mbeya!J118</f>
        <v>4.092644566930332</v>
      </c>
      <c r="R179" s="118">
        <f>Mbeya!K118</f>
        <v>5.5688074728215806</v>
      </c>
      <c r="S179" s="118">
        <f>Mbeya!L118</f>
        <v>6.87357512603994</v>
      </c>
      <c r="T179" s="118">
        <f>Mbeya!M118</f>
        <v>8.1928718351837073</v>
      </c>
      <c r="U179" s="118">
        <f>Mbeya!N118</f>
        <v>9.5268921170493783</v>
      </c>
      <c r="V179" s="118">
        <f>Mbeya!O118</f>
        <v>10.875834069389283</v>
      </c>
      <c r="W179" s="118">
        <f>Mbeya!P118</f>
        <v>12.23989946107833</v>
      </c>
      <c r="X179" s="118">
        <f>Mbeya!Q118</f>
        <v>13.619293824988848</v>
      </c>
      <c r="Y179" s="118">
        <f>Mbeya!R118</f>
        <v>15.014226553660308</v>
      </c>
      <c r="Z179" s="118">
        <f>Mbeya!S118</f>
        <v>16.424910997854173</v>
      </c>
      <c r="AA179" s="118">
        <f>Mbeya!T118</f>
        <v>17.851564568086765</v>
      </c>
      <c r="AB179" s="118">
        <f>Mbeya!U118</f>
        <v>19.294408839235917</v>
      </c>
      <c r="AC179" s="118">
        <f>Mbeya!V118</f>
        <v>20.753669658320888</v>
      </c>
      <c r="AD179" s="118">
        <f>Mbeya!W118</f>
        <v>22.229577255557622</v>
      </c>
      <c r="AE179" s="145">
        <f>Mbeya!X118</f>
        <v>23.722366358795444</v>
      </c>
    </row>
    <row r="180" spans="2:31" x14ac:dyDescent="0.2">
      <c r="B180" s="972" t="s">
        <v>111</v>
      </c>
      <c r="C180" s="107" t="s">
        <v>325</v>
      </c>
      <c r="D180" s="109"/>
      <c r="K180" s="109"/>
      <c r="L180" s="109"/>
      <c r="M180" s="109"/>
      <c r="N180" s="109"/>
      <c r="O180" s="261">
        <v>0</v>
      </c>
      <c r="P180" s="261">
        <f t="shared" ref="P180" si="281">SUM(P181:P183)</f>
        <v>0.22548975798907803</v>
      </c>
      <c r="Q180" s="261">
        <f t="shared" ref="Q180" si="282">SUM(Q181:Q183)</f>
        <v>0.47655569177806711</v>
      </c>
      <c r="R180" s="261">
        <f t="shared" ref="R180" si="283">SUM(R181:R183)</f>
        <v>0.54710181935094693</v>
      </c>
      <c r="S180" s="261">
        <f t="shared" ref="S180" si="284">SUM(S181:S183)</f>
        <v>0.56528201280797874</v>
      </c>
      <c r="T180" s="261">
        <f t="shared" ref="T180" si="285">SUM(T181:T183)</f>
        <v>0.58406633409358788</v>
      </c>
      <c r="U180" s="261">
        <f t="shared" ref="U180" si="286">SUM(U181:U183)</f>
        <v>0.60347485837551795</v>
      </c>
      <c r="V180" s="261">
        <f t="shared" ref="V180" si="287">SUM(V181:V183)</f>
        <v>0.62352832791933588</v>
      </c>
      <c r="W180" s="261">
        <f t="shared" ref="W180" si="288">SUM(W181:W183)</f>
        <v>0.6442481742560956</v>
      </c>
      <c r="X180" s="261">
        <f t="shared" ref="X180" si="289">SUM(X181:X183)</f>
        <v>0.66565654108662575</v>
      </c>
      <c r="Y180" s="261">
        <f t="shared" ref="Y180" si="290">SUM(Y181:Y183)</f>
        <v>0.68777630794693423</v>
      </c>
      <c r="Z180" s="261">
        <f t="shared" ref="Z180" si="291">SUM(Z181:Z183)</f>
        <v>0.7106311146600105</v>
      </c>
      <c r="AA180" s="261">
        <f t="shared" ref="AA180" si="292">SUM(AA181:AA183)</f>
        <v>0.73424538660016292</v>
      </c>
      <c r="AB180" s="261">
        <f t="shared" ref="AB180" si="293">SUM(AB181:AB183)</f>
        <v>0.75864436079688624</v>
      </c>
      <c r="AC180" s="261">
        <f t="shared" ref="AC180" si="294">SUM(AC181:AC183)</f>
        <v>0.78385411290616669</v>
      </c>
      <c r="AD180" s="261">
        <f t="shared" ref="AD180" si="295">SUM(AD181:AD183)</f>
        <v>0.80990158507803844</v>
      </c>
      <c r="AE180" s="265">
        <f t="shared" ref="AE180" si="296">SUM(AE181:AE183)</f>
        <v>0.83681461475018148</v>
      </c>
    </row>
    <row r="181" spans="2:31" outlineLevel="1" x14ac:dyDescent="0.2">
      <c r="B181" s="972"/>
      <c r="C181" s="106" t="s">
        <v>10</v>
      </c>
      <c r="D181" s="109">
        <f>N122</f>
        <v>0.84899252886574594</v>
      </c>
      <c r="E181" s="115"/>
      <c r="F181" s="115"/>
      <c r="G181" s="115"/>
      <c r="H181" s="115"/>
      <c r="I181" s="115"/>
      <c r="J181" s="115"/>
      <c r="K181" s="116"/>
      <c r="L181" s="116"/>
      <c r="M181" s="116"/>
      <c r="N181" s="116"/>
      <c r="O181" s="261">
        <v>0</v>
      </c>
      <c r="P181" s="116">
        <f>P$188*(P$59/P$67)*$D181</f>
        <v>0.1914391198684724</v>
      </c>
      <c r="Q181" s="116">
        <f t="shared" ref="Q181:AE183" si="297">Q$188*(Q$59/Q$67)*$D181</f>
        <v>0.40459222190802618</v>
      </c>
      <c r="R181" s="116">
        <f t="shared" si="297"/>
        <v>0.46448535715781092</v>
      </c>
      <c r="S181" s="116">
        <f t="shared" si="297"/>
        <v>0.47992020557616494</v>
      </c>
      <c r="T181" s="116">
        <f t="shared" si="297"/>
        <v>0.49586795400746081</v>
      </c>
      <c r="U181" s="116">
        <f t="shared" si="297"/>
        <v>0.51234564611912892</v>
      </c>
      <c r="V181" s="116">
        <f t="shared" si="297"/>
        <v>0.52937089193966713</v>
      </c>
      <c r="W181" s="116">
        <f t="shared" si="297"/>
        <v>0.5469618866788224</v>
      </c>
      <c r="X181" s="116">
        <f t="shared" si="297"/>
        <v>0.56513743017315976</v>
      </c>
      <c r="Y181" s="116">
        <f t="shared" si="297"/>
        <v>0.58391694697781371</v>
      </c>
      <c r="Z181" s="116">
        <f t="shared" si="297"/>
        <v>0.60332050712588625</v>
      </c>
      <c r="AA181" s="116">
        <f t="shared" si="297"/>
        <v>0.62336884757767963</v>
      </c>
      <c r="AB181" s="116">
        <f t="shared" si="297"/>
        <v>0.6440833943826858</v>
      </c>
      <c r="AC181" s="116">
        <f t="shared" si="297"/>
        <v>0.66548628557802247</v>
      </c>
      <c r="AD181" s="116">
        <f t="shared" si="297"/>
        <v>0.68760039484777991</v>
      </c>
      <c r="AE181" s="144">
        <f t="shared" si="297"/>
        <v>0.71044935596857162</v>
      </c>
    </row>
    <row r="182" spans="2:31" outlineLevel="1" x14ac:dyDescent="0.2">
      <c r="B182" s="972"/>
      <c r="C182" s="106" t="s">
        <v>44</v>
      </c>
      <c r="D182" s="109">
        <f>O122</f>
        <v>0.11138781978718587</v>
      </c>
      <c r="E182" s="115"/>
      <c r="F182" s="115"/>
      <c r="G182" s="115"/>
      <c r="H182" s="115"/>
      <c r="I182" s="115"/>
      <c r="J182" s="115"/>
      <c r="K182" s="116"/>
      <c r="L182" s="116"/>
      <c r="M182" s="116"/>
      <c r="N182" s="116"/>
      <c r="O182" s="261">
        <v>0</v>
      </c>
      <c r="P182" s="116">
        <f t="shared" ref="P182:AD183" si="298">P$188*(P$59/P$67)*$D182</f>
        <v>2.5116812526743578E-2</v>
      </c>
      <c r="Q182" s="116">
        <f t="shared" si="298"/>
        <v>5.3082499514333033E-2</v>
      </c>
      <c r="R182" s="116">
        <f t="shared" si="298"/>
        <v>6.0940478859104794E-2</v>
      </c>
      <c r="S182" s="116">
        <f t="shared" si="298"/>
        <v>6.296553097159284E-2</v>
      </c>
      <c r="T182" s="116">
        <f t="shared" si="298"/>
        <v>6.5057875565778855E-2</v>
      </c>
      <c r="U182" s="116">
        <f t="shared" si="298"/>
        <v>6.7219748770829715E-2</v>
      </c>
      <c r="V182" s="116">
        <f t="shared" si="298"/>
        <v>6.9453461022484328E-2</v>
      </c>
      <c r="W182" s="116">
        <f t="shared" si="298"/>
        <v>7.1761399532261502E-2</v>
      </c>
      <c r="X182" s="116">
        <f t="shared" si="298"/>
        <v>7.4146030838718555E-2</v>
      </c>
      <c r="Y182" s="116">
        <f t="shared" si="298"/>
        <v>7.6609903443489169E-2</v>
      </c>
      <c r="Z182" s="116">
        <f t="shared" si="298"/>
        <v>7.9155650534916286E-2</v>
      </c>
      <c r="AA182" s="116">
        <f t="shared" si="298"/>
        <v>8.1785992802191565E-2</v>
      </c>
      <c r="AB182" s="116">
        <f t="shared" si="298"/>
        <v>8.4503741343008379E-2</v>
      </c>
      <c r="AC182" s="116">
        <f t="shared" si="298"/>
        <v>8.7311800667836559E-2</v>
      </c>
      <c r="AD182" s="116">
        <f t="shared" si="298"/>
        <v>9.0213171804028713E-2</v>
      </c>
      <c r="AE182" s="144">
        <f t="shared" si="297"/>
        <v>9.3210955503076592E-2</v>
      </c>
    </row>
    <row r="183" spans="2:31" outlineLevel="1" x14ac:dyDescent="0.2">
      <c r="B183" s="972"/>
      <c r="C183" s="106" t="s">
        <v>45</v>
      </c>
      <c r="D183" s="109">
        <f>P122</f>
        <v>3.9619651347068144E-2</v>
      </c>
      <c r="E183" s="115"/>
      <c r="F183" s="115"/>
      <c r="G183" s="115"/>
      <c r="H183" s="115"/>
      <c r="I183" s="115"/>
      <c r="J183" s="115"/>
      <c r="K183" s="116"/>
      <c r="L183" s="116"/>
      <c r="M183" s="116"/>
      <c r="N183" s="116"/>
      <c r="O183" s="261">
        <v>0</v>
      </c>
      <c r="P183" s="116">
        <f t="shared" si="298"/>
        <v>8.9338255938620457E-3</v>
      </c>
      <c r="Q183" s="116">
        <f t="shared" si="297"/>
        <v>1.8880970355707887E-2</v>
      </c>
      <c r="R183" s="116">
        <f t="shared" si="297"/>
        <v>2.1675983334031177E-2</v>
      </c>
      <c r="S183" s="116">
        <f t="shared" si="297"/>
        <v>2.2396276260221032E-2</v>
      </c>
      <c r="T183" s="116">
        <f t="shared" si="297"/>
        <v>2.314050452034817E-2</v>
      </c>
      <c r="U183" s="116">
        <f t="shared" si="297"/>
        <v>2.3909463485559349E-2</v>
      </c>
      <c r="V183" s="116">
        <f t="shared" si="297"/>
        <v>2.4703974957184467E-2</v>
      </c>
      <c r="W183" s="116">
        <f t="shared" si="297"/>
        <v>2.5524888045011709E-2</v>
      </c>
      <c r="X183" s="116">
        <f t="shared" si="297"/>
        <v>2.6373080074747455E-2</v>
      </c>
      <c r="Y183" s="116">
        <f t="shared" si="297"/>
        <v>2.7249457525631307E-2</v>
      </c>
      <c r="Z183" s="116">
        <f t="shared" si="297"/>
        <v>2.8154956999208027E-2</v>
      </c>
      <c r="AA183" s="116">
        <f t="shared" si="297"/>
        <v>2.9090546220291714E-2</v>
      </c>
      <c r="AB183" s="116">
        <f t="shared" si="297"/>
        <v>3.0057225071192004E-2</v>
      </c>
      <c r="AC183" s="116">
        <f t="shared" si="297"/>
        <v>3.1056026660307715E-2</v>
      </c>
      <c r="AD183" s="116">
        <f t="shared" si="297"/>
        <v>3.2088018426229728E-2</v>
      </c>
      <c r="AE183" s="144">
        <f t="shared" si="297"/>
        <v>3.3154303278533345E-2</v>
      </c>
    </row>
    <row r="184" spans="2:31" x14ac:dyDescent="0.2">
      <c r="B184" s="972"/>
      <c r="C184" s="107" t="s">
        <v>324</v>
      </c>
      <c r="D184" s="109"/>
      <c r="E184" s="106"/>
      <c r="F184" s="106"/>
      <c r="G184" s="106"/>
      <c r="H184" s="106"/>
      <c r="I184" s="106"/>
      <c r="J184" s="106"/>
      <c r="K184" s="108"/>
      <c r="L184" s="108"/>
      <c r="M184" s="108"/>
      <c r="N184" s="108"/>
      <c r="O184" s="261">
        <v>0</v>
      </c>
      <c r="P184" s="108">
        <f t="shared" ref="P184" si="299">SUM(P185:P187)</f>
        <v>0</v>
      </c>
      <c r="Q184" s="108">
        <f t="shared" ref="Q184" si="300">SUM(Q185:Q187)</f>
        <v>0</v>
      </c>
      <c r="R184" s="108">
        <f t="shared" ref="R184" si="301">SUM(R185:R187)</f>
        <v>0</v>
      </c>
      <c r="S184" s="108">
        <f t="shared" ref="S184" si="302">SUM(S185:S187)</f>
        <v>0</v>
      </c>
      <c r="T184" s="108">
        <f t="shared" ref="T184" si="303">SUM(T185:T187)</f>
        <v>0</v>
      </c>
      <c r="U184" s="108">
        <f t="shared" ref="U184" si="304">SUM(U185:U187)</f>
        <v>0</v>
      </c>
      <c r="V184" s="108">
        <f t="shared" ref="V184" si="305">SUM(V185:V187)</f>
        <v>0</v>
      </c>
      <c r="W184" s="108">
        <f t="shared" ref="W184" si="306">SUM(W185:W187)</f>
        <v>0</v>
      </c>
      <c r="X184" s="108">
        <f t="shared" ref="X184" si="307">SUM(X185:X187)</f>
        <v>0</v>
      </c>
      <c r="Y184" s="108">
        <f t="shared" ref="Y184" si="308">SUM(Y185:Y187)</f>
        <v>0</v>
      </c>
      <c r="Z184" s="108">
        <f t="shared" ref="Z184" si="309">SUM(Z185:Z187)</f>
        <v>0</v>
      </c>
      <c r="AA184" s="108">
        <f t="shared" ref="AA184" si="310">SUM(AA185:AA187)</f>
        <v>0</v>
      </c>
      <c r="AB184" s="108">
        <f t="shared" ref="AB184" si="311">SUM(AB185:AB187)</f>
        <v>0</v>
      </c>
      <c r="AC184" s="108">
        <f t="shared" ref="AC184" si="312">SUM(AC185:AC187)</f>
        <v>0</v>
      </c>
      <c r="AD184" s="108">
        <f t="shared" ref="AD184" si="313">SUM(AD185:AD187)</f>
        <v>0</v>
      </c>
      <c r="AE184" s="143">
        <f t="shared" ref="AE184" si="314">SUM(AE185:AE187)</f>
        <v>0</v>
      </c>
    </row>
    <row r="185" spans="2:31" outlineLevel="1" x14ac:dyDescent="0.2">
      <c r="B185" s="972"/>
      <c r="C185" s="106" t="s">
        <v>10</v>
      </c>
      <c r="D185" s="109">
        <f>D181</f>
        <v>0.84899252886574594</v>
      </c>
      <c r="E185" s="110"/>
      <c r="F185" s="110"/>
      <c r="G185" s="110"/>
      <c r="H185" s="110"/>
      <c r="I185" s="110"/>
      <c r="J185" s="110"/>
      <c r="K185" s="108"/>
      <c r="L185" s="108"/>
      <c r="M185" s="108"/>
      <c r="N185" s="108"/>
      <c r="O185" s="261">
        <v>0</v>
      </c>
      <c r="P185" s="116">
        <f>P$188*(P$63/P$67)*$D185</f>
        <v>0</v>
      </c>
      <c r="Q185" s="116">
        <f t="shared" ref="Q185:AE187" si="315">Q$188*(Q$63/Q$67)*$D185</f>
        <v>0</v>
      </c>
      <c r="R185" s="116">
        <f t="shared" si="315"/>
        <v>0</v>
      </c>
      <c r="S185" s="116">
        <f t="shared" si="315"/>
        <v>0</v>
      </c>
      <c r="T185" s="116">
        <f t="shared" si="315"/>
        <v>0</v>
      </c>
      <c r="U185" s="116">
        <f t="shared" si="315"/>
        <v>0</v>
      </c>
      <c r="V185" s="116">
        <f t="shared" si="315"/>
        <v>0</v>
      </c>
      <c r="W185" s="116">
        <f t="shared" si="315"/>
        <v>0</v>
      </c>
      <c r="X185" s="116">
        <f t="shared" si="315"/>
        <v>0</v>
      </c>
      <c r="Y185" s="116">
        <f t="shared" si="315"/>
        <v>0</v>
      </c>
      <c r="Z185" s="116">
        <f t="shared" si="315"/>
        <v>0</v>
      </c>
      <c r="AA185" s="116">
        <f t="shared" si="315"/>
        <v>0</v>
      </c>
      <c r="AB185" s="116">
        <f t="shared" si="315"/>
        <v>0</v>
      </c>
      <c r="AC185" s="116">
        <f t="shared" si="315"/>
        <v>0</v>
      </c>
      <c r="AD185" s="116">
        <f t="shared" si="315"/>
        <v>0</v>
      </c>
      <c r="AE185" s="144">
        <f t="shared" si="315"/>
        <v>0</v>
      </c>
    </row>
    <row r="186" spans="2:31" outlineLevel="1" x14ac:dyDescent="0.2">
      <c r="B186" s="972"/>
      <c r="C186" s="106" t="s">
        <v>44</v>
      </c>
      <c r="D186" s="109">
        <f t="shared" ref="D186:D187" si="316">D182</f>
        <v>0.11138781978718587</v>
      </c>
      <c r="E186" s="110"/>
      <c r="F186" s="110"/>
      <c r="G186" s="110"/>
      <c r="H186" s="110"/>
      <c r="I186" s="110"/>
      <c r="J186" s="110"/>
      <c r="K186" s="108"/>
      <c r="L186" s="108"/>
      <c r="M186" s="108"/>
      <c r="N186" s="108"/>
      <c r="O186" s="261">
        <v>0</v>
      </c>
      <c r="P186" s="116">
        <f t="shared" ref="P186:AD187" si="317">P$188*(P$63/P$67)*$D186</f>
        <v>0</v>
      </c>
      <c r="Q186" s="116">
        <f t="shared" si="317"/>
        <v>0</v>
      </c>
      <c r="R186" s="116">
        <f t="shared" si="317"/>
        <v>0</v>
      </c>
      <c r="S186" s="116">
        <f t="shared" si="317"/>
        <v>0</v>
      </c>
      <c r="T186" s="116">
        <f t="shared" si="317"/>
        <v>0</v>
      </c>
      <c r="U186" s="116">
        <f t="shared" si="317"/>
        <v>0</v>
      </c>
      <c r="V186" s="116">
        <f t="shared" si="317"/>
        <v>0</v>
      </c>
      <c r="W186" s="116">
        <f t="shared" si="317"/>
        <v>0</v>
      </c>
      <c r="X186" s="116">
        <f t="shared" si="317"/>
        <v>0</v>
      </c>
      <c r="Y186" s="116">
        <f t="shared" si="317"/>
        <v>0</v>
      </c>
      <c r="Z186" s="116">
        <f t="shared" si="317"/>
        <v>0</v>
      </c>
      <c r="AA186" s="116">
        <f t="shared" si="317"/>
        <v>0</v>
      </c>
      <c r="AB186" s="116">
        <f t="shared" si="317"/>
        <v>0</v>
      </c>
      <c r="AC186" s="116">
        <f t="shared" si="317"/>
        <v>0</v>
      </c>
      <c r="AD186" s="116">
        <f t="shared" si="317"/>
        <v>0</v>
      </c>
      <c r="AE186" s="144">
        <f t="shared" si="315"/>
        <v>0</v>
      </c>
    </row>
    <row r="187" spans="2:31" outlineLevel="1" x14ac:dyDescent="0.2">
      <c r="B187" s="972"/>
      <c r="C187" s="106" t="s">
        <v>45</v>
      </c>
      <c r="D187" s="109">
        <f t="shared" si="316"/>
        <v>3.9619651347068144E-2</v>
      </c>
      <c r="E187" s="110"/>
      <c r="F187" s="110"/>
      <c r="G187" s="110"/>
      <c r="H187" s="110"/>
      <c r="I187" s="110"/>
      <c r="J187" s="110"/>
      <c r="K187" s="108"/>
      <c r="L187" s="108"/>
      <c r="M187" s="108"/>
      <c r="N187" s="108"/>
      <c r="O187" s="261">
        <v>0</v>
      </c>
      <c r="P187" s="116">
        <f t="shared" si="317"/>
        <v>0</v>
      </c>
      <c r="Q187" s="116">
        <f t="shared" si="315"/>
        <v>0</v>
      </c>
      <c r="R187" s="116">
        <f t="shared" si="315"/>
        <v>0</v>
      </c>
      <c r="S187" s="116">
        <f t="shared" si="315"/>
        <v>0</v>
      </c>
      <c r="T187" s="116">
        <f t="shared" si="315"/>
        <v>0</v>
      </c>
      <c r="U187" s="116">
        <f t="shared" si="315"/>
        <v>0</v>
      </c>
      <c r="V187" s="116">
        <f t="shared" si="315"/>
        <v>0</v>
      </c>
      <c r="W187" s="116">
        <f t="shared" si="315"/>
        <v>0</v>
      </c>
      <c r="X187" s="116">
        <f t="shared" si="315"/>
        <v>0</v>
      </c>
      <c r="Y187" s="116">
        <f t="shared" si="315"/>
        <v>0</v>
      </c>
      <c r="Z187" s="116">
        <f t="shared" si="315"/>
        <v>0</v>
      </c>
      <c r="AA187" s="116">
        <f t="shared" si="315"/>
        <v>0</v>
      </c>
      <c r="AB187" s="116">
        <f t="shared" si="315"/>
        <v>0</v>
      </c>
      <c r="AC187" s="116">
        <f t="shared" si="315"/>
        <v>0</v>
      </c>
      <c r="AD187" s="116">
        <f t="shared" si="315"/>
        <v>0</v>
      </c>
      <c r="AE187" s="144">
        <f t="shared" si="315"/>
        <v>0</v>
      </c>
    </row>
    <row r="188" spans="2:31" s="111" customFormat="1" x14ac:dyDescent="0.2">
      <c r="B188" s="972"/>
      <c r="C188" s="117" t="s">
        <v>323</v>
      </c>
      <c r="D188" s="109">
        <f t="shared" si="137"/>
        <v>0</v>
      </c>
      <c r="K188" s="118"/>
      <c r="L188" s="118"/>
      <c r="M188" s="118"/>
      <c r="N188" s="118"/>
      <c r="O188" s="261">
        <v>0</v>
      </c>
      <c r="P188" s="118">
        <f>Kigoma!I118</f>
        <v>0.22548975798907803</v>
      </c>
      <c r="Q188" s="118">
        <f>Kigoma!J118</f>
        <v>0.47655569177806711</v>
      </c>
      <c r="R188" s="118">
        <f>Kigoma!K118</f>
        <v>0.54710181935094693</v>
      </c>
      <c r="S188" s="118">
        <f>Kigoma!L118</f>
        <v>0.56528201280797885</v>
      </c>
      <c r="T188" s="118">
        <f>Kigoma!M118</f>
        <v>0.58406633409358788</v>
      </c>
      <c r="U188" s="118">
        <f>Kigoma!N118</f>
        <v>0.60347485837551795</v>
      </c>
      <c r="V188" s="118">
        <f>Kigoma!O118</f>
        <v>0.62352832791933599</v>
      </c>
      <c r="W188" s="118">
        <f>Kigoma!P118</f>
        <v>0.6442481742560956</v>
      </c>
      <c r="X188" s="118">
        <f>Kigoma!Q118</f>
        <v>0.66565654108662575</v>
      </c>
      <c r="Y188" s="118">
        <f>Kigoma!R118</f>
        <v>0.68777630794693423</v>
      </c>
      <c r="Z188" s="118">
        <f>Kigoma!S118</f>
        <v>0.71063111466001061</v>
      </c>
      <c r="AA188" s="118">
        <f>Kigoma!T118</f>
        <v>0.73424538660016292</v>
      </c>
      <c r="AB188" s="118">
        <f>Kigoma!U118</f>
        <v>0.75864436079688624</v>
      </c>
      <c r="AC188" s="118">
        <f>Kigoma!V118</f>
        <v>0.7838541129061668</v>
      </c>
      <c r="AD188" s="118">
        <f>Kigoma!W118</f>
        <v>0.80990158507803833</v>
      </c>
      <c r="AE188" s="145">
        <f>Kigoma!X118</f>
        <v>0.8368146147501816</v>
      </c>
    </row>
    <row r="189" spans="2:31" s="111" customFormat="1" x14ac:dyDescent="0.2">
      <c r="B189" s="973" t="s">
        <v>544</v>
      </c>
      <c r="C189" s="973"/>
      <c r="D189" s="109">
        <f t="shared" si="137"/>
        <v>0</v>
      </c>
      <c r="K189" s="118">
        <f>SUMIF($C$126:$C$188,"Total GWh",K$126:K$188)</f>
        <v>0</v>
      </c>
      <c r="L189" s="118">
        <f t="shared" ref="L189:AD189" si="318">SUMIF($C$126:$C$188,"Total GWh",L$126:L$188)</f>
        <v>0</v>
      </c>
      <c r="M189" s="118">
        <f t="shared" si="318"/>
        <v>0</v>
      </c>
      <c r="N189" s="118">
        <f t="shared" si="318"/>
        <v>0</v>
      </c>
      <c r="O189" s="118">
        <f t="shared" si="318"/>
        <v>0</v>
      </c>
      <c r="P189" s="118">
        <f t="shared" si="318"/>
        <v>18.860031434764156</v>
      </c>
      <c r="Q189" s="118">
        <f t="shared" si="318"/>
        <v>39.264289764916434</v>
      </c>
      <c r="R189" s="118">
        <f t="shared" si="318"/>
        <v>49.233338322458899</v>
      </c>
      <c r="S189" s="118">
        <f t="shared" si="318"/>
        <v>56.217126634875889</v>
      </c>
      <c r="T189" s="118">
        <f t="shared" si="318"/>
        <v>63.295301922554103</v>
      </c>
      <c r="U189" s="118">
        <f t="shared" si="318"/>
        <v>70.469623821577912</v>
      </c>
      <c r="V189" s="118">
        <f t="shared" si="318"/>
        <v>77.741896672307647</v>
      </c>
      <c r="W189" s="118">
        <f t="shared" si="318"/>
        <v>85.113970867218512</v>
      </c>
      <c r="X189" s="118">
        <f t="shared" si="318"/>
        <v>92.587744242151146</v>
      </c>
      <c r="Y189" s="118">
        <f t="shared" si="318"/>
        <v>100.16516351240298</v>
      </c>
      <c r="Z189" s="118">
        <f t="shared" si="318"/>
        <v>107.84822575513607</v>
      </c>
      <c r="AA189" s="118">
        <f t="shared" si="318"/>
        <v>115.63897993962742</v>
      </c>
      <c r="AB189" s="118">
        <f t="shared" si="318"/>
        <v>123.53952850693582</v>
      </c>
      <c r="AC189" s="118">
        <f t="shared" si="318"/>
        <v>131.55202900061508</v>
      </c>
      <c r="AD189" s="118">
        <f t="shared" si="318"/>
        <v>139.6786957501532</v>
      </c>
      <c r="AE189" s="118">
        <f>SUMIF($C$126:$C$188,"Total GWh",AE$126:AE$188)</f>
        <v>147.92180160887699</v>
      </c>
    </row>
    <row r="190" spans="2:31" x14ac:dyDescent="0.2">
      <c r="C190" s="262" t="s">
        <v>325</v>
      </c>
      <c r="K190" s="108">
        <f>SUMIF($C$126:$C$188,"New",K$126:K$188)</f>
        <v>0</v>
      </c>
      <c r="L190" s="108">
        <f t="shared" ref="L190:AD190" si="319">SUMIF($C$126:$C$188,"New",L$126:L$188)</f>
        <v>0</v>
      </c>
      <c r="M190" s="108">
        <f t="shared" si="319"/>
        <v>0</v>
      </c>
      <c r="N190" s="108">
        <f t="shared" si="319"/>
        <v>0</v>
      </c>
      <c r="O190" s="108">
        <f t="shared" si="319"/>
        <v>0</v>
      </c>
      <c r="P190" s="108">
        <f t="shared" si="319"/>
        <v>1.0541148481412526</v>
      </c>
      <c r="Q190" s="108">
        <f t="shared" si="319"/>
        <v>3.0496537667768226</v>
      </c>
      <c r="R190" s="108">
        <f t="shared" si="319"/>
        <v>3.9431090760763388</v>
      </c>
      <c r="S190" s="108">
        <f t="shared" si="319"/>
        <v>4.3808557727928301</v>
      </c>
      <c r="T190" s="108">
        <f t="shared" si="319"/>
        <v>4.8252520077336101</v>
      </c>
      <c r="U190" s="108">
        <f t="shared" si="319"/>
        <v>5.2764397772087959</v>
      </c>
      <c r="V190" s="108">
        <f t="shared" si="319"/>
        <v>5.7345650063874336</v>
      </c>
      <c r="W190" s="108">
        <f t="shared" si="319"/>
        <v>6.151751863439201</v>
      </c>
      <c r="X190" s="108">
        <f t="shared" si="319"/>
        <v>6.6199397234096491</v>
      </c>
      <c r="Y190" s="108">
        <f t="shared" si="319"/>
        <v>7.0954690534355311</v>
      </c>
      <c r="Z190" s="108">
        <f t="shared" si="319"/>
        <v>7.5785016464414801</v>
      </c>
      <c r="AA190" s="108">
        <f t="shared" si="319"/>
        <v>8.0692038500897674</v>
      </c>
      <c r="AB190" s="108">
        <f t="shared" si="319"/>
        <v>8.5677467099177864</v>
      </c>
      <c r="AC190" s="108">
        <f t="shared" si="319"/>
        <v>9.0743061171499164</v>
      </c>
      <c r="AD190" s="108">
        <f t="shared" si="319"/>
        <v>9.5890629613381329</v>
      </c>
      <c r="AE190" s="108">
        <f>SUMIF($C$126:$C$188,"New",AE$126:AE$188)</f>
        <v>10.112203287991013</v>
      </c>
    </row>
    <row r="191" spans="2:31" x14ac:dyDescent="0.2">
      <c r="C191" s="262" t="s">
        <v>324</v>
      </c>
      <c r="K191" s="108">
        <f>SUMIF($C$126:$C$188,"Existing",K$126:K$188)</f>
        <v>0</v>
      </c>
      <c r="L191" s="108">
        <f t="shared" ref="L191:AD191" si="320">SUMIF($C$126:$C$188,"Existing",L$126:L$188)</f>
        <v>0</v>
      </c>
      <c r="M191" s="108">
        <f t="shared" si="320"/>
        <v>0</v>
      </c>
      <c r="N191" s="108">
        <f t="shared" si="320"/>
        <v>0</v>
      </c>
      <c r="O191" s="108">
        <f t="shared" si="320"/>
        <v>0</v>
      </c>
      <c r="P191" s="108">
        <f t="shared" si="320"/>
        <v>17.881386888487107</v>
      </c>
      <c r="Q191" s="108">
        <f t="shared" si="320"/>
        <v>36.535871513811315</v>
      </c>
      <c r="R191" s="108">
        <f t="shared" si="320"/>
        <v>45.73893289327674</v>
      </c>
      <c r="S191" s="108">
        <f t="shared" si="320"/>
        <v>52.349981168914525</v>
      </c>
      <c r="T191" s="108">
        <f t="shared" si="320"/>
        <v>59.049637267985638</v>
      </c>
      <c r="U191" s="108">
        <f t="shared" si="320"/>
        <v>65.839534855355083</v>
      </c>
      <c r="V191" s="108">
        <f t="shared" si="320"/>
        <v>72.721348774840308</v>
      </c>
      <c r="W191" s="108">
        <f t="shared" si="320"/>
        <v>78.96221900377931</v>
      </c>
      <c r="X191" s="108">
        <f t="shared" si="320"/>
        <v>85.967804518741517</v>
      </c>
      <c r="Y191" s="108">
        <f t="shared" si="320"/>
        <v>93.069694458967462</v>
      </c>
      <c r="Z191" s="108">
        <f t="shared" si="320"/>
        <v>100.26972410869463</v>
      </c>
      <c r="AA191" s="108">
        <f t="shared" si="320"/>
        <v>107.56977608953765</v>
      </c>
      <c r="AB191" s="108">
        <f t="shared" si="320"/>
        <v>114.97178179701802</v>
      </c>
      <c r="AC191" s="108">
        <f t="shared" si="320"/>
        <v>122.47772288346515</v>
      </c>
      <c r="AD191" s="108">
        <f t="shared" si="320"/>
        <v>130.08963278881504</v>
      </c>
      <c r="AE191" s="108">
        <f>SUMIF($C$126:$C$188,"Existing",AE$126:AE$188)</f>
        <v>137.80959832088598</v>
      </c>
    </row>
    <row r="193" spans="30:31" x14ac:dyDescent="0.2">
      <c r="AD193" s="266">
        <f>SUM(AD190:AD191)</f>
        <v>139.67869575015317</v>
      </c>
      <c r="AE193" s="266">
        <f>SUM(AE190:AE191)</f>
        <v>147.92180160887699</v>
      </c>
    </row>
  </sheetData>
  <mergeCells count="16">
    <mergeCell ref="B59:B67"/>
    <mergeCell ref="B68:C68"/>
    <mergeCell ref="B5:B13"/>
    <mergeCell ref="B14:B22"/>
    <mergeCell ref="B23:B31"/>
    <mergeCell ref="B32:B40"/>
    <mergeCell ref="B41:B49"/>
    <mergeCell ref="B50:B58"/>
    <mergeCell ref="B171:B179"/>
    <mergeCell ref="B180:B188"/>
    <mergeCell ref="B189:C189"/>
    <mergeCell ref="B126:B134"/>
    <mergeCell ref="B135:B143"/>
    <mergeCell ref="B144:B152"/>
    <mergeCell ref="B153:B161"/>
    <mergeCell ref="B162:B170"/>
  </mergeCells>
  <pageMargins left="0.7" right="0.7" top="0.75" bottom="0.75" header="0.3" footer="0.3"/>
  <pageSetup orientation="portrait" r:id="rId1"/>
  <ignoredErrors>
    <ignoredError sqref="K88:AE88 K77:AE7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226"/>
  <sheetViews>
    <sheetView showGridLines="0" zoomScale="90" zoomScaleNormal="90" workbookViewId="0">
      <selection activeCell="A7" sqref="A7"/>
    </sheetView>
  </sheetViews>
  <sheetFormatPr defaultColWidth="9.140625" defaultRowHeight="12.75" x14ac:dyDescent="0.2"/>
  <cols>
    <col min="1" max="1" width="7.7109375" style="126" customWidth="1"/>
    <col min="2" max="2" width="50.85546875" style="127" customWidth="1"/>
    <col min="3" max="3" width="14.140625" style="127" customWidth="1"/>
    <col min="4" max="4" width="2.7109375" style="127" customWidth="1"/>
    <col min="5" max="5" width="10.28515625" style="127" bestFit="1" customWidth="1"/>
    <col min="6" max="6" width="9.7109375" style="127" customWidth="1"/>
    <col min="7" max="8" width="9.7109375" style="127" bestFit="1" customWidth="1"/>
    <col min="9" max="9" width="3" style="127" customWidth="1"/>
    <col min="10" max="10" width="12.42578125" style="127" bestFit="1" customWidth="1"/>
    <col min="11" max="11" width="35.5703125" style="127" customWidth="1"/>
    <col min="12" max="16" width="11.140625" style="127" customWidth="1"/>
    <col min="17" max="17" width="16.140625" style="127" bestFit="1" customWidth="1"/>
    <col min="18" max="18" width="11.140625" style="127" customWidth="1"/>
    <col min="19" max="19" width="15.5703125" style="127" bestFit="1" customWidth="1"/>
    <col min="20" max="20" width="11.140625" style="127" customWidth="1"/>
    <col min="21" max="21" width="7.7109375" style="127" bestFit="1" customWidth="1"/>
    <col min="22" max="23" width="11.140625" style="127" customWidth="1"/>
    <col min="24" max="16384" width="9.140625" style="127"/>
  </cols>
  <sheetData>
    <row r="1" spans="1:24" x14ac:dyDescent="0.2">
      <c r="A1" s="163"/>
      <c r="B1" s="229">
        <v>0</v>
      </c>
      <c r="C1" s="229"/>
      <c r="D1" s="229"/>
      <c r="E1" s="229"/>
      <c r="F1" s="229"/>
      <c r="G1" s="163"/>
      <c r="H1" s="163"/>
      <c r="I1" s="164"/>
      <c r="J1" s="164"/>
      <c r="K1" s="133"/>
      <c r="L1" s="133"/>
      <c r="M1" s="133"/>
      <c r="N1" s="133"/>
      <c r="O1" s="133"/>
      <c r="P1" s="133"/>
      <c r="Q1" s="133"/>
      <c r="R1" s="133"/>
      <c r="S1" s="133"/>
      <c r="T1" s="133"/>
      <c r="U1" s="133"/>
      <c r="V1" s="133"/>
      <c r="W1" s="133"/>
      <c r="X1" s="133"/>
    </row>
    <row r="2" spans="1:24" ht="15.75" x14ac:dyDescent="0.25">
      <c r="A2" s="163"/>
      <c r="B2" s="163"/>
      <c r="C2" s="164"/>
      <c r="D2" s="230"/>
      <c r="E2" s="163"/>
      <c r="F2" s="163"/>
      <c r="G2" s="163"/>
      <c r="H2" s="163"/>
      <c r="I2" s="164"/>
      <c r="J2" s="164"/>
      <c r="K2" s="133"/>
      <c r="L2" s="133"/>
      <c r="M2" s="133"/>
      <c r="N2" s="133"/>
      <c r="O2" s="133"/>
      <c r="P2" s="133"/>
      <c r="Q2" s="133"/>
      <c r="R2" s="133"/>
      <c r="S2" s="133"/>
      <c r="T2" s="133"/>
      <c r="U2" s="133"/>
      <c r="V2" s="133"/>
      <c r="W2" s="133"/>
      <c r="X2" s="133"/>
    </row>
    <row r="3" spans="1:24" x14ac:dyDescent="0.2">
      <c r="A3" s="163"/>
      <c r="B3" s="163"/>
      <c r="C3" s="164"/>
      <c r="D3" s="164"/>
      <c r="E3" s="164"/>
      <c r="F3" s="164"/>
      <c r="G3" s="164"/>
      <c r="H3" s="164"/>
      <c r="I3" s="164"/>
      <c r="J3" s="164"/>
      <c r="K3" s="133"/>
      <c r="L3" s="133"/>
      <c r="M3" s="133"/>
      <c r="N3" s="133"/>
      <c r="O3" s="133"/>
      <c r="P3" s="133"/>
      <c r="Q3" s="133"/>
      <c r="R3" s="133"/>
      <c r="S3" s="133"/>
      <c r="T3" s="133"/>
      <c r="U3" s="133"/>
      <c r="V3" s="133"/>
      <c r="W3" s="133"/>
      <c r="X3" s="133"/>
    </row>
    <row r="4" spans="1:24" ht="20.25" x14ac:dyDescent="0.3">
      <c r="A4" s="163"/>
      <c r="B4" s="163"/>
      <c r="C4" s="978" t="s">
        <v>194</v>
      </c>
      <c r="D4" s="978"/>
      <c r="E4" s="978"/>
      <c r="F4" s="978"/>
      <c r="G4" s="978"/>
      <c r="H4" s="978"/>
      <c r="I4" s="978"/>
      <c r="J4" s="164"/>
      <c r="K4" s="133"/>
      <c r="L4" s="133"/>
      <c r="M4" s="133"/>
      <c r="N4" s="133"/>
      <c r="O4" s="133"/>
      <c r="P4" s="133"/>
      <c r="Q4" s="133"/>
      <c r="R4" s="133"/>
      <c r="S4" s="133"/>
      <c r="T4" s="133"/>
      <c r="U4" s="133"/>
      <c r="V4" s="133"/>
      <c r="W4" s="133"/>
      <c r="X4" s="133"/>
    </row>
    <row r="5" spans="1:24" ht="15.75" x14ac:dyDescent="0.25">
      <c r="A5" s="163"/>
      <c r="B5" s="163"/>
      <c r="C5" s="979"/>
      <c r="D5" s="979"/>
      <c r="E5" s="979"/>
      <c r="F5" s="979"/>
      <c r="G5" s="979"/>
      <c r="H5" s="979"/>
      <c r="I5" s="164"/>
      <c r="J5" s="164"/>
      <c r="K5" s="133"/>
      <c r="L5" s="133"/>
      <c r="M5" s="133"/>
      <c r="N5" s="133"/>
      <c r="O5" s="133"/>
      <c r="P5" s="133"/>
      <c r="Q5" s="133"/>
      <c r="R5" s="133"/>
      <c r="S5" s="133"/>
      <c r="T5" s="133"/>
      <c r="U5" s="133"/>
      <c r="V5" s="133"/>
      <c r="W5" s="133"/>
      <c r="X5" s="133"/>
    </row>
    <row r="6" spans="1:24" ht="15.75" x14ac:dyDescent="0.25">
      <c r="A6" s="163"/>
      <c r="B6" s="163"/>
      <c r="C6" s="231"/>
      <c r="D6" s="232"/>
      <c r="E6" s="233"/>
      <c r="F6" s="234"/>
      <c r="G6" s="234"/>
      <c r="H6" s="234"/>
      <c r="I6" s="164"/>
      <c r="J6" s="164"/>
      <c r="K6" s="133"/>
      <c r="L6" s="133"/>
      <c r="M6" s="133"/>
      <c r="N6" s="133"/>
      <c r="O6" s="133"/>
      <c r="P6" s="133"/>
      <c r="Q6" s="133"/>
      <c r="R6" s="133"/>
      <c r="S6" s="133"/>
      <c r="T6" s="133"/>
      <c r="U6" s="133"/>
      <c r="V6" s="133"/>
      <c r="W6" s="133"/>
      <c r="X6" s="133"/>
    </row>
    <row r="7" spans="1:24" ht="15.75" x14ac:dyDescent="0.2">
      <c r="A7" s="163"/>
      <c r="B7" s="980" t="s">
        <v>340</v>
      </c>
      <c r="C7" s="980"/>
      <c r="D7" s="980"/>
      <c r="E7" s="980"/>
      <c r="F7" s="980"/>
      <c r="G7" s="980"/>
      <c r="H7" s="980"/>
      <c r="I7" s="164"/>
      <c r="J7" s="164"/>
      <c r="K7" s="133"/>
      <c r="L7" s="133"/>
      <c r="M7" s="133"/>
      <c r="N7" s="133"/>
      <c r="O7" s="133"/>
      <c r="P7" s="133"/>
      <c r="Q7" s="133"/>
      <c r="R7" s="133"/>
      <c r="S7" s="133"/>
      <c r="T7" s="133"/>
      <c r="U7" s="133"/>
      <c r="V7" s="133"/>
      <c r="W7" s="133"/>
      <c r="X7" s="133"/>
    </row>
    <row r="8" spans="1:24" ht="15.75" thickBot="1" x14ac:dyDescent="0.25">
      <c r="A8" s="163"/>
      <c r="B8" s="981"/>
      <c r="C8" s="981"/>
      <c r="D8" s="981"/>
      <c r="E8" s="981"/>
      <c r="F8" s="981"/>
      <c r="G8" s="981"/>
      <c r="H8" s="981"/>
      <c r="I8" s="164"/>
      <c r="J8" s="164"/>
      <c r="K8" s="408" t="s">
        <v>440</v>
      </c>
      <c r="L8" s="325"/>
      <c r="M8" s="325"/>
      <c r="N8" s="133"/>
      <c r="O8" s="133"/>
      <c r="P8" s="133"/>
      <c r="Q8" s="133"/>
      <c r="R8" s="133"/>
      <c r="S8" s="133"/>
      <c r="T8" s="133"/>
      <c r="U8" s="133"/>
      <c r="V8" s="133"/>
      <c r="W8" s="133"/>
      <c r="X8" s="133"/>
    </row>
    <row r="9" spans="1:24" ht="67.5" x14ac:dyDescent="0.2">
      <c r="A9" s="163"/>
      <c r="B9" s="165"/>
      <c r="C9" s="268" t="s">
        <v>343</v>
      </c>
      <c r="D9" s="269"/>
      <c r="E9" s="269" t="s">
        <v>344</v>
      </c>
      <c r="F9" s="166"/>
      <c r="G9" s="166"/>
      <c r="H9" s="166"/>
      <c r="I9" s="167"/>
      <c r="J9" s="164"/>
      <c r="K9" s="328" t="s">
        <v>239</v>
      </c>
      <c r="L9" s="329" t="s">
        <v>240</v>
      </c>
      <c r="M9" s="330" t="s">
        <v>241</v>
      </c>
      <c r="N9" s="331"/>
      <c r="O9" s="331"/>
      <c r="P9" s="331"/>
      <c r="Q9" s="133"/>
      <c r="R9" s="133"/>
      <c r="S9" s="133"/>
      <c r="T9" s="133"/>
      <c r="U9" s="133"/>
      <c r="V9" s="133"/>
      <c r="W9" s="133"/>
      <c r="X9" s="133"/>
    </row>
    <row r="10" spans="1:24" x14ac:dyDescent="0.2">
      <c r="A10" s="163"/>
      <c r="B10" s="168" t="s">
        <v>242</v>
      </c>
      <c r="C10" s="169">
        <f>(Assumptions!J15+Assumptions!M15)/10^6</f>
        <v>136.75027301</v>
      </c>
      <c r="D10" s="170"/>
      <c r="E10" s="277">
        <f>C10*(99.991/106.442)</f>
        <v>128.46241660756948</v>
      </c>
      <c r="F10" s="170"/>
      <c r="G10" s="170"/>
      <c r="H10" s="170"/>
      <c r="I10" s="171"/>
      <c r="J10" s="164"/>
      <c r="K10" s="332" t="s">
        <v>243</v>
      </c>
      <c r="L10" s="333">
        <f>E32</f>
        <v>1.9468450395293869E-2</v>
      </c>
      <c r="M10" s="461">
        <f>R18</f>
        <v>0.12986127040254</v>
      </c>
      <c r="N10" s="109"/>
      <c r="O10" s="109"/>
      <c r="P10" s="109"/>
      <c r="Q10" s="133"/>
      <c r="R10" s="133"/>
      <c r="S10" s="133"/>
      <c r="T10" s="133"/>
      <c r="U10" s="133"/>
      <c r="V10" s="133"/>
      <c r="W10" s="133"/>
      <c r="X10" s="133"/>
    </row>
    <row r="11" spans="1:24" x14ac:dyDescent="0.2">
      <c r="A11" s="163"/>
      <c r="B11" s="168" t="s">
        <v>244</v>
      </c>
      <c r="C11" s="172">
        <f>Summary!K5</f>
        <v>0.12342965734922751</v>
      </c>
      <c r="D11" s="170"/>
      <c r="E11" s="277"/>
      <c r="F11" s="170"/>
      <c r="G11" s="170"/>
      <c r="H11" s="170"/>
      <c r="I11" s="171"/>
      <c r="J11" s="164"/>
      <c r="K11" s="332" t="s">
        <v>245</v>
      </c>
      <c r="L11" s="333">
        <f>F32-E32</f>
        <v>0.11776837084296209</v>
      </c>
      <c r="M11" s="461">
        <f>R19</f>
        <v>0.20797313119002922</v>
      </c>
      <c r="N11" s="109"/>
      <c r="O11" s="109"/>
      <c r="P11" s="109"/>
      <c r="Q11" s="133"/>
      <c r="R11" s="133"/>
      <c r="S11" s="133"/>
      <c r="T11" s="133"/>
      <c r="U11" s="133"/>
      <c r="V11" s="133"/>
      <c r="W11" s="133"/>
      <c r="X11" s="133"/>
    </row>
    <row r="12" spans="1:24" x14ac:dyDescent="0.2">
      <c r="A12" s="163"/>
      <c r="B12" s="174" t="s">
        <v>366</v>
      </c>
      <c r="C12" s="173">
        <f>Summary!K8</f>
        <v>102.63683806527479</v>
      </c>
      <c r="D12" s="170"/>
      <c r="E12" s="277">
        <f>C12*(99.991/106.442)</f>
        <v>96.416452856813024</v>
      </c>
      <c r="F12" s="170"/>
      <c r="G12" s="170"/>
      <c r="H12" s="170"/>
      <c r="I12" s="171"/>
      <c r="J12" s="164"/>
      <c r="K12" s="332" t="s">
        <v>246</v>
      </c>
      <c r="L12" s="333">
        <f>G32</f>
        <v>0.41422069944184758</v>
      </c>
      <c r="M12" s="461">
        <f>R20</f>
        <v>0.30390330026229645</v>
      </c>
      <c r="N12" s="109"/>
      <c r="O12" s="109"/>
      <c r="P12" s="109"/>
      <c r="Q12" s="133"/>
      <c r="R12" s="133"/>
      <c r="S12" s="133"/>
      <c r="T12" s="133"/>
      <c r="U12" s="133"/>
      <c r="V12" s="133"/>
      <c r="W12" s="133"/>
      <c r="X12" s="133"/>
    </row>
    <row r="13" spans="1:24" x14ac:dyDescent="0.2">
      <c r="A13" s="163"/>
      <c r="B13" s="174" t="s">
        <v>247</v>
      </c>
      <c r="C13" s="169">
        <f>Summary!K9</f>
        <v>123.59293405253592</v>
      </c>
      <c r="D13" s="170"/>
      <c r="E13" s="277">
        <f t="shared" ref="E13" si="0">C13*(99.991/106.442)</f>
        <v>116.10248838660604</v>
      </c>
      <c r="F13" s="170"/>
      <c r="G13" s="170"/>
      <c r="H13" s="170"/>
      <c r="I13" s="171"/>
      <c r="J13" s="164"/>
      <c r="K13" s="334" t="s">
        <v>248</v>
      </c>
      <c r="L13" s="335">
        <f>H32</f>
        <v>0.65271961866175265</v>
      </c>
      <c r="M13" s="462">
        <f>R21</f>
        <v>0.35826229814513438</v>
      </c>
      <c r="N13" s="109"/>
      <c r="O13" s="109"/>
      <c r="P13" s="109"/>
      <c r="Q13" s="133"/>
      <c r="R13" s="133"/>
      <c r="S13" s="133"/>
      <c r="T13" s="133"/>
      <c r="U13" s="133"/>
      <c r="V13" s="133"/>
      <c r="W13" s="133"/>
      <c r="X13" s="133"/>
    </row>
    <row r="14" spans="1:24" x14ac:dyDescent="0.2">
      <c r="A14" s="163"/>
      <c r="B14" s="175"/>
      <c r="C14" s="170"/>
      <c r="D14" s="170"/>
      <c r="E14" s="982" t="s">
        <v>341</v>
      </c>
      <c r="F14" s="982"/>
      <c r="G14" s="982"/>
      <c r="H14" s="982"/>
      <c r="I14" s="171"/>
      <c r="J14" s="164"/>
      <c r="N14" s="133"/>
      <c r="O14" s="133"/>
      <c r="P14" s="133"/>
      <c r="Q14" s="133"/>
      <c r="R14" s="133"/>
      <c r="S14" s="133"/>
      <c r="T14" s="133"/>
      <c r="U14" s="133"/>
      <c r="V14" s="133"/>
      <c r="W14" s="133"/>
      <c r="X14" s="133"/>
    </row>
    <row r="15" spans="1:24" ht="13.5" x14ac:dyDescent="0.2">
      <c r="A15" s="163"/>
      <c r="B15" s="176" t="s">
        <v>249</v>
      </c>
      <c r="C15" s="177" t="s">
        <v>0</v>
      </c>
      <c r="D15" s="178"/>
      <c r="E15" s="177" t="s">
        <v>250</v>
      </c>
      <c r="F15" s="177" t="s">
        <v>251</v>
      </c>
      <c r="G15" s="177" t="s">
        <v>252</v>
      </c>
      <c r="H15" s="177" t="s">
        <v>253</v>
      </c>
      <c r="I15" s="171"/>
      <c r="J15" s="164"/>
      <c r="K15" s="133"/>
      <c r="L15" s="133"/>
      <c r="M15" s="133"/>
      <c r="N15" s="133"/>
      <c r="O15" s="133"/>
      <c r="P15" s="133"/>
      <c r="Q15" s="133"/>
      <c r="R15" s="133"/>
      <c r="S15" s="133"/>
      <c r="T15" s="133"/>
      <c r="U15" s="133"/>
      <c r="V15" s="133"/>
      <c r="W15" s="133"/>
      <c r="X15" s="133"/>
    </row>
    <row r="16" spans="1:24" x14ac:dyDescent="0.2">
      <c r="A16" s="163"/>
      <c r="B16" s="179"/>
      <c r="C16" s="180"/>
      <c r="D16" s="181"/>
      <c r="E16" s="180"/>
      <c r="F16" s="180"/>
      <c r="G16" s="180"/>
      <c r="H16" s="180"/>
      <c r="I16" s="171"/>
      <c r="J16" s="164"/>
      <c r="K16" s="133" t="s">
        <v>290</v>
      </c>
      <c r="L16" s="133"/>
      <c r="M16" s="133"/>
      <c r="N16" s="133"/>
      <c r="O16" s="133"/>
      <c r="P16" s="133"/>
      <c r="Q16" s="133"/>
      <c r="R16" s="133"/>
      <c r="S16" s="128"/>
      <c r="T16" s="128"/>
      <c r="U16" s="128"/>
      <c r="V16" s="128"/>
      <c r="W16" s="133"/>
      <c r="X16" s="133"/>
    </row>
    <row r="17" spans="1:24" ht="22.5" x14ac:dyDescent="0.2">
      <c r="A17" s="163"/>
      <c r="B17" s="182" t="s">
        <v>254</v>
      </c>
      <c r="C17" s="183">
        <f>Beneficiaries!AD68</f>
        <v>419118.27006983</v>
      </c>
      <c r="D17" s="184"/>
      <c r="E17" s="185"/>
      <c r="F17" s="185"/>
      <c r="G17" s="185"/>
      <c r="H17" s="185"/>
      <c r="I17" s="171"/>
      <c r="J17" s="164"/>
      <c r="K17" s="336" t="s">
        <v>305</v>
      </c>
      <c r="L17" s="337" t="s">
        <v>291</v>
      </c>
      <c r="M17" s="337" t="s">
        <v>238</v>
      </c>
      <c r="N17" s="337" t="s">
        <v>292</v>
      </c>
      <c r="O17" s="337" t="s">
        <v>300</v>
      </c>
      <c r="P17" s="337" t="s">
        <v>413</v>
      </c>
      <c r="Q17" s="337" t="s">
        <v>302</v>
      </c>
      <c r="R17" s="338" t="s">
        <v>303</v>
      </c>
      <c r="S17" s="251"/>
      <c r="T17" s="251"/>
      <c r="U17" s="251"/>
      <c r="V17" s="251"/>
      <c r="W17" s="133"/>
      <c r="X17" s="133"/>
    </row>
    <row r="18" spans="1:24" x14ac:dyDescent="0.2">
      <c r="A18" s="163"/>
      <c r="B18" s="186" t="s">
        <v>255</v>
      </c>
      <c r="C18" s="187">
        <f>Beneficiaries!AD78</f>
        <v>1747050.9002128162</v>
      </c>
      <c r="D18" s="184"/>
      <c r="E18" s="188"/>
      <c r="F18" s="188"/>
      <c r="G18" s="188"/>
      <c r="H18" s="188"/>
      <c r="I18" s="171"/>
      <c r="J18" s="164"/>
      <c r="K18" s="339" t="s">
        <v>386</v>
      </c>
      <c r="L18" s="340">
        <v>0.28010000000000002</v>
      </c>
      <c r="M18" s="341">
        <v>5.8737269999999997</v>
      </c>
      <c r="N18" s="340">
        <f>(L18*M18)/SUMPRODUCT(L$18:L$21,M$18:M$21)</f>
        <v>0.33714634305726604</v>
      </c>
      <c r="O18" s="342">
        <f>N18*Beneficiaries!$AE$103</f>
        <v>23199122.549665727</v>
      </c>
      <c r="P18" s="343">
        <v>0.88483239999999996</v>
      </c>
      <c r="Q18" s="344">
        <f>O18*P18</f>
        <v>20527335.283514842</v>
      </c>
      <c r="R18" s="345">
        <f>Q18/SUM(Q$18:Q$21)</f>
        <v>0.12986127040254</v>
      </c>
      <c r="S18" s="252"/>
      <c r="T18" s="250"/>
      <c r="U18" s="250"/>
      <c r="V18" s="250"/>
      <c r="W18" s="133"/>
      <c r="X18" s="133"/>
    </row>
    <row r="19" spans="1:24" ht="13.5" x14ac:dyDescent="0.2">
      <c r="A19" s="163"/>
      <c r="B19" s="186" t="s">
        <v>256</v>
      </c>
      <c r="C19" s="187">
        <f>Beneficiaries!AE103</f>
        <v>68810245.246306106</v>
      </c>
      <c r="D19" s="184"/>
      <c r="E19" s="189"/>
      <c r="F19" s="189"/>
      <c r="G19" s="189"/>
      <c r="H19" s="189"/>
      <c r="I19" s="171"/>
      <c r="J19" s="164"/>
      <c r="K19" s="339" t="s">
        <v>389</v>
      </c>
      <c r="L19" s="340">
        <v>0.2661</v>
      </c>
      <c r="M19" s="341">
        <v>5.5066410000000001</v>
      </c>
      <c r="N19" s="340">
        <f>(L19*M19)/SUMPRODUCT(L$18:L$21,M$18:M$21)</f>
        <v>0.30027780021585587</v>
      </c>
      <c r="O19" s="342">
        <f>N19*Beneficiaries!$AE$103</f>
        <v>20662189.074874353</v>
      </c>
      <c r="P19" s="343">
        <v>1.5910500000000001</v>
      </c>
      <c r="Q19" s="344">
        <f t="shared" ref="Q19:Q21" si="1">O19*P19</f>
        <v>32874575.92757884</v>
      </c>
      <c r="R19" s="345">
        <f>Q19/SUM(Q$18:Q$21)</f>
        <v>0.20797313119002922</v>
      </c>
      <c r="S19" s="249"/>
      <c r="T19" s="250"/>
      <c r="U19" s="250"/>
      <c r="V19" s="250"/>
      <c r="W19" s="133"/>
      <c r="X19" s="133"/>
    </row>
    <row r="20" spans="1:24" x14ac:dyDescent="0.2">
      <c r="A20" s="163"/>
      <c r="B20" s="186"/>
      <c r="C20" s="190"/>
      <c r="D20" s="184"/>
      <c r="E20" s="189"/>
      <c r="F20" s="189"/>
      <c r="G20" s="189"/>
      <c r="H20" s="189"/>
      <c r="I20" s="171"/>
      <c r="J20" s="164"/>
      <c r="K20" s="339" t="s">
        <v>388</v>
      </c>
      <c r="L20" s="340">
        <v>0.27439999999999998</v>
      </c>
      <c r="M20" s="341">
        <v>4.5063510000000004</v>
      </c>
      <c r="N20" s="340">
        <f>(L20*M20)/SUMPRODUCT(L$18:L$21,M$18:M$21)</f>
        <v>0.25339655722974685</v>
      </c>
      <c r="O20" s="342">
        <f>N20*Beneficiaries!$AE$103</f>
        <v>17436279.247548521</v>
      </c>
      <c r="P20" s="343">
        <v>2.7550819999999998</v>
      </c>
      <c r="Q20" s="344">
        <f t="shared" si="1"/>
        <v>48038379.101894468</v>
      </c>
      <c r="R20" s="345">
        <f>Q20/SUM(Q$18:Q$21)</f>
        <v>0.30390330026229645</v>
      </c>
      <c r="S20" s="252"/>
      <c r="T20" s="250"/>
      <c r="U20" s="250"/>
      <c r="V20" s="250"/>
      <c r="W20" s="133"/>
      <c r="X20" s="133"/>
    </row>
    <row r="21" spans="1:24" ht="13.5" x14ac:dyDescent="0.2">
      <c r="A21" s="163"/>
      <c r="B21" s="186" t="s">
        <v>257</v>
      </c>
      <c r="C21" s="184"/>
      <c r="D21" s="184"/>
      <c r="E21" s="283">
        <f>L44</f>
        <v>4.3039200914612032E-2</v>
      </c>
      <c r="F21" s="283">
        <f>L48</f>
        <v>0.18407492204109485</v>
      </c>
      <c r="G21" s="283">
        <f>L46</f>
        <v>0.49403724859794756</v>
      </c>
      <c r="H21" s="283">
        <f>L47</f>
        <v>0.32188782936095767</v>
      </c>
      <c r="I21" s="191"/>
      <c r="J21" s="299"/>
      <c r="K21" s="339" t="s">
        <v>387</v>
      </c>
      <c r="L21" s="340">
        <v>0.17929999999999999</v>
      </c>
      <c r="M21" s="341">
        <v>2.9714499999999999</v>
      </c>
      <c r="N21" s="340">
        <f>(L21*M21)/SUMPRODUCT(L$18:L$21,M$18:M$21)</f>
        <v>0.10917929949713137</v>
      </c>
      <c r="O21" s="342">
        <f>N21*Beneficiaries!$AE$103</f>
        <v>7512654.3742175149</v>
      </c>
      <c r="P21" s="343">
        <v>7.5380779999999996</v>
      </c>
      <c r="Q21" s="344">
        <f t="shared" si="1"/>
        <v>56630974.659892812</v>
      </c>
      <c r="R21" s="345">
        <f>Q21/SUM(Q$18:Q$21)</f>
        <v>0.35826229814513438</v>
      </c>
      <c r="S21" s="249"/>
      <c r="T21" s="250"/>
      <c r="U21" s="250"/>
      <c r="V21" s="250"/>
      <c r="W21" s="133"/>
      <c r="X21" s="133"/>
    </row>
    <row r="22" spans="1:24" ht="13.5" x14ac:dyDescent="0.2">
      <c r="A22" s="163"/>
      <c r="B22" s="192" t="s">
        <v>258</v>
      </c>
      <c r="C22" s="193"/>
      <c r="D22" s="193"/>
      <c r="E22" s="279">
        <f>M10</f>
        <v>0.12986127040254</v>
      </c>
      <c r="F22" s="279">
        <f>M10+M11</f>
        <v>0.33783440159256922</v>
      </c>
      <c r="G22" s="279">
        <f>M12</f>
        <v>0.30390330026229645</v>
      </c>
      <c r="H22" s="877">
        <f>M13</f>
        <v>0.35826229814513438</v>
      </c>
      <c r="I22" s="171"/>
      <c r="J22" s="299"/>
      <c r="K22" s="878" t="s">
        <v>390</v>
      </c>
      <c r="L22" s="879">
        <f>L18+L19</f>
        <v>0.54620000000000002</v>
      </c>
      <c r="M22" s="880">
        <v>5.701308</v>
      </c>
      <c r="N22" s="879">
        <f>N18+N19</f>
        <v>0.63742414327312191</v>
      </c>
      <c r="O22" s="881">
        <f>O18+O19</f>
        <v>43861311.624540076</v>
      </c>
      <c r="P22" s="347">
        <v>1.206834</v>
      </c>
      <c r="Q22" s="348">
        <f>O22*P22</f>
        <v>52933322.153090194</v>
      </c>
      <c r="R22" s="349">
        <f>R18+R19</f>
        <v>0.33783440159256922</v>
      </c>
      <c r="S22" s="249"/>
      <c r="T22" s="250"/>
      <c r="U22" s="250"/>
      <c r="V22" s="250"/>
      <c r="W22" s="133"/>
      <c r="X22" s="133"/>
    </row>
    <row r="23" spans="1:24" x14ac:dyDescent="0.2">
      <c r="A23" s="194"/>
      <c r="B23" s="195"/>
      <c r="C23" s="196"/>
      <c r="D23" s="196"/>
      <c r="E23" s="197"/>
      <c r="F23" s="198"/>
      <c r="G23" s="198"/>
      <c r="H23" s="198"/>
      <c r="I23" s="171"/>
      <c r="J23" s="164"/>
      <c r="K23" s="133"/>
      <c r="L23" s="350"/>
      <c r="M23" s="133"/>
      <c r="N23" s="350"/>
      <c r="O23" s="133"/>
      <c r="P23" s="133"/>
      <c r="Q23" s="133"/>
      <c r="R23" s="350"/>
      <c r="S23" s="133"/>
      <c r="T23" s="133"/>
      <c r="U23" s="133"/>
      <c r="V23" s="133"/>
      <c r="W23" s="133"/>
      <c r="X23" s="133"/>
    </row>
    <row r="24" spans="1:24" ht="13.5" x14ac:dyDescent="0.2">
      <c r="A24" s="163"/>
      <c r="B24" s="176" t="s">
        <v>259</v>
      </c>
      <c r="C24" s="177"/>
      <c r="D24" s="178"/>
      <c r="E24" s="177"/>
      <c r="F24" s="177"/>
      <c r="G24" s="177"/>
      <c r="H24" s="177"/>
      <c r="I24" s="171"/>
      <c r="J24" s="164"/>
      <c r="K24" s="107" t="s">
        <v>310</v>
      </c>
      <c r="L24" s="351">
        <f>Beneficiaries!AE89/Beneficiaries!AE78</f>
        <v>0.94090833734565615</v>
      </c>
      <c r="M24" s="325" t="s">
        <v>328</v>
      </c>
      <c r="N24" s="248"/>
      <c r="O24" s="248"/>
      <c r="P24" s="248">
        <f>Beneficiaries!AE191/Beneficiaries!AE189</f>
        <v>0.93163818194474879</v>
      </c>
      <c r="Q24" s="248" t="s">
        <v>329</v>
      </c>
      <c r="R24" s="249"/>
      <c r="S24" s="323"/>
      <c r="T24" s="250"/>
      <c r="U24" s="250"/>
      <c r="V24" s="250"/>
      <c r="W24" s="133"/>
      <c r="X24" s="133"/>
    </row>
    <row r="25" spans="1:24" ht="33.75" x14ac:dyDescent="0.2">
      <c r="A25" s="163"/>
      <c r="B25" s="186" t="s">
        <v>342</v>
      </c>
      <c r="C25" s="271">
        <f>(C13*10^6)/C18</f>
        <v>70.7437511050654</v>
      </c>
      <c r="D25" s="270"/>
      <c r="E25" s="271">
        <f>C25*S44</f>
        <v>1.1437446901863044</v>
      </c>
      <c r="F25" s="271">
        <f>C25*S48</f>
        <v>8.0624745371231672</v>
      </c>
      <c r="G25" s="271">
        <f>C25*S46</f>
        <v>24.334896508578488</v>
      </c>
      <c r="H25" s="271">
        <f>C25*R47</f>
        <v>38.346380059363739</v>
      </c>
      <c r="I25" s="171"/>
      <c r="J25" s="298"/>
      <c r="K25" s="336" t="s">
        <v>305</v>
      </c>
      <c r="L25" s="337" t="s">
        <v>312</v>
      </c>
      <c r="M25" s="337" t="s">
        <v>238</v>
      </c>
      <c r="N25" s="337" t="s">
        <v>313</v>
      </c>
      <c r="O25" s="337" t="s">
        <v>314</v>
      </c>
      <c r="P25" s="337" t="s">
        <v>413</v>
      </c>
      <c r="Q25" s="337" t="s">
        <v>302</v>
      </c>
      <c r="R25" s="337" t="s">
        <v>303</v>
      </c>
      <c r="S25" s="337" t="s">
        <v>391</v>
      </c>
      <c r="T25" s="352" t="s">
        <v>288</v>
      </c>
      <c r="U25" s="324" t="s">
        <v>392</v>
      </c>
      <c r="V25" s="251"/>
      <c r="W25" s="251"/>
      <c r="X25" s="133"/>
    </row>
    <row r="26" spans="1:24" x14ac:dyDescent="0.2">
      <c r="A26" s="163"/>
      <c r="B26" s="186" t="s">
        <v>345</v>
      </c>
      <c r="C26" s="278">
        <f>C25*(99.991/106.442)</f>
        <v>66.45627117816835</v>
      </c>
      <c r="D26" s="278"/>
      <c r="E26" s="278">
        <f>E25*(99.991/106.442)</f>
        <v>1.0744271557883052</v>
      </c>
      <c r="F26" s="278">
        <f t="shared" ref="F26:H26" si="2">F25*(99.991/106.442)</f>
        <v>7.5738420120016787</v>
      </c>
      <c r="G26" s="278">
        <f t="shared" si="2"/>
        <v>22.860061223852163</v>
      </c>
      <c r="H26" s="278">
        <f t="shared" si="2"/>
        <v>36.022367942314503</v>
      </c>
      <c r="I26" s="199"/>
      <c r="J26" s="298"/>
      <c r="K26" s="339" t="s">
        <v>386</v>
      </c>
      <c r="L26" s="340">
        <v>9.7999999999999997E-3</v>
      </c>
      <c r="M26" s="341">
        <v>11</v>
      </c>
      <c r="N26" s="340">
        <f>(L26*M26)/SUMPRODUCT(L$26:L$29,M$26:M$29)</f>
        <v>2.5553549885659832E-2</v>
      </c>
      <c r="O26" s="342">
        <f>N26*Beneficiaries!$AE$89</f>
        <v>42971.424371210451</v>
      </c>
      <c r="P26" s="343">
        <v>0.57134569999999996</v>
      </c>
      <c r="Q26" s="342">
        <f>O26*P26</f>
        <v>24551.538537366294</v>
      </c>
      <c r="R26" s="340">
        <f>Q26/SUM(Q$28:Q$30)</f>
        <v>3.1177331310508283E-3</v>
      </c>
      <c r="S26" s="342">
        <f>6.88*10^8</f>
        <v>688000000</v>
      </c>
      <c r="T26" s="353">
        <f>S26/SUM(S$28:S$30)</f>
        <v>7.6573769032143172E-3</v>
      </c>
      <c r="U26" s="974">
        <v>0.55200000000000005</v>
      </c>
      <c r="V26" s="250"/>
      <c r="W26" s="250"/>
      <c r="X26" s="133"/>
    </row>
    <row r="27" spans="1:24" x14ac:dyDescent="0.2">
      <c r="A27" s="163"/>
      <c r="B27" s="201" t="s">
        <v>260</v>
      </c>
      <c r="C27" s="202">
        <f>C25/(N49*365)</f>
        <v>4.2850236762419745E-2</v>
      </c>
      <c r="D27" s="203"/>
      <c r="E27" s="279">
        <f>E26/(N44*365)</f>
        <v>4.0969722727623422E-3</v>
      </c>
      <c r="F27" s="279">
        <f>F26/(N45*365)</f>
        <v>1.3078471612325875E-2</v>
      </c>
      <c r="G27" s="279">
        <f>G26/(N46*365)</f>
        <v>2.1502040711811974E-2</v>
      </c>
      <c r="H27" s="279">
        <f>H26/(N47*365)</f>
        <v>1.1227438629223482E-2</v>
      </c>
      <c r="I27" s="171"/>
      <c r="J27" s="300"/>
      <c r="K27" s="339" t="s">
        <v>389</v>
      </c>
      <c r="L27" s="340">
        <v>9.5899999999999999E-2</v>
      </c>
      <c r="M27" s="341">
        <v>5.633375</v>
      </c>
      <c r="N27" s="340">
        <f t="shared" ref="N27:N29" si="3">(L27*M27)/SUMPRODUCT(L$26:L$29,M$26:M$29)</f>
        <v>0.12806184340867965</v>
      </c>
      <c r="O27" s="342">
        <f>N27*Beneficiaries!$AE$89</f>
        <v>215351.67690975303</v>
      </c>
      <c r="P27" s="343">
        <v>1.587404</v>
      </c>
      <c r="Q27" s="342">
        <f t="shared" ref="Q27:Q29" si="4">O27*P27</f>
        <v>341850.11333324964</v>
      </c>
      <c r="R27" s="340">
        <f t="shared" ref="R27:R30" si="5">Q27/SUM(Q$26:Q$29)</f>
        <v>4.3410616510670366E-2</v>
      </c>
      <c r="S27" s="342">
        <f>7.56*10^9</f>
        <v>7560000000</v>
      </c>
      <c r="T27" s="353">
        <f t="shared" ref="T27:T29" si="6">S27/SUM(S$28:S$30)</f>
        <v>8.4142106669041053E-2</v>
      </c>
      <c r="U27" s="974"/>
      <c r="V27" s="250"/>
      <c r="W27" s="250"/>
      <c r="X27" s="133"/>
    </row>
    <row r="28" spans="1:24" x14ac:dyDescent="0.2">
      <c r="A28" s="163"/>
      <c r="B28" s="204"/>
      <c r="C28" s="196"/>
      <c r="D28" s="196"/>
      <c r="E28" s="205"/>
      <c r="F28" s="205"/>
      <c r="G28" s="205"/>
      <c r="H28" s="205"/>
      <c r="I28" s="171"/>
      <c r="J28" s="164"/>
      <c r="K28" s="339" t="s">
        <v>388</v>
      </c>
      <c r="L28" s="340">
        <v>0.42530000000000001</v>
      </c>
      <c r="M28" s="341">
        <v>5.0349279999999998</v>
      </c>
      <c r="N28" s="340">
        <f t="shared" si="3"/>
        <v>0.50759943142945685</v>
      </c>
      <c r="O28" s="342">
        <f>N28*Beneficiaries!$AE$89</f>
        <v>853590.62346092903</v>
      </c>
      <c r="P28" s="343">
        <v>2.9189980000000002</v>
      </c>
      <c r="Q28" s="342">
        <f t="shared" si="4"/>
        <v>2491629.322701205</v>
      </c>
      <c r="R28" s="340">
        <f t="shared" si="5"/>
        <v>0.31640523374371804</v>
      </c>
      <c r="S28" s="342">
        <f>3.06*10^10</f>
        <v>30600000000</v>
      </c>
      <c r="T28" s="353">
        <f t="shared" si="6"/>
        <v>0.34057519366040423</v>
      </c>
      <c r="U28" s="974"/>
      <c r="V28" s="250"/>
      <c r="W28" s="250"/>
      <c r="X28" s="133"/>
    </row>
    <row r="29" spans="1:24" x14ac:dyDescent="0.2">
      <c r="A29" s="163"/>
      <c r="B29" s="176" t="s">
        <v>261</v>
      </c>
      <c r="C29" s="206"/>
      <c r="D29" s="206"/>
      <c r="E29" s="207"/>
      <c r="F29" s="207"/>
      <c r="G29" s="207"/>
      <c r="H29" s="207"/>
      <c r="I29" s="171"/>
      <c r="J29" s="164"/>
      <c r="K29" s="339" t="s">
        <v>387</v>
      </c>
      <c r="L29" s="340">
        <v>0.46889999999999998</v>
      </c>
      <c r="M29" s="341">
        <v>3.0479769999999999</v>
      </c>
      <c r="N29" s="340">
        <f t="shared" si="3"/>
        <v>0.33878517527620367</v>
      </c>
      <c r="O29" s="342">
        <f>N29*Beneficiaries!$AE$89</f>
        <v>569708.77246446221</v>
      </c>
      <c r="P29" s="343">
        <v>8.8058560000000003</v>
      </c>
      <c r="Q29" s="342">
        <f t="shared" si="4"/>
        <v>5016773.4122588197</v>
      </c>
      <c r="R29" s="340">
        <f t="shared" si="5"/>
        <v>0.63706641661456076</v>
      </c>
      <c r="S29" s="342">
        <f>5.1*10^10</f>
        <v>51000000000</v>
      </c>
      <c r="T29" s="353">
        <f t="shared" si="6"/>
        <v>0.56762532276734035</v>
      </c>
      <c r="U29" s="974"/>
      <c r="V29" s="250"/>
      <c r="W29" s="250"/>
      <c r="X29" s="133"/>
    </row>
    <row r="30" spans="1:24" x14ac:dyDescent="0.2">
      <c r="A30" s="163"/>
      <c r="B30" s="175"/>
      <c r="C30" s="208"/>
      <c r="D30" s="208"/>
      <c r="E30" s="209"/>
      <c r="F30" s="209"/>
      <c r="G30" s="209"/>
      <c r="H30" s="209"/>
      <c r="I30" s="171"/>
      <c r="J30" s="164"/>
      <c r="K30" s="346" t="s">
        <v>390</v>
      </c>
      <c r="L30" s="354">
        <f>L26+L27</f>
        <v>0.1057</v>
      </c>
      <c r="M30" s="355">
        <v>6.1318440000000001</v>
      </c>
      <c r="N30" s="354">
        <f>N26+N27</f>
        <v>0.15361539329433949</v>
      </c>
      <c r="O30" s="356">
        <f>N30*Beneficiaries!$AE$89</f>
        <v>258323.10128096348</v>
      </c>
      <c r="P30" s="357">
        <v>1.4930289999999999</v>
      </c>
      <c r="Q30" s="356">
        <f>Q26+Q27</f>
        <v>366401.65187061595</v>
      </c>
      <c r="R30" s="354">
        <f t="shared" si="5"/>
        <v>4.6528349641721194E-2</v>
      </c>
      <c r="S30" s="356">
        <f>SUM(S26:S27)</f>
        <v>8248000000</v>
      </c>
      <c r="T30" s="358">
        <f>S30/SUM(S$28:S$30)</f>
        <v>9.1799483572255369E-2</v>
      </c>
      <c r="U30" s="974"/>
      <c r="V30" s="250"/>
      <c r="W30" s="250"/>
      <c r="X30" s="133"/>
    </row>
    <row r="31" spans="1:24" x14ac:dyDescent="0.2">
      <c r="A31" s="163"/>
      <c r="B31" s="175"/>
      <c r="C31" s="305"/>
      <c r="D31" s="208"/>
      <c r="E31" s="209"/>
      <c r="F31" s="209"/>
      <c r="G31" s="209"/>
      <c r="H31" s="209"/>
      <c r="I31" s="171"/>
      <c r="J31" s="164"/>
      <c r="K31" s="246"/>
      <c r="L31" s="248"/>
      <c r="M31" s="359"/>
      <c r="N31" s="248"/>
      <c r="O31" s="326"/>
      <c r="P31" s="359"/>
      <c r="Q31" s="326"/>
      <c r="R31" s="248"/>
      <c r="S31" s="133"/>
      <c r="T31" s="252"/>
      <c r="U31" s="250"/>
      <c r="V31" s="250"/>
      <c r="W31" s="250"/>
      <c r="X31" s="133"/>
    </row>
    <row r="32" spans="1:24" x14ac:dyDescent="0.2">
      <c r="A32" s="163"/>
      <c r="B32" s="210" t="s">
        <v>262</v>
      </c>
      <c r="C32" s="280">
        <f>C13/C12</f>
        <v>1.2041771393418561</v>
      </c>
      <c r="D32" s="208"/>
      <c r="E32" s="882">
        <f>$C32*S44</f>
        <v>1.9468450395293869E-2</v>
      </c>
      <c r="F32" s="882">
        <f>$C32*S48</f>
        <v>0.13723682123825595</v>
      </c>
      <c r="G32" s="882">
        <f>$C32*S46</f>
        <v>0.41422069944184758</v>
      </c>
      <c r="H32" s="882">
        <f>$C32*S47</f>
        <v>0.65271961866175265</v>
      </c>
      <c r="I32" s="171"/>
      <c r="J32" s="164"/>
      <c r="K32" s="133"/>
      <c r="L32" s="350"/>
      <c r="M32" s="350"/>
      <c r="N32" s="350"/>
      <c r="O32" s="133"/>
      <c r="P32" s="133"/>
      <c r="Q32" s="133"/>
      <c r="R32" s="350"/>
      <c r="S32" s="326"/>
      <c r="T32" s="350"/>
      <c r="U32" s="133"/>
      <c r="V32" s="133"/>
      <c r="W32" s="133"/>
      <c r="X32" s="133"/>
    </row>
    <row r="33" spans="1:25" x14ac:dyDescent="0.2">
      <c r="A33" s="163"/>
      <c r="B33" s="192" t="s">
        <v>263</v>
      </c>
      <c r="C33" s="281">
        <f>C13/C10</f>
        <v>0.90378564760523783</v>
      </c>
      <c r="D33" s="211"/>
      <c r="E33" s="282">
        <f>C33*R44</f>
        <v>1.4611891783627316E-2</v>
      </c>
      <c r="F33" s="282">
        <f>C33*R48</f>
        <v>0.10300201299776504</v>
      </c>
      <c r="G33" s="282">
        <f>C33*R46</f>
        <v>0.31089007660546947</v>
      </c>
      <c r="H33" s="282">
        <f>C33*R47</f>
        <v>0.48989355800200324</v>
      </c>
      <c r="I33" s="171"/>
      <c r="J33" s="200"/>
      <c r="K33" s="107" t="s">
        <v>311</v>
      </c>
      <c r="L33" s="351">
        <f>Beneficiaries!AE99/Beneficiaries!AE78</f>
        <v>5.909166265434368E-2</v>
      </c>
      <c r="M33" s="325" t="s">
        <v>328</v>
      </c>
      <c r="N33" s="248">
        <f>SUM(N28:N30)</f>
        <v>1</v>
      </c>
      <c r="O33" s="248"/>
      <c r="P33" s="248">
        <f>Beneficiaries!AE190/Beneficiaries!AE189</f>
        <v>6.8361818055251197E-2</v>
      </c>
      <c r="Q33" s="248" t="s">
        <v>329</v>
      </c>
      <c r="R33" s="301"/>
      <c r="S33" s="304"/>
      <c r="T33" s="301"/>
      <c r="U33" s="250"/>
      <c r="V33" s="250"/>
      <c r="W33" s="133"/>
      <c r="X33" s="133"/>
    </row>
    <row r="34" spans="1:25" ht="33.75" x14ac:dyDescent="0.2">
      <c r="A34" s="163"/>
      <c r="B34" s="186"/>
      <c r="C34" s="212"/>
      <c r="D34" s="213"/>
      <c r="E34" s="214"/>
      <c r="F34" s="214"/>
      <c r="G34" s="214"/>
      <c r="H34" s="214"/>
      <c r="I34" s="171"/>
      <c r="J34" s="164"/>
      <c r="K34" s="336" t="s">
        <v>305</v>
      </c>
      <c r="L34" s="360" t="s">
        <v>312</v>
      </c>
      <c r="M34" s="360" t="s">
        <v>238</v>
      </c>
      <c r="N34" s="360" t="s">
        <v>313</v>
      </c>
      <c r="O34" s="360" t="s">
        <v>314</v>
      </c>
      <c r="P34" s="360" t="s">
        <v>413</v>
      </c>
      <c r="Q34" s="360" t="s">
        <v>302</v>
      </c>
      <c r="R34" s="360" t="s">
        <v>303</v>
      </c>
      <c r="S34" s="360" t="s">
        <v>391</v>
      </c>
      <c r="T34" s="352" t="s">
        <v>288</v>
      </c>
      <c r="U34" s="324" t="s">
        <v>392</v>
      </c>
      <c r="V34" s="251"/>
      <c r="W34" s="251"/>
      <c r="X34" s="133"/>
    </row>
    <row r="35" spans="1:25" x14ac:dyDescent="0.2">
      <c r="A35" s="163"/>
      <c r="B35" s="204"/>
      <c r="C35" s="196"/>
      <c r="D35" s="196"/>
      <c r="E35" s="205"/>
      <c r="F35" s="205"/>
      <c r="G35" s="205"/>
      <c r="H35" s="205"/>
      <c r="I35" s="171"/>
      <c r="J35" s="164"/>
      <c r="K35" s="339" t="s">
        <v>386</v>
      </c>
      <c r="L35" s="340">
        <v>0.26619999999999999</v>
      </c>
      <c r="M35" s="341">
        <v>6.4713640000000003</v>
      </c>
      <c r="N35" s="340">
        <f>(L35*M35)/SUMPRODUCT(L$35:L$38,M$35:M$38)</f>
        <v>0.32146079370843733</v>
      </c>
      <c r="O35" s="342">
        <f>N35*Beneficiaries!$AE$99</f>
        <v>33949.658849255953</v>
      </c>
      <c r="P35" s="343">
        <v>0.90473769999999998</v>
      </c>
      <c r="Q35" s="344">
        <f>O35*P35</f>
        <v>30715.536263060476</v>
      </c>
      <c r="R35" s="340">
        <f>Q35/SUM(Q$35:Q$38)</f>
        <v>0.14686762716631824</v>
      </c>
      <c r="S35" s="342">
        <f>2.22*10^10</f>
        <v>22200000000.000004</v>
      </c>
      <c r="T35" s="353">
        <f>S35/SUM(S$37:S$39)</f>
        <v>0.13214285714285717</v>
      </c>
      <c r="U35" s="975">
        <v>0.51649999999999996</v>
      </c>
      <c r="V35" s="250"/>
      <c r="W35" s="250"/>
      <c r="X35" s="128"/>
      <c r="Y35" s="126"/>
    </row>
    <row r="36" spans="1:25" ht="13.5" x14ac:dyDescent="0.2">
      <c r="A36" s="163"/>
      <c r="B36" s="168" t="s">
        <v>264</v>
      </c>
      <c r="C36" s="307">
        <f>T44</f>
        <v>0.54990224597577075</v>
      </c>
      <c r="D36" s="215"/>
      <c r="E36" s="216"/>
      <c r="F36" s="216"/>
      <c r="G36" s="216"/>
      <c r="H36" s="216"/>
      <c r="I36" s="171"/>
      <c r="J36" s="200"/>
      <c r="K36" s="339" t="s">
        <v>389</v>
      </c>
      <c r="L36" s="340">
        <v>0.31269999999999998</v>
      </c>
      <c r="M36" s="341">
        <v>5.9572929999999999</v>
      </c>
      <c r="N36" s="340">
        <f t="shared" ref="N36:N38" si="7">(L36*M36)/SUMPRODUCT(L$35:L$38,M$35:M$38)</f>
        <v>0.34761697411626807</v>
      </c>
      <c r="O36" s="342">
        <f>N36*Beneficiaries!$AE$99</f>
        <v>36712.028068224688</v>
      </c>
      <c r="P36" s="343">
        <v>1.5818570000000001</v>
      </c>
      <c r="Q36" s="344">
        <f t="shared" ref="Q36:Q38" si="8">O36*P36</f>
        <v>58073.178583917703</v>
      </c>
      <c r="R36" s="340">
        <f t="shared" ref="R36:R39" si="9">Q36/SUM(Q$35:Q$38)</f>
        <v>0.27767934336484906</v>
      </c>
      <c r="S36" s="342">
        <f>4.77*10^10</f>
        <v>47699999999.999992</v>
      </c>
      <c r="T36" s="353">
        <f t="shared" ref="T36:T39" si="10">S36/SUM(S$37:S$39)</f>
        <v>0.28392857142857136</v>
      </c>
      <c r="U36" s="976"/>
      <c r="V36" s="250"/>
      <c r="W36" s="250"/>
      <c r="X36" s="128"/>
      <c r="Y36" s="126"/>
    </row>
    <row r="37" spans="1:25" x14ac:dyDescent="0.2">
      <c r="A37" s="163"/>
      <c r="B37" s="186"/>
      <c r="C37" s="217"/>
      <c r="D37" s="215"/>
      <c r="E37" s="216"/>
      <c r="F37" s="216"/>
      <c r="G37" s="216"/>
      <c r="H37" s="216"/>
      <c r="I37" s="171"/>
      <c r="J37" s="200"/>
      <c r="K37" s="339" t="s">
        <v>388</v>
      </c>
      <c r="L37" s="340">
        <v>0.32740000000000002</v>
      </c>
      <c r="M37" s="341">
        <v>4.5517690000000002</v>
      </c>
      <c r="N37" s="340">
        <f t="shared" si="7"/>
        <v>0.27808849499090665</v>
      </c>
      <c r="O37" s="342">
        <f>N37*Beneficiaries!$AE$99</f>
        <v>29369.085498517223</v>
      </c>
      <c r="P37" s="343">
        <v>2.7314859999999999</v>
      </c>
      <c r="Q37" s="344">
        <f t="shared" si="8"/>
        <v>80221.245872002808</v>
      </c>
      <c r="R37" s="340">
        <f t="shared" si="9"/>
        <v>0.38358125766197887</v>
      </c>
      <c r="S37" s="342">
        <f>6.56*10^10</f>
        <v>65599999999.999992</v>
      </c>
      <c r="T37" s="353">
        <f t="shared" si="10"/>
        <v>0.39047619047619042</v>
      </c>
      <c r="U37" s="976"/>
      <c r="V37" s="250"/>
      <c r="W37" s="250"/>
      <c r="X37" s="133"/>
    </row>
    <row r="38" spans="1:25" x14ac:dyDescent="0.2">
      <c r="A38" s="163"/>
      <c r="B38" s="186" t="s">
        <v>347</v>
      </c>
      <c r="C38" s="267">
        <f>N49*365</f>
        <v>1650.9535640911242</v>
      </c>
      <c r="D38" s="215"/>
      <c r="E38" s="216"/>
      <c r="F38" s="216"/>
      <c r="G38" s="216"/>
      <c r="H38" s="216"/>
      <c r="I38" s="171"/>
      <c r="J38" s="200"/>
      <c r="K38" s="339" t="s">
        <v>387</v>
      </c>
      <c r="L38" s="340">
        <v>9.3700000000000006E-2</v>
      </c>
      <c r="M38" s="341">
        <v>3.021674</v>
      </c>
      <c r="N38" s="340">
        <f t="shared" si="7"/>
        <v>5.2833737184387886E-2</v>
      </c>
      <c r="O38" s="342">
        <f>N38*Beneficiaries!$AE$99</f>
        <v>5579.8012953582111</v>
      </c>
      <c r="P38" s="343">
        <v>7.1915810000000002</v>
      </c>
      <c r="Q38" s="344">
        <f t="shared" si="8"/>
        <v>40127.592979473498</v>
      </c>
      <c r="R38" s="340">
        <f t="shared" si="9"/>
        <v>0.19187177180685383</v>
      </c>
      <c r="S38" s="342">
        <f>3.25*10^10</f>
        <v>32500000000</v>
      </c>
      <c r="T38" s="353">
        <f t="shared" si="10"/>
        <v>0.19345238095238096</v>
      </c>
      <c r="U38" s="976"/>
      <c r="V38" s="250"/>
      <c r="W38" s="250"/>
      <c r="X38" s="133"/>
    </row>
    <row r="39" spans="1:25" ht="13.5" x14ac:dyDescent="0.2">
      <c r="A39" s="163"/>
      <c r="B39" s="186" t="s">
        <v>346</v>
      </c>
      <c r="C39" s="306">
        <f>2.778978 *365</f>
        <v>1014.32697</v>
      </c>
      <c r="D39" s="170"/>
      <c r="E39" s="170"/>
      <c r="F39" s="170"/>
      <c r="G39" s="170"/>
      <c r="H39" s="170"/>
      <c r="I39" s="171"/>
      <c r="J39" s="164"/>
      <c r="K39" s="346" t="s">
        <v>390</v>
      </c>
      <c r="L39" s="354">
        <f>L35+L36</f>
        <v>0.57889999999999997</v>
      </c>
      <c r="M39" s="355">
        <v>6.193676</v>
      </c>
      <c r="N39" s="354">
        <f>N35+N36</f>
        <v>0.6690777678247054</v>
      </c>
      <c r="O39" s="356">
        <f>N39*Beneficiaries!$AE$99</f>
        <v>70661.686917480634</v>
      </c>
      <c r="P39" s="357">
        <v>1.2705</v>
      </c>
      <c r="Q39" s="348">
        <f>Q35+Q36</f>
        <v>88788.714846978182</v>
      </c>
      <c r="R39" s="354">
        <f t="shared" si="9"/>
        <v>0.4245469705311673</v>
      </c>
      <c r="S39" s="356">
        <f>S35+S36</f>
        <v>69900000000</v>
      </c>
      <c r="T39" s="358">
        <f t="shared" si="10"/>
        <v>0.41607142857142859</v>
      </c>
      <c r="U39" s="977"/>
      <c r="V39" s="250"/>
      <c r="W39" s="250"/>
      <c r="X39" s="133"/>
    </row>
    <row r="40" spans="1:25" x14ac:dyDescent="0.2">
      <c r="A40" s="163"/>
      <c r="B40" s="186"/>
      <c r="C40" s="306"/>
      <c r="D40" s="170"/>
      <c r="E40" s="170"/>
      <c r="F40" s="170"/>
      <c r="G40" s="170"/>
      <c r="H40" s="170"/>
      <c r="I40" s="171"/>
      <c r="J40" s="164"/>
      <c r="K40" s="246"/>
      <c r="L40" s="248"/>
      <c r="M40" s="359"/>
      <c r="N40" s="248"/>
      <c r="O40" s="326"/>
      <c r="P40" s="359"/>
      <c r="Q40" s="361"/>
      <c r="R40" s="248"/>
      <c r="S40" s="326"/>
      <c r="T40" s="252"/>
      <c r="U40" s="250"/>
      <c r="V40" s="250"/>
      <c r="W40" s="250"/>
      <c r="X40" s="133"/>
    </row>
    <row r="41" spans="1:25" x14ac:dyDescent="0.2">
      <c r="A41" s="163"/>
      <c r="B41" s="186" t="s">
        <v>265</v>
      </c>
      <c r="C41" s="218">
        <f>Beneficiaries!P103</f>
        <v>46142003.920999996</v>
      </c>
      <c r="D41" s="170"/>
      <c r="E41" s="170"/>
      <c r="F41" s="170"/>
      <c r="G41" s="170"/>
      <c r="H41" s="170"/>
      <c r="I41" s="171"/>
      <c r="J41" s="164"/>
      <c r="K41" s="150"/>
      <c r="L41" s="109"/>
      <c r="M41" s="109"/>
      <c r="N41" s="109"/>
      <c r="O41" s="109"/>
      <c r="P41" s="109"/>
      <c r="Q41" s="109"/>
      <c r="R41" s="109"/>
      <c r="S41" s="261"/>
      <c r="T41" s="109"/>
      <c r="U41" s="128"/>
      <c r="V41" s="109"/>
      <c r="W41" s="133"/>
      <c r="X41" s="133"/>
    </row>
    <row r="42" spans="1:25" x14ac:dyDescent="0.2">
      <c r="A42" s="163"/>
      <c r="B42" s="186"/>
      <c r="C42" s="219"/>
      <c r="D42" s="170"/>
      <c r="E42" s="170"/>
      <c r="F42" s="170"/>
      <c r="G42" s="170"/>
      <c r="H42" s="170"/>
      <c r="I42" s="171"/>
      <c r="J42" s="164"/>
      <c r="K42" s="107" t="s">
        <v>315</v>
      </c>
      <c r="L42" s="252"/>
      <c r="M42" s="252"/>
      <c r="N42" s="252"/>
      <c r="O42" s="252"/>
      <c r="P42" s="252"/>
      <c r="Q42" s="252"/>
      <c r="R42" s="252"/>
      <c r="S42" s="302"/>
      <c r="T42" s="252"/>
      <c r="U42" s="250"/>
      <c r="V42" s="250"/>
      <c r="W42" s="133"/>
      <c r="X42" s="133"/>
    </row>
    <row r="43" spans="1:25" ht="22.5" x14ac:dyDescent="0.2">
      <c r="A43" s="163"/>
      <c r="B43" s="220" t="s">
        <v>365</v>
      </c>
      <c r="C43" s="221"/>
      <c r="D43" s="170"/>
      <c r="E43" s="222"/>
      <c r="F43" s="222"/>
      <c r="G43" s="222"/>
      <c r="H43" s="222"/>
      <c r="I43" s="171"/>
      <c r="J43" s="164"/>
      <c r="K43" s="336" t="s">
        <v>305</v>
      </c>
      <c r="L43" s="360" t="s">
        <v>316</v>
      </c>
      <c r="M43" s="360" t="s">
        <v>314</v>
      </c>
      <c r="N43" s="360" t="s">
        <v>301</v>
      </c>
      <c r="O43" s="360" t="s">
        <v>302</v>
      </c>
      <c r="P43" s="360" t="s">
        <v>303</v>
      </c>
      <c r="Q43" s="360" t="s">
        <v>391</v>
      </c>
      <c r="R43" s="360" t="s">
        <v>288</v>
      </c>
      <c r="S43" s="360" t="s">
        <v>289</v>
      </c>
      <c r="T43" s="362" t="s">
        <v>392</v>
      </c>
      <c r="U43" s="251"/>
      <c r="V43" s="133"/>
      <c r="W43" s="133"/>
      <c r="X43" s="133"/>
    </row>
    <row r="44" spans="1:25" x14ac:dyDescent="0.2">
      <c r="A44" s="163"/>
      <c r="B44" s="220" t="s">
        <v>266</v>
      </c>
      <c r="C44" s="221"/>
      <c r="D44" s="170"/>
      <c r="E44" s="222"/>
      <c r="F44" s="222"/>
      <c r="G44" s="222"/>
      <c r="H44" s="222"/>
      <c r="I44" s="171"/>
      <c r="J44" s="164"/>
      <c r="K44" s="339" t="s">
        <v>386</v>
      </c>
      <c r="L44" s="340">
        <f>M44/SUM(M$44:M$47)</f>
        <v>4.3039200914612032E-2</v>
      </c>
      <c r="M44" s="342">
        <f>O26+O35</f>
        <v>76921.083220466404</v>
      </c>
      <c r="N44" s="343">
        <f>((O26*P26)+(O35*P35))/M44</f>
        <v>0.71849059434100437</v>
      </c>
      <c r="O44" s="344">
        <f>M44*N44</f>
        <v>55267.074800426766</v>
      </c>
      <c r="P44" s="340">
        <f>O44/SUM(O$44:O$47)</f>
        <v>6.8366491505021283E-3</v>
      </c>
      <c r="Q44" s="363">
        <f>(P$24*S26)+(P$33*S35)</f>
        <v>2158599430.0045643</v>
      </c>
      <c r="R44" s="340">
        <f>(P$24*T26)+(P$33*T35)</f>
        <v>1.6167430653877352E-2</v>
      </c>
      <c r="S44" s="340">
        <f>R44/SUM(R$44:R$47)</f>
        <v>1.6167430653877355E-2</v>
      </c>
      <c r="T44" s="364">
        <f>(L24*U26)+(L33*U35)</f>
        <v>0.54990224597577075</v>
      </c>
      <c r="U44" s="250"/>
      <c r="V44" s="133"/>
      <c r="W44" s="133"/>
      <c r="X44" s="133"/>
    </row>
    <row r="45" spans="1:25" x14ac:dyDescent="0.2">
      <c r="A45" s="163"/>
      <c r="B45" s="223" t="s">
        <v>267</v>
      </c>
      <c r="C45" s="221"/>
      <c r="D45" s="170"/>
      <c r="E45" s="222"/>
      <c r="F45" s="222"/>
      <c r="G45" s="222"/>
      <c r="H45" s="222"/>
      <c r="I45" s="171"/>
      <c r="J45" s="164"/>
      <c r="K45" s="339" t="s">
        <v>389</v>
      </c>
      <c r="L45" s="340">
        <f>M45/SUM(M$44:M$47)</f>
        <v>0.14103572112648283</v>
      </c>
      <c r="M45" s="342">
        <f>O27+O36</f>
        <v>252063.70497797773</v>
      </c>
      <c r="N45" s="343">
        <f>((O27*P27)+(O36*P36))/M45</f>
        <v>1.5865961025690225</v>
      </c>
      <c r="O45" s="344">
        <f t="shared" ref="O45:O48" si="11">M45*N45</f>
        <v>399923.29191716737</v>
      </c>
      <c r="P45" s="340">
        <f t="shared" ref="P45:P48" si="12">O45/SUM(O$44:O$47)</f>
        <v>4.9471321647195345E-2</v>
      </c>
      <c r="Q45" s="363">
        <f>(P$24*S27)+(P$33*S36)</f>
        <v>10304043376.737783</v>
      </c>
      <c r="R45" s="340">
        <f>(P$24*T27)+(P$33*T36)</f>
        <v>9.7799872622833919E-2</v>
      </c>
      <c r="S45" s="340">
        <f>R45/SUM(R$44:R$47)</f>
        <v>9.7799872622833933E-2</v>
      </c>
      <c r="T45" s="365"/>
      <c r="U45" s="250"/>
      <c r="V45" s="133"/>
      <c r="W45" s="133"/>
      <c r="X45" s="133"/>
    </row>
    <row r="46" spans="1:25" x14ac:dyDescent="0.2">
      <c r="A46" s="163"/>
      <c r="B46" s="223" t="s">
        <v>327</v>
      </c>
      <c r="C46" s="221"/>
      <c r="D46" s="170"/>
      <c r="E46" s="222"/>
      <c r="F46" s="222"/>
      <c r="G46" s="222"/>
      <c r="H46" s="222"/>
      <c r="I46" s="171"/>
      <c r="J46" s="164"/>
      <c r="K46" s="339" t="s">
        <v>388</v>
      </c>
      <c r="L46" s="340">
        <f>M46/SUM(M$44:M$47)</f>
        <v>0.49403724859794756</v>
      </c>
      <c r="M46" s="342">
        <f>O28+O37</f>
        <v>882959.70895944629</v>
      </c>
      <c r="N46" s="343">
        <f>((O28*P28)+(O37*P37))/M46</f>
        <v>2.9127609589389896</v>
      </c>
      <c r="O46" s="344">
        <f t="shared" si="11"/>
        <v>2571850.5685732081</v>
      </c>
      <c r="P46" s="340">
        <f t="shared" si="12"/>
        <v>0.31814312713939163</v>
      </c>
      <c r="Q46" s="363">
        <f>(P$24*S28)+(P$33*S37)</f>
        <v>32992663631.933788</v>
      </c>
      <c r="R46" s="340">
        <f>(P$24*T28)+(P$33*T37)</f>
        <v>0.34398651652550066</v>
      </c>
      <c r="S46" s="340">
        <f>R46/SUM(R$44:R$47)</f>
        <v>0.34398651652550072</v>
      </c>
      <c r="T46" s="365"/>
      <c r="U46" s="250"/>
      <c r="V46" s="133"/>
      <c r="W46" s="133"/>
      <c r="X46" s="133"/>
    </row>
    <row r="47" spans="1:25" x14ac:dyDescent="0.2">
      <c r="A47" s="163"/>
      <c r="B47" s="224" t="s">
        <v>396</v>
      </c>
      <c r="C47" s="163"/>
      <c r="D47" s="163"/>
      <c r="E47" s="163"/>
      <c r="F47" s="163"/>
      <c r="G47" s="163"/>
      <c r="H47" s="163"/>
      <c r="I47" s="171"/>
      <c r="J47" s="164"/>
      <c r="K47" s="339" t="s">
        <v>387</v>
      </c>
      <c r="L47" s="340">
        <f>M47/SUM(M$44:M$47)</f>
        <v>0.32188782936095767</v>
      </c>
      <c r="M47" s="342">
        <f>O29+O38</f>
        <v>575288.57375982043</v>
      </c>
      <c r="N47" s="343">
        <f>((O29*P29)+(O38*P38))/M47</f>
        <v>8.7901989295367429</v>
      </c>
      <c r="O47" s="344">
        <f t="shared" si="11"/>
        <v>5056901.0052382927</v>
      </c>
      <c r="P47" s="340">
        <f t="shared" si="12"/>
        <v>0.62554890206291092</v>
      </c>
      <c r="Q47" s="363">
        <f>(P$24*S29)+(P$33*S38)</f>
        <v>49735306365.977852</v>
      </c>
      <c r="R47" s="340">
        <f>(P$24*T29)+(P$33*T38)</f>
        <v>0.54204618019778794</v>
      </c>
      <c r="S47" s="340">
        <f>R47/SUM(R$44:R$47)</f>
        <v>0.54204618019778805</v>
      </c>
      <c r="T47" s="365"/>
      <c r="U47" s="250"/>
      <c r="V47" s="133"/>
      <c r="W47" s="133"/>
      <c r="X47" s="133"/>
    </row>
    <row r="48" spans="1:25" s="126" customFormat="1" x14ac:dyDescent="0.2">
      <c r="A48" s="163"/>
      <c r="B48" s="224" t="s">
        <v>393</v>
      </c>
      <c r="C48" s="163"/>
      <c r="D48" s="163"/>
      <c r="E48" s="163"/>
      <c r="F48" s="163"/>
      <c r="G48" s="163"/>
      <c r="H48" s="163"/>
      <c r="I48" s="171"/>
      <c r="J48" s="163"/>
      <c r="K48" s="346" t="s">
        <v>390</v>
      </c>
      <c r="L48" s="354">
        <f>M48/SUM(M$44:M$47)</f>
        <v>0.18407492204109485</v>
      </c>
      <c r="M48" s="356">
        <f>O30+O39</f>
        <v>328984.78819844412</v>
      </c>
      <c r="N48" s="366">
        <f>((O30*P30)+(O39*P39))/M48</f>
        <v>1.4452326425630257</v>
      </c>
      <c r="O48" s="348">
        <f t="shared" si="11"/>
        <v>475459.55481107475</v>
      </c>
      <c r="P48" s="354">
        <f t="shared" si="12"/>
        <v>5.8815310439990102E-2</v>
      </c>
      <c r="Q48" s="367">
        <f>(P$24*S30)+(P$33*S39)</f>
        <v>12462642806.742348</v>
      </c>
      <c r="R48" s="354">
        <f>(P$24*T30)+(P$33*T39)</f>
        <v>0.11396730327671127</v>
      </c>
      <c r="S48" s="354">
        <f>R48/SUM(R$44:R$47)</f>
        <v>0.11396730327671128</v>
      </c>
      <c r="T48" s="368"/>
      <c r="U48" s="250"/>
      <c r="V48" s="128"/>
      <c r="W48" s="128"/>
      <c r="X48" s="128"/>
      <c r="Y48" s="127"/>
    </row>
    <row r="49" spans="1:25" s="126" customFormat="1" x14ac:dyDescent="0.2">
      <c r="A49" s="163"/>
      <c r="B49" s="225" t="s">
        <v>394</v>
      </c>
      <c r="C49" s="163"/>
      <c r="D49" s="163"/>
      <c r="E49" s="163"/>
      <c r="F49" s="163"/>
      <c r="G49" s="163"/>
      <c r="H49" s="163"/>
      <c r="I49" s="171"/>
      <c r="J49" s="163"/>
      <c r="K49" s="369"/>
      <c r="L49" s="370"/>
      <c r="M49" s="374" t="s">
        <v>160</v>
      </c>
      <c r="N49" s="371">
        <f>SUMPRODUCT(L44:L47,N44:N47)</f>
        <v>4.523160449564724</v>
      </c>
      <c r="O49" s="370"/>
      <c r="P49" s="370"/>
      <c r="Q49" s="372"/>
      <c r="R49" s="370"/>
      <c r="S49" s="370"/>
      <c r="T49" s="128"/>
      <c r="U49" s="128"/>
      <c r="V49" s="128"/>
      <c r="W49" s="133"/>
      <c r="X49" s="133"/>
      <c r="Y49" s="127"/>
    </row>
    <row r="50" spans="1:25" ht="13.5" thickBot="1" x14ac:dyDescent="0.25">
      <c r="A50" s="163"/>
      <c r="B50" s="226" t="s">
        <v>395</v>
      </c>
      <c r="C50" s="227"/>
      <c r="D50" s="227"/>
      <c r="E50" s="227"/>
      <c r="F50" s="227"/>
      <c r="G50" s="227"/>
      <c r="H50" s="227"/>
      <c r="I50" s="228"/>
      <c r="J50" s="164"/>
      <c r="K50" s="150"/>
      <c r="L50" s="128"/>
      <c r="M50" s="151"/>
      <c r="N50" s="151"/>
      <c r="O50" s="151"/>
      <c r="P50" s="109"/>
      <c r="Q50" s="303"/>
      <c r="R50" s="109"/>
      <c r="S50" s="109"/>
      <c r="T50" s="152"/>
      <c r="U50" s="128"/>
      <c r="V50" s="128"/>
      <c r="W50" s="373"/>
      <c r="X50" s="133"/>
    </row>
    <row r="51" spans="1:25" x14ac:dyDescent="0.2">
      <c r="A51" s="163"/>
      <c r="B51" s="163"/>
      <c r="C51" s="164"/>
      <c r="D51" s="164"/>
      <c r="E51" s="164"/>
      <c r="F51" s="164"/>
      <c r="G51" s="164"/>
      <c r="H51" s="164"/>
      <c r="I51" s="164"/>
      <c r="J51" s="164"/>
      <c r="K51" s="129"/>
      <c r="L51" s="153"/>
      <c r="M51" s="128"/>
      <c r="N51" s="128"/>
      <c r="O51" s="128"/>
      <c r="P51" s="128"/>
      <c r="Q51" s="128"/>
      <c r="R51" s="128"/>
      <c r="S51" s="128"/>
      <c r="T51" s="128"/>
      <c r="U51" s="128"/>
      <c r="V51" s="128"/>
      <c r="W51" s="133"/>
      <c r="X51" s="133"/>
    </row>
    <row r="52" spans="1:25" x14ac:dyDescent="0.2">
      <c r="K52" s="129"/>
      <c r="L52" s="128"/>
      <c r="M52" s="128"/>
      <c r="N52" s="128"/>
      <c r="O52" s="128"/>
      <c r="P52" s="128"/>
      <c r="Q52" s="128"/>
      <c r="R52" s="128"/>
      <c r="S52" s="128"/>
      <c r="T52" s="128"/>
      <c r="U52" s="128"/>
      <c r="V52" s="128"/>
      <c r="W52" s="128"/>
      <c r="X52" s="133"/>
    </row>
    <row r="53" spans="1:25" x14ac:dyDescent="0.2">
      <c r="K53" s="133"/>
      <c r="L53" s="133"/>
      <c r="M53" s="128"/>
      <c r="N53" s="128"/>
      <c r="O53" s="128"/>
      <c r="P53" s="128"/>
      <c r="Q53" s="128"/>
      <c r="R53" s="128"/>
      <c r="S53" s="128"/>
      <c r="T53" s="128"/>
      <c r="U53" s="128"/>
      <c r="V53" s="128"/>
      <c r="W53" s="128"/>
      <c r="X53" s="133"/>
    </row>
    <row r="54" spans="1:25" x14ac:dyDescent="0.2">
      <c r="C54" s="132"/>
      <c r="K54" s="325"/>
      <c r="L54" s="133"/>
      <c r="M54" s="128"/>
      <c r="N54" s="128"/>
      <c r="O54" s="128"/>
      <c r="P54" s="128"/>
      <c r="Q54" s="249"/>
      <c r="R54" s="249"/>
      <c r="S54" s="249"/>
      <c r="T54" s="250"/>
      <c r="U54" s="250"/>
      <c r="V54" s="250"/>
      <c r="W54" s="128"/>
      <c r="X54" s="133"/>
    </row>
    <row r="55" spans="1:25" x14ac:dyDescent="0.2">
      <c r="C55" s="132"/>
      <c r="K55" s="246"/>
      <c r="L55" s="326"/>
      <c r="M55" s="248"/>
      <c r="N55" s="248"/>
      <c r="O55" s="248"/>
      <c r="P55" s="327"/>
      <c r="Q55" s="249"/>
      <c r="R55" s="249"/>
      <c r="S55" s="249"/>
      <c r="T55" s="249"/>
      <c r="U55" s="249"/>
      <c r="V55" s="249"/>
      <c r="W55" s="133"/>
      <c r="X55" s="133"/>
    </row>
    <row r="56" spans="1:25" x14ac:dyDescent="0.2">
      <c r="C56" s="132"/>
      <c r="K56" s="246"/>
      <c r="L56" s="248"/>
      <c r="M56" s="248"/>
      <c r="N56" s="248"/>
      <c r="O56" s="248"/>
      <c r="P56" s="249"/>
      <c r="Q56" s="249"/>
      <c r="R56" s="249"/>
      <c r="S56" s="249"/>
      <c r="T56" s="249"/>
      <c r="U56" s="249"/>
      <c r="V56" s="249"/>
      <c r="W56" s="133"/>
      <c r="X56" s="133"/>
    </row>
    <row r="57" spans="1:25" x14ac:dyDescent="0.2">
      <c r="C57" s="132"/>
      <c r="K57" s="246"/>
      <c r="L57" s="248"/>
      <c r="M57" s="248"/>
      <c r="N57" s="248"/>
      <c r="O57" s="248"/>
      <c r="P57" s="249"/>
      <c r="Q57" s="249"/>
      <c r="R57" s="249"/>
      <c r="S57" s="249"/>
      <c r="T57" s="249"/>
      <c r="U57" s="249"/>
      <c r="V57" s="249"/>
      <c r="W57" s="133"/>
      <c r="X57" s="133"/>
    </row>
    <row r="58" spans="1:25" x14ac:dyDescent="0.2">
      <c r="C58" s="133"/>
      <c r="K58" s="129"/>
      <c r="L58" s="128"/>
      <c r="M58" s="128"/>
      <c r="N58" s="128"/>
      <c r="O58" s="128"/>
      <c r="P58" s="128"/>
      <c r="Q58" s="128"/>
      <c r="R58" s="128"/>
      <c r="S58" s="148"/>
      <c r="T58" s="128"/>
      <c r="U58" s="128"/>
      <c r="V58" s="128"/>
      <c r="W58" s="133"/>
      <c r="X58" s="133"/>
    </row>
    <row r="59" spans="1:25" x14ac:dyDescent="0.2">
      <c r="K59" s="128"/>
      <c r="L59" s="128"/>
      <c r="M59" s="128"/>
      <c r="N59" s="128"/>
      <c r="O59" s="128"/>
      <c r="P59" s="128"/>
      <c r="Q59" s="148"/>
      <c r="R59" s="153"/>
      <c r="S59" s="128"/>
      <c r="T59" s="148"/>
      <c r="U59" s="247"/>
      <c r="V59" s="128"/>
      <c r="W59" s="133"/>
      <c r="X59" s="133"/>
    </row>
    <row r="60" spans="1:25" x14ac:dyDescent="0.2">
      <c r="K60" s="128"/>
      <c r="L60" s="128"/>
      <c r="M60" s="128"/>
      <c r="N60" s="128"/>
      <c r="O60" s="128"/>
      <c r="P60" s="128"/>
      <c r="Q60" s="128"/>
      <c r="R60" s="128"/>
      <c r="S60" s="128"/>
      <c r="T60" s="128"/>
      <c r="U60" s="128"/>
      <c r="V60" s="128"/>
    </row>
    <row r="61" spans="1:25" x14ac:dyDescent="0.2">
      <c r="K61" s="128"/>
      <c r="L61" s="128"/>
      <c r="M61" s="128"/>
      <c r="N61" s="128"/>
      <c r="O61" s="128"/>
      <c r="P61" s="128"/>
      <c r="Q61" s="128"/>
      <c r="R61" s="128"/>
      <c r="S61" s="128"/>
      <c r="T61" s="128"/>
      <c r="U61" s="128"/>
      <c r="V61" s="128"/>
    </row>
    <row r="62" spans="1:25" x14ac:dyDescent="0.2">
      <c r="K62" s="128"/>
      <c r="L62" s="128"/>
      <c r="M62" s="128"/>
      <c r="N62" s="128"/>
      <c r="O62" s="128"/>
      <c r="P62" s="128"/>
      <c r="Q62" s="128"/>
      <c r="R62" s="128"/>
      <c r="S62" s="128"/>
      <c r="T62" s="128"/>
      <c r="U62" s="128"/>
      <c r="V62" s="128"/>
    </row>
    <row r="63" spans="1:25" x14ac:dyDescent="0.2">
      <c r="K63" s="128"/>
      <c r="L63" s="128"/>
      <c r="M63" s="128"/>
      <c r="N63" s="128"/>
      <c r="O63" s="128"/>
      <c r="P63" s="128"/>
      <c r="Q63" s="128"/>
      <c r="R63" s="128"/>
      <c r="S63" s="128"/>
      <c r="T63" s="128"/>
      <c r="U63" s="128"/>
      <c r="V63" s="128"/>
    </row>
    <row r="64" spans="1:25" x14ac:dyDescent="0.2">
      <c r="K64" s="128"/>
      <c r="L64" s="128"/>
      <c r="M64" s="128"/>
      <c r="N64" s="128"/>
      <c r="O64" s="128"/>
      <c r="P64" s="128"/>
      <c r="Q64" s="128"/>
      <c r="R64" s="128"/>
      <c r="S64" s="128"/>
      <c r="T64" s="128"/>
      <c r="U64" s="128"/>
      <c r="V64" s="128"/>
    </row>
    <row r="65" spans="11:22" x14ac:dyDescent="0.2">
      <c r="K65" s="128"/>
      <c r="L65" s="128"/>
      <c r="M65" s="128"/>
      <c r="N65" s="128"/>
      <c r="O65" s="128"/>
      <c r="P65" s="128"/>
      <c r="Q65" s="128"/>
      <c r="R65" s="128"/>
      <c r="S65" s="128"/>
      <c r="T65" s="128"/>
      <c r="U65" s="128"/>
      <c r="V65" s="128"/>
    </row>
    <row r="66" spans="11:22" x14ac:dyDescent="0.2">
      <c r="K66" s="128"/>
      <c r="L66" s="128"/>
      <c r="M66" s="128"/>
      <c r="N66" s="128"/>
      <c r="O66" s="128"/>
      <c r="P66" s="128"/>
      <c r="Q66" s="128"/>
      <c r="R66" s="128"/>
      <c r="S66" s="128"/>
      <c r="T66" s="128"/>
      <c r="U66" s="128"/>
      <c r="V66" s="128"/>
    </row>
    <row r="67" spans="11:22" x14ac:dyDescent="0.2">
      <c r="K67" s="128"/>
      <c r="L67" s="128"/>
      <c r="M67" s="128"/>
      <c r="N67" s="128"/>
      <c r="O67" s="128"/>
      <c r="P67" s="128"/>
      <c r="Q67" s="128"/>
      <c r="R67" s="128"/>
      <c r="S67" s="128"/>
      <c r="T67" s="128"/>
      <c r="U67" s="128"/>
      <c r="V67" s="128"/>
    </row>
    <row r="68" spans="11:22" x14ac:dyDescent="0.2">
      <c r="K68" s="128"/>
      <c r="L68" s="128"/>
      <c r="M68" s="128"/>
      <c r="N68" s="128"/>
      <c r="O68" s="128"/>
      <c r="P68" s="128"/>
      <c r="Q68" s="128"/>
      <c r="R68" s="128"/>
      <c r="S68" s="128"/>
      <c r="T68" s="128"/>
      <c r="U68" s="128"/>
      <c r="V68" s="128"/>
    </row>
    <row r="69" spans="11:22" x14ac:dyDescent="0.2">
      <c r="K69" s="128"/>
      <c r="L69" s="128"/>
      <c r="M69" s="128"/>
      <c r="N69" s="128"/>
      <c r="O69" s="128"/>
      <c r="P69" s="128"/>
      <c r="Q69" s="128"/>
      <c r="R69" s="128"/>
      <c r="S69" s="128"/>
      <c r="T69" s="128"/>
      <c r="U69" s="128"/>
      <c r="V69" s="128"/>
    </row>
    <row r="70" spans="11:22" x14ac:dyDescent="0.2">
      <c r="K70" s="128"/>
      <c r="L70" s="15"/>
      <c r="M70" s="15"/>
      <c r="N70" s="15"/>
      <c r="O70" s="15"/>
      <c r="P70" s="15"/>
      <c r="Q70" s="15"/>
      <c r="R70" s="15"/>
      <c r="S70" s="128"/>
      <c r="T70" s="128"/>
      <c r="U70" s="128"/>
      <c r="V70" s="128"/>
    </row>
    <row r="71" spans="11:22" x14ac:dyDescent="0.2">
      <c r="K71" s="128"/>
      <c r="L71" s="128"/>
      <c r="M71" s="128"/>
      <c r="N71" s="128"/>
      <c r="O71" s="128"/>
      <c r="P71" s="128"/>
      <c r="Q71" s="128"/>
      <c r="R71" s="128"/>
      <c r="S71" s="128"/>
      <c r="T71" s="128"/>
      <c r="U71" s="128"/>
      <c r="V71" s="128"/>
    </row>
    <row r="72" spans="11:22" x14ac:dyDescent="0.2">
      <c r="K72" s="128"/>
      <c r="L72" s="128"/>
      <c r="M72" s="128"/>
      <c r="N72" s="128"/>
      <c r="O72" s="128"/>
      <c r="P72" s="128"/>
      <c r="Q72" s="128"/>
      <c r="R72" s="128"/>
      <c r="S72" s="128"/>
      <c r="T72" s="128"/>
    </row>
    <row r="73" spans="11:22" x14ac:dyDescent="0.2">
      <c r="K73" s="128"/>
      <c r="L73" s="128"/>
      <c r="M73" s="128"/>
      <c r="N73" s="128"/>
      <c r="O73" s="128"/>
      <c r="P73" s="128"/>
      <c r="Q73" s="128"/>
      <c r="R73" s="128"/>
      <c r="S73" s="128"/>
      <c r="T73" s="128"/>
    </row>
    <row r="74" spans="11:22" x14ac:dyDescent="0.2">
      <c r="K74" s="128"/>
      <c r="L74" s="128"/>
      <c r="M74" s="128"/>
      <c r="N74" s="128"/>
      <c r="O74" s="128"/>
      <c r="P74" s="128"/>
      <c r="Q74" s="128"/>
      <c r="R74" s="128"/>
      <c r="S74" s="128"/>
      <c r="T74" s="128"/>
    </row>
    <row r="75" spans="11:22" x14ac:dyDescent="0.2">
      <c r="K75" s="128"/>
      <c r="L75" s="128"/>
      <c r="M75" s="128"/>
      <c r="N75" s="128"/>
      <c r="O75" s="128"/>
      <c r="P75" s="128"/>
      <c r="Q75" s="128"/>
      <c r="R75" s="128"/>
      <c r="S75" s="128"/>
      <c r="T75" s="128"/>
    </row>
    <row r="76" spans="11:22" x14ac:dyDescent="0.2">
      <c r="K76" s="128"/>
      <c r="L76" s="128"/>
      <c r="M76" s="128"/>
      <c r="N76" s="128"/>
      <c r="O76" s="128"/>
      <c r="P76" s="128"/>
      <c r="Q76" s="128"/>
      <c r="R76" s="128"/>
      <c r="S76" s="128"/>
      <c r="T76" s="128"/>
    </row>
    <row r="77" spans="11:22" x14ac:dyDescent="0.2">
      <c r="K77" s="128"/>
      <c r="L77" s="128"/>
      <c r="M77" s="128"/>
      <c r="N77" s="128"/>
      <c r="O77" s="128"/>
      <c r="P77" s="128"/>
      <c r="Q77" s="128"/>
      <c r="R77" s="128"/>
      <c r="S77" s="128"/>
      <c r="T77" s="128"/>
    </row>
    <row r="78" spans="11:22" x14ac:dyDescent="0.2">
      <c r="K78" s="128"/>
      <c r="L78" s="128"/>
      <c r="M78" s="128"/>
      <c r="N78" s="128"/>
      <c r="O78" s="128"/>
      <c r="P78" s="128"/>
      <c r="Q78" s="128"/>
      <c r="R78" s="128"/>
      <c r="S78" s="128"/>
      <c r="T78" s="128"/>
    </row>
    <row r="79" spans="11:22" x14ac:dyDescent="0.2">
      <c r="K79" s="128"/>
      <c r="L79" s="128"/>
      <c r="M79" s="128"/>
      <c r="N79" s="128"/>
      <c r="O79" s="128"/>
      <c r="P79" s="128"/>
      <c r="Q79" s="128"/>
      <c r="R79" s="128"/>
      <c r="S79" s="128"/>
      <c r="T79" s="128"/>
    </row>
    <row r="80" spans="11:22" x14ac:dyDescent="0.2">
      <c r="K80" s="128"/>
      <c r="L80" s="128"/>
      <c r="M80" s="128"/>
      <c r="N80" s="128"/>
      <c r="O80" s="128"/>
      <c r="P80" s="128"/>
      <c r="Q80" s="128"/>
      <c r="R80" s="128"/>
      <c r="S80" s="128"/>
      <c r="T80" s="128"/>
    </row>
    <row r="81" spans="11:21" x14ac:dyDescent="0.2">
      <c r="K81" s="128"/>
      <c r="L81" s="128"/>
      <c r="M81" s="128"/>
      <c r="N81" s="128"/>
      <c r="O81" s="128"/>
      <c r="P81" s="128"/>
      <c r="Q81" s="128"/>
      <c r="R81" s="128"/>
      <c r="S81" s="128"/>
      <c r="T81" s="128"/>
    </row>
    <row r="82" spans="11:21" x14ac:dyDescent="0.2">
      <c r="K82" s="128"/>
      <c r="L82" s="128"/>
      <c r="M82" s="128"/>
      <c r="N82" s="128"/>
      <c r="O82" s="128"/>
      <c r="P82" s="128"/>
      <c r="Q82" s="128"/>
      <c r="R82" s="128"/>
      <c r="S82" s="128"/>
      <c r="T82" s="128"/>
    </row>
    <row r="83" spans="11:21" x14ac:dyDescent="0.2">
      <c r="K83" s="128"/>
      <c r="L83" s="128"/>
      <c r="M83" s="128"/>
      <c r="N83" s="128"/>
      <c r="O83" s="128"/>
      <c r="P83" s="128"/>
      <c r="Q83" s="128"/>
      <c r="R83" s="128"/>
      <c r="S83" s="128"/>
      <c r="T83" s="128"/>
    </row>
    <row r="84" spans="11:21" x14ac:dyDescent="0.2">
      <c r="K84" s="128"/>
      <c r="L84" s="128"/>
      <c r="M84" s="128"/>
      <c r="N84" s="128"/>
      <c r="O84" s="128"/>
      <c r="P84" s="128"/>
      <c r="Q84" s="128"/>
      <c r="R84" s="128"/>
      <c r="S84" s="128"/>
      <c r="T84" s="128"/>
    </row>
    <row r="85" spans="11:21" x14ac:dyDescent="0.2">
      <c r="K85" s="128"/>
      <c r="L85" s="128"/>
      <c r="M85" s="128"/>
      <c r="N85" s="128"/>
      <c r="O85" s="128"/>
      <c r="P85" s="128"/>
      <c r="Q85" s="128"/>
      <c r="R85" s="128"/>
      <c r="S85" s="128"/>
      <c r="T85" s="128"/>
    </row>
    <row r="86" spans="11:21" x14ac:dyDescent="0.2">
      <c r="K86" s="128"/>
      <c r="L86" s="128"/>
      <c r="M86" s="128"/>
      <c r="N86" s="128"/>
      <c r="O86" s="128"/>
      <c r="P86" s="128"/>
      <c r="Q86" s="128"/>
      <c r="R86" s="128"/>
      <c r="S86" s="128"/>
      <c r="T86" s="128"/>
    </row>
    <row r="87" spans="11:21" x14ac:dyDescent="0.2">
      <c r="K87" s="128"/>
      <c r="L87" s="128"/>
      <c r="M87" s="128"/>
      <c r="N87" s="128"/>
      <c r="O87" s="128"/>
      <c r="P87" s="128"/>
      <c r="Q87" s="128"/>
      <c r="R87" s="128"/>
      <c r="S87" s="128"/>
      <c r="T87" s="128"/>
    </row>
    <row r="88" spans="11:21" x14ac:dyDescent="0.2">
      <c r="K88" s="128"/>
      <c r="L88" s="128"/>
      <c r="M88" s="128"/>
      <c r="N88" s="128"/>
      <c r="O88" s="128"/>
      <c r="P88" s="128"/>
      <c r="Q88" s="128"/>
      <c r="R88" s="128"/>
      <c r="S88" s="128"/>
      <c r="T88" s="128"/>
    </row>
    <row r="89" spans="11:21" x14ac:dyDescent="0.2">
      <c r="K89" s="128"/>
      <c r="L89" s="154"/>
      <c r="M89" s="154"/>
      <c r="N89" s="154"/>
      <c r="O89" s="154"/>
      <c r="P89" s="154"/>
      <c r="Q89" s="154"/>
      <c r="R89" s="154"/>
      <c r="S89" s="154"/>
      <c r="T89" s="154"/>
      <c r="U89" s="135"/>
    </row>
    <row r="90" spans="11:21" x14ac:dyDescent="0.2">
      <c r="K90" s="128"/>
      <c r="L90" s="128"/>
      <c r="M90" s="128"/>
      <c r="N90" s="128"/>
      <c r="O90" s="128"/>
      <c r="P90" s="128"/>
      <c r="Q90" s="151"/>
      <c r="R90" s="128"/>
      <c r="S90" s="151"/>
      <c r="T90" s="128"/>
      <c r="U90" s="136"/>
    </row>
    <row r="91" spans="11:21" x14ac:dyDescent="0.2">
      <c r="K91" s="128"/>
      <c r="L91" s="128"/>
      <c r="M91" s="128"/>
      <c r="N91" s="128"/>
      <c r="O91" s="128"/>
      <c r="P91" s="128"/>
      <c r="Q91" s="151"/>
      <c r="R91" s="128"/>
      <c r="S91" s="151"/>
      <c r="T91" s="128"/>
      <c r="U91" s="137"/>
    </row>
    <row r="92" spans="11:21" x14ac:dyDescent="0.2">
      <c r="K92" s="128"/>
      <c r="L92" s="128"/>
      <c r="M92" s="128"/>
      <c r="N92" s="128"/>
      <c r="O92" s="128"/>
      <c r="P92" s="128"/>
      <c r="Q92" s="128"/>
      <c r="R92" s="128"/>
      <c r="S92" s="151"/>
      <c r="T92" s="128"/>
      <c r="U92" s="147"/>
    </row>
    <row r="93" spans="11:21" x14ac:dyDescent="0.2">
      <c r="K93" s="128"/>
      <c r="L93" s="128"/>
      <c r="M93" s="128"/>
      <c r="N93" s="128"/>
      <c r="O93" s="128"/>
      <c r="P93" s="128"/>
      <c r="Q93" s="128"/>
      <c r="R93" s="128"/>
      <c r="S93" s="128"/>
      <c r="T93" s="128"/>
    </row>
    <row r="94" spans="11:21" x14ac:dyDescent="0.2">
      <c r="K94" s="128"/>
      <c r="L94" s="128"/>
      <c r="M94" s="128"/>
      <c r="N94" s="128"/>
      <c r="O94" s="128"/>
      <c r="P94" s="128"/>
      <c r="Q94" s="128"/>
      <c r="R94" s="128"/>
      <c r="S94" s="128"/>
      <c r="T94" s="128"/>
    </row>
    <row r="95" spans="11:21" x14ac:dyDescent="0.2">
      <c r="K95" s="128"/>
      <c r="L95" s="128"/>
      <c r="M95" s="128"/>
      <c r="N95" s="128"/>
      <c r="O95" s="128"/>
      <c r="P95" s="128"/>
      <c r="Q95" s="128"/>
      <c r="R95" s="128"/>
      <c r="S95" s="128"/>
      <c r="T95" s="128"/>
    </row>
    <row r="96" spans="11:21" x14ac:dyDescent="0.2">
      <c r="K96" s="128"/>
      <c r="L96" s="128"/>
      <c r="M96" s="128"/>
      <c r="N96" s="128"/>
      <c r="O96" s="128"/>
      <c r="P96" s="128"/>
      <c r="Q96" s="128"/>
      <c r="R96" s="128"/>
      <c r="S96" s="128"/>
      <c r="T96" s="128"/>
    </row>
    <row r="97" spans="11:21" x14ac:dyDescent="0.2">
      <c r="K97" s="128"/>
      <c r="L97" s="128"/>
      <c r="M97" s="128"/>
      <c r="N97" s="128"/>
      <c r="O97" s="128"/>
      <c r="P97" s="128"/>
      <c r="Q97" s="128"/>
      <c r="R97" s="128"/>
      <c r="S97" s="128"/>
      <c r="T97" s="128"/>
    </row>
    <row r="98" spans="11:21" x14ac:dyDescent="0.2">
      <c r="K98" s="128"/>
      <c r="L98" s="128"/>
      <c r="M98" s="128"/>
      <c r="N98" s="128"/>
      <c r="O98" s="128"/>
      <c r="P98" s="128"/>
      <c r="Q98" s="128"/>
      <c r="R98" s="128"/>
      <c r="S98" s="128"/>
      <c r="T98" s="128"/>
    </row>
    <row r="99" spans="11:21" x14ac:dyDescent="0.2">
      <c r="K99" s="128"/>
      <c r="L99" s="128"/>
      <c r="M99" s="128"/>
      <c r="N99" s="128"/>
      <c r="O99" s="128"/>
      <c r="P99" s="128"/>
      <c r="Q99" s="128"/>
      <c r="R99" s="128"/>
      <c r="S99" s="128"/>
      <c r="T99" s="128"/>
    </row>
    <row r="100" spans="11:21" x14ac:dyDescent="0.2">
      <c r="K100" s="128"/>
      <c r="L100" s="128"/>
      <c r="M100" s="128"/>
      <c r="N100" s="128"/>
      <c r="O100" s="128"/>
      <c r="P100" s="128"/>
      <c r="Q100" s="128"/>
      <c r="R100" s="128"/>
      <c r="S100" s="128"/>
      <c r="T100" s="128"/>
    </row>
    <row r="101" spans="11:21" x14ac:dyDescent="0.2">
      <c r="K101" s="128"/>
      <c r="L101" s="129"/>
      <c r="M101" s="148"/>
      <c r="N101" s="148"/>
      <c r="O101" s="148"/>
      <c r="P101" s="148"/>
      <c r="Q101" s="148"/>
      <c r="R101" s="148"/>
      <c r="S101" s="148"/>
      <c r="T101" s="148"/>
      <c r="U101" s="134"/>
    </row>
    <row r="102" spans="11:21" x14ac:dyDescent="0.2">
      <c r="K102" s="128"/>
      <c r="L102" s="128"/>
      <c r="M102" s="109"/>
      <c r="N102" s="109"/>
      <c r="O102" s="109"/>
      <c r="P102" s="109"/>
      <c r="Q102" s="151"/>
      <c r="R102" s="128"/>
      <c r="S102" s="151"/>
      <c r="T102" s="151"/>
      <c r="U102" s="138"/>
    </row>
    <row r="103" spans="11:21" x14ac:dyDescent="0.2">
      <c r="K103" s="128"/>
      <c r="L103" s="128"/>
      <c r="M103" s="109"/>
      <c r="N103" s="109"/>
      <c r="O103" s="109"/>
      <c r="P103" s="109"/>
      <c r="Q103" s="151"/>
      <c r="R103" s="128"/>
      <c r="S103" s="151"/>
      <c r="T103" s="151"/>
      <c r="U103" s="138"/>
    </row>
    <row r="104" spans="11:21" x14ac:dyDescent="0.2">
      <c r="K104" s="128"/>
      <c r="L104" s="128"/>
      <c r="M104" s="109"/>
      <c r="N104" s="109"/>
      <c r="O104" s="109"/>
      <c r="P104" s="109"/>
      <c r="Q104" s="151"/>
      <c r="R104" s="128"/>
      <c r="S104" s="151"/>
      <c r="T104" s="151"/>
      <c r="U104" s="138"/>
    </row>
    <row r="105" spans="11:21" x14ac:dyDescent="0.2">
      <c r="K105" s="128"/>
      <c r="L105" s="128"/>
      <c r="M105" s="109"/>
      <c r="N105" s="109"/>
      <c r="O105" s="109"/>
      <c r="P105" s="109"/>
      <c r="Q105" s="151"/>
      <c r="R105" s="128"/>
      <c r="S105" s="151"/>
      <c r="T105" s="151"/>
      <c r="U105" s="138"/>
    </row>
    <row r="106" spans="11:21" x14ac:dyDescent="0.2">
      <c r="K106" s="128"/>
      <c r="L106" s="128"/>
      <c r="M106" s="128"/>
      <c r="N106" s="128"/>
      <c r="O106" s="128"/>
      <c r="P106" s="128"/>
      <c r="Q106" s="128"/>
      <c r="R106" s="128"/>
      <c r="S106" s="128"/>
      <c r="T106" s="128"/>
    </row>
    <row r="107" spans="11:21" x14ac:dyDescent="0.2">
      <c r="K107" s="128"/>
      <c r="L107" s="128"/>
      <c r="M107" s="128"/>
      <c r="N107" s="128"/>
      <c r="O107" s="128"/>
      <c r="P107" s="128"/>
      <c r="Q107" s="128"/>
      <c r="R107" s="128"/>
      <c r="S107" s="128"/>
      <c r="T107" s="128"/>
    </row>
    <row r="108" spans="11:21" x14ac:dyDescent="0.2">
      <c r="K108" s="128"/>
      <c r="L108" s="128"/>
      <c r="M108" s="128"/>
      <c r="N108" s="128"/>
      <c r="O108" s="128"/>
      <c r="P108" s="128"/>
      <c r="Q108" s="128"/>
      <c r="R108" s="128"/>
      <c r="S108" s="128"/>
      <c r="T108" s="128"/>
    </row>
    <row r="109" spans="11:21" x14ac:dyDescent="0.2">
      <c r="K109" s="128"/>
      <c r="L109" s="129"/>
      <c r="M109" s="128"/>
      <c r="N109" s="128"/>
      <c r="O109" s="128"/>
      <c r="P109" s="128"/>
      <c r="Q109" s="128"/>
      <c r="R109" s="129"/>
      <c r="S109" s="128"/>
      <c r="T109" s="128"/>
      <c r="U109" s="131"/>
    </row>
    <row r="110" spans="11:21" x14ac:dyDescent="0.2">
      <c r="K110" s="128"/>
      <c r="L110" s="128"/>
      <c r="M110" s="151"/>
      <c r="N110" s="151"/>
      <c r="O110" s="151"/>
      <c r="P110" s="151"/>
      <c r="Q110" s="151"/>
      <c r="R110" s="155"/>
      <c r="S110" s="156"/>
      <c r="T110" s="152"/>
      <c r="U110" s="130"/>
    </row>
    <row r="111" spans="11:21" x14ac:dyDescent="0.2">
      <c r="K111" s="128"/>
      <c r="L111" s="128"/>
      <c r="M111" s="151"/>
      <c r="N111" s="151"/>
      <c r="O111" s="151"/>
      <c r="P111" s="151"/>
      <c r="Q111" s="151"/>
      <c r="R111" s="155"/>
      <c r="S111" s="156"/>
      <c r="T111" s="152"/>
      <c r="U111" s="130"/>
    </row>
    <row r="112" spans="11:21" x14ac:dyDescent="0.2">
      <c r="K112" s="128"/>
      <c r="L112" s="128"/>
      <c r="M112" s="151"/>
      <c r="N112" s="151"/>
      <c r="O112" s="151"/>
      <c r="P112" s="151"/>
      <c r="Q112" s="151"/>
      <c r="R112" s="155"/>
      <c r="S112" s="156"/>
      <c r="T112" s="152"/>
      <c r="U112" s="130"/>
    </row>
    <row r="113" spans="11:21" x14ac:dyDescent="0.2">
      <c r="K113" s="128"/>
      <c r="L113" s="128"/>
      <c r="M113" s="151"/>
      <c r="N113" s="151"/>
      <c r="O113" s="151"/>
      <c r="P113" s="151"/>
      <c r="Q113" s="151"/>
      <c r="R113" s="155"/>
      <c r="S113" s="156"/>
      <c r="T113" s="152"/>
      <c r="U113" s="130"/>
    </row>
    <row r="114" spans="11:21" x14ac:dyDescent="0.2">
      <c r="K114" s="128"/>
      <c r="L114" s="128"/>
      <c r="M114" s="128"/>
      <c r="N114" s="128"/>
      <c r="O114" s="128"/>
      <c r="P114" s="128"/>
      <c r="Q114" s="128"/>
      <c r="R114" s="128"/>
      <c r="S114" s="128"/>
      <c r="T114" s="128"/>
    </row>
    <row r="115" spans="11:21" x14ac:dyDescent="0.2">
      <c r="K115" s="128"/>
      <c r="L115" s="128"/>
      <c r="M115" s="128"/>
      <c r="N115" s="128"/>
      <c r="O115" s="128"/>
      <c r="P115" s="128"/>
      <c r="Q115" s="128"/>
      <c r="R115" s="128"/>
      <c r="S115" s="128"/>
      <c r="T115" s="128"/>
    </row>
    <row r="116" spans="11:21" x14ac:dyDescent="0.2">
      <c r="K116" s="128"/>
      <c r="L116" s="128"/>
      <c r="M116" s="128"/>
      <c r="N116" s="128"/>
      <c r="O116" s="128"/>
      <c r="P116" s="128"/>
      <c r="Q116" s="128"/>
      <c r="R116" s="128"/>
      <c r="S116" s="128"/>
      <c r="T116" s="128"/>
    </row>
    <row r="117" spans="11:21" x14ac:dyDescent="0.2">
      <c r="K117" s="128"/>
      <c r="L117" s="128"/>
      <c r="M117" s="128"/>
      <c r="N117" s="128"/>
      <c r="O117" s="128"/>
      <c r="P117" s="128"/>
      <c r="Q117" s="128"/>
      <c r="R117" s="128"/>
      <c r="S117" s="128"/>
      <c r="T117" s="128"/>
    </row>
    <row r="118" spans="11:21" x14ac:dyDescent="0.2">
      <c r="K118" s="128"/>
      <c r="L118" s="128"/>
      <c r="M118" s="128"/>
      <c r="N118" s="128"/>
      <c r="O118" s="128"/>
      <c r="P118" s="128"/>
      <c r="Q118" s="128"/>
      <c r="R118" s="128"/>
      <c r="S118" s="128"/>
      <c r="T118" s="128"/>
    </row>
    <row r="119" spans="11:21" x14ac:dyDescent="0.2">
      <c r="K119" s="128"/>
      <c r="L119" s="128"/>
      <c r="M119" s="128"/>
      <c r="N119" s="128"/>
      <c r="O119" s="128"/>
      <c r="P119" s="128"/>
      <c r="Q119" s="128"/>
      <c r="R119" s="128"/>
      <c r="S119" s="128"/>
      <c r="T119" s="128"/>
    </row>
    <row r="120" spans="11:21" x14ac:dyDescent="0.2">
      <c r="K120" s="128"/>
      <c r="L120" s="128"/>
      <c r="M120" s="128"/>
      <c r="N120" s="128"/>
      <c r="O120" s="128"/>
      <c r="P120" s="128"/>
      <c r="Q120" s="128"/>
      <c r="R120" s="128"/>
      <c r="S120" s="128"/>
      <c r="T120" s="128"/>
    </row>
    <row r="121" spans="11:21" x14ac:dyDescent="0.2">
      <c r="K121" s="128"/>
      <c r="L121" s="128"/>
      <c r="M121" s="128"/>
      <c r="N121" s="128"/>
      <c r="O121" s="128"/>
      <c r="P121" s="128"/>
      <c r="Q121" s="128"/>
      <c r="R121" s="128"/>
      <c r="S121" s="128"/>
      <c r="T121" s="128"/>
    </row>
    <row r="122" spans="11:21" x14ac:dyDescent="0.2">
      <c r="K122" s="128"/>
      <c r="L122" s="128"/>
      <c r="M122" s="128"/>
      <c r="N122" s="128"/>
      <c r="O122" s="128"/>
      <c r="P122" s="128"/>
      <c r="Q122" s="128"/>
      <c r="R122" s="128"/>
      <c r="S122" s="128"/>
      <c r="T122" s="128"/>
    </row>
    <row r="123" spans="11:21" x14ac:dyDescent="0.2">
      <c r="K123" s="128"/>
      <c r="L123" s="128"/>
      <c r="M123" s="128"/>
      <c r="N123" s="128"/>
      <c r="O123" s="128"/>
      <c r="P123" s="128"/>
      <c r="Q123" s="128"/>
      <c r="R123" s="128"/>
      <c r="S123" s="128"/>
      <c r="T123" s="128"/>
    </row>
    <row r="124" spans="11:21" x14ac:dyDescent="0.2">
      <c r="K124" s="128"/>
      <c r="L124" s="128"/>
      <c r="M124" s="128"/>
      <c r="N124" s="128"/>
      <c r="O124" s="128"/>
      <c r="P124" s="128"/>
      <c r="Q124" s="128"/>
      <c r="R124" s="128"/>
      <c r="S124" s="128"/>
      <c r="T124" s="128"/>
    </row>
    <row r="125" spans="11:21" x14ac:dyDescent="0.2">
      <c r="K125" s="128"/>
      <c r="L125" s="128"/>
      <c r="M125" s="128"/>
      <c r="N125" s="128"/>
      <c r="O125" s="128"/>
      <c r="P125" s="128"/>
      <c r="Q125" s="128"/>
      <c r="R125" s="128"/>
      <c r="S125" s="128"/>
      <c r="T125" s="128"/>
    </row>
    <row r="126" spans="11:21" x14ac:dyDescent="0.2">
      <c r="K126" s="128"/>
      <c r="L126" s="128"/>
      <c r="M126" s="128"/>
      <c r="N126" s="128"/>
      <c r="O126" s="128"/>
      <c r="P126" s="128"/>
      <c r="Q126" s="128"/>
      <c r="R126" s="128"/>
      <c r="S126" s="128"/>
      <c r="T126" s="128"/>
    </row>
    <row r="127" spans="11:21" x14ac:dyDescent="0.2">
      <c r="K127" s="128"/>
      <c r="L127" s="128"/>
      <c r="M127" s="128"/>
      <c r="N127" s="128"/>
      <c r="O127" s="128"/>
      <c r="P127" s="128"/>
      <c r="Q127" s="128"/>
      <c r="R127" s="128"/>
      <c r="S127" s="128"/>
      <c r="T127" s="128"/>
    </row>
    <row r="128" spans="11:21" x14ac:dyDescent="0.2">
      <c r="K128" s="128"/>
      <c r="L128" s="128"/>
      <c r="M128" s="128"/>
      <c r="N128" s="128"/>
      <c r="O128" s="128"/>
      <c r="P128" s="128"/>
      <c r="Q128" s="128"/>
      <c r="R128" s="128"/>
      <c r="S128" s="128"/>
      <c r="T128" s="128"/>
    </row>
    <row r="129" spans="11:20" x14ac:dyDescent="0.2">
      <c r="K129" s="128"/>
      <c r="L129" s="128"/>
      <c r="M129" s="128"/>
      <c r="N129" s="128"/>
      <c r="O129" s="128"/>
      <c r="P129" s="128"/>
      <c r="Q129" s="128"/>
      <c r="R129" s="128"/>
      <c r="S129" s="128"/>
      <c r="T129" s="128"/>
    </row>
    <row r="130" spans="11:20" x14ac:dyDescent="0.2">
      <c r="K130" s="128"/>
      <c r="L130" s="128"/>
      <c r="M130" s="128"/>
      <c r="N130" s="128"/>
      <c r="O130" s="128"/>
      <c r="P130" s="128"/>
      <c r="Q130" s="128"/>
      <c r="R130" s="128"/>
      <c r="S130" s="128"/>
      <c r="T130" s="128"/>
    </row>
    <row r="131" spans="11:20" x14ac:dyDescent="0.2">
      <c r="K131" s="128"/>
      <c r="L131" s="128"/>
      <c r="M131" s="128"/>
      <c r="N131" s="128"/>
      <c r="O131" s="128"/>
      <c r="P131" s="128"/>
      <c r="Q131" s="128"/>
      <c r="R131" s="128"/>
      <c r="S131" s="128"/>
      <c r="T131" s="128"/>
    </row>
    <row r="132" spans="11:20" x14ac:dyDescent="0.2">
      <c r="K132" s="128"/>
      <c r="L132" s="128"/>
      <c r="M132" s="128"/>
      <c r="N132" s="128"/>
      <c r="O132" s="128"/>
      <c r="P132" s="128"/>
      <c r="Q132" s="128"/>
      <c r="R132" s="128"/>
      <c r="S132" s="128"/>
      <c r="T132" s="128"/>
    </row>
    <row r="133" spans="11:20" x14ac:dyDescent="0.2">
      <c r="K133" s="128"/>
      <c r="L133" s="128"/>
      <c r="M133" s="128"/>
      <c r="N133" s="128"/>
      <c r="O133" s="128"/>
      <c r="P133" s="128"/>
      <c r="Q133" s="128"/>
      <c r="R133" s="128"/>
      <c r="S133" s="128"/>
      <c r="T133" s="128"/>
    </row>
    <row r="134" spans="11:20" x14ac:dyDescent="0.2">
      <c r="K134" s="128"/>
      <c r="L134" s="128"/>
      <c r="M134" s="128"/>
      <c r="N134" s="128"/>
      <c r="O134" s="128"/>
      <c r="P134" s="128"/>
      <c r="Q134" s="128"/>
      <c r="R134" s="128"/>
      <c r="S134" s="128"/>
      <c r="T134" s="128"/>
    </row>
    <row r="135" spans="11:20" x14ac:dyDescent="0.2">
      <c r="K135" s="128"/>
      <c r="L135" s="128"/>
      <c r="M135" s="128"/>
      <c r="N135" s="128"/>
      <c r="O135" s="128"/>
      <c r="P135" s="128"/>
      <c r="Q135" s="128"/>
      <c r="R135" s="128"/>
      <c r="S135" s="128"/>
      <c r="T135" s="128"/>
    </row>
    <row r="136" spans="11:20" x14ac:dyDescent="0.2">
      <c r="K136" s="128"/>
      <c r="L136" s="128"/>
      <c r="M136" s="128"/>
      <c r="N136" s="128"/>
      <c r="O136" s="128"/>
      <c r="P136" s="128"/>
      <c r="Q136" s="128"/>
      <c r="R136" s="128"/>
      <c r="S136" s="128"/>
      <c r="T136" s="128"/>
    </row>
    <row r="137" spans="11:20" x14ac:dyDescent="0.2">
      <c r="K137" s="128"/>
      <c r="L137" s="128"/>
      <c r="M137" s="128"/>
      <c r="N137" s="128"/>
      <c r="O137" s="128"/>
      <c r="P137" s="128"/>
      <c r="Q137" s="128"/>
      <c r="R137" s="128"/>
      <c r="S137" s="128"/>
      <c r="T137" s="128"/>
    </row>
    <row r="138" spans="11:20" x14ac:dyDescent="0.2">
      <c r="K138" s="128"/>
      <c r="L138" s="128"/>
      <c r="M138" s="128"/>
      <c r="N138" s="128"/>
      <c r="O138" s="128"/>
      <c r="P138" s="128"/>
      <c r="Q138" s="128"/>
      <c r="R138" s="128"/>
      <c r="S138" s="128"/>
      <c r="T138" s="128"/>
    </row>
    <row r="139" spans="11:20" x14ac:dyDescent="0.2">
      <c r="K139" s="128"/>
      <c r="L139" s="128"/>
      <c r="M139" s="128"/>
      <c r="N139" s="128"/>
      <c r="O139" s="128"/>
      <c r="P139" s="128"/>
      <c r="Q139" s="128"/>
      <c r="R139" s="128"/>
      <c r="S139" s="128"/>
      <c r="T139" s="128"/>
    </row>
    <row r="140" spans="11:20" x14ac:dyDescent="0.2">
      <c r="K140" s="128"/>
      <c r="L140" s="128"/>
      <c r="M140" s="128"/>
      <c r="N140" s="128"/>
      <c r="O140" s="128"/>
      <c r="P140" s="128"/>
      <c r="Q140" s="128"/>
      <c r="R140" s="128"/>
      <c r="S140" s="128"/>
      <c r="T140" s="128"/>
    </row>
    <row r="141" spans="11:20" x14ac:dyDescent="0.2">
      <c r="K141" s="128"/>
      <c r="L141" s="128"/>
      <c r="M141" s="128"/>
      <c r="N141" s="128"/>
      <c r="O141" s="128"/>
      <c r="P141" s="128"/>
      <c r="Q141" s="128"/>
      <c r="R141" s="128"/>
      <c r="S141" s="128"/>
      <c r="T141" s="128"/>
    </row>
    <row r="142" spans="11:20" x14ac:dyDescent="0.2">
      <c r="K142" s="128"/>
      <c r="L142" s="128"/>
      <c r="M142" s="128"/>
      <c r="N142" s="128"/>
      <c r="O142" s="128"/>
      <c r="P142" s="128"/>
      <c r="Q142" s="128"/>
      <c r="R142" s="128"/>
      <c r="S142" s="128"/>
      <c r="T142" s="128"/>
    </row>
    <row r="143" spans="11:20" x14ac:dyDescent="0.2">
      <c r="K143" s="128"/>
      <c r="L143" s="128"/>
      <c r="M143" s="128"/>
      <c r="N143" s="128"/>
      <c r="O143" s="128"/>
      <c r="P143" s="128"/>
      <c r="Q143" s="128"/>
      <c r="R143" s="128"/>
      <c r="S143" s="128"/>
      <c r="T143" s="128"/>
    </row>
    <row r="144" spans="11:20" x14ac:dyDescent="0.2">
      <c r="K144" s="128"/>
      <c r="L144" s="128"/>
      <c r="M144" s="128"/>
      <c r="N144" s="128"/>
      <c r="O144" s="128"/>
      <c r="P144" s="128"/>
      <c r="Q144" s="128"/>
      <c r="R144" s="128"/>
      <c r="S144" s="128"/>
      <c r="T144" s="128"/>
    </row>
    <row r="145" spans="11:20" x14ac:dyDescent="0.2">
      <c r="K145" s="128"/>
      <c r="L145" s="128"/>
      <c r="M145" s="128"/>
      <c r="N145" s="128"/>
      <c r="O145" s="128"/>
      <c r="P145" s="128"/>
      <c r="Q145" s="128"/>
      <c r="R145" s="128"/>
      <c r="S145" s="128"/>
      <c r="T145" s="128"/>
    </row>
    <row r="146" spans="11:20" x14ac:dyDescent="0.2">
      <c r="K146" s="128"/>
      <c r="L146" s="128"/>
      <c r="M146" s="128"/>
      <c r="N146" s="128"/>
      <c r="O146" s="128"/>
      <c r="P146" s="128"/>
      <c r="Q146" s="128"/>
      <c r="R146" s="128"/>
      <c r="S146" s="128"/>
      <c r="T146" s="128"/>
    </row>
    <row r="147" spans="11:20" x14ac:dyDescent="0.2">
      <c r="K147" s="128"/>
      <c r="L147" s="128"/>
      <c r="M147" s="128"/>
      <c r="N147" s="128"/>
      <c r="O147" s="128"/>
      <c r="P147" s="128"/>
      <c r="Q147" s="128"/>
      <c r="R147" s="128"/>
      <c r="S147" s="128"/>
      <c r="T147" s="128"/>
    </row>
    <row r="148" spans="11:20" x14ac:dyDescent="0.2">
      <c r="K148" s="128"/>
      <c r="L148" s="128"/>
      <c r="M148" s="128"/>
      <c r="N148" s="128"/>
      <c r="O148" s="128"/>
      <c r="P148" s="128"/>
      <c r="Q148" s="128"/>
      <c r="R148" s="128"/>
      <c r="S148" s="128"/>
      <c r="T148" s="128"/>
    </row>
    <row r="149" spans="11:20" x14ac:dyDescent="0.2">
      <c r="K149" s="128"/>
      <c r="L149" s="128"/>
      <c r="M149" s="128"/>
      <c r="N149" s="128"/>
      <c r="O149" s="128"/>
      <c r="P149" s="128"/>
      <c r="Q149" s="128"/>
      <c r="R149" s="128"/>
      <c r="S149" s="128"/>
      <c r="T149" s="128"/>
    </row>
    <row r="150" spans="11:20" x14ac:dyDescent="0.2">
      <c r="K150" s="128"/>
      <c r="L150" s="128"/>
      <c r="M150" s="128"/>
      <c r="N150" s="128"/>
      <c r="O150" s="128"/>
      <c r="P150" s="128"/>
      <c r="Q150" s="128"/>
      <c r="R150" s="128"/>
      <c r="S150" s="128"/>
      <c r="T150" s="128"/>
    </row>
    <row r="151" spans="11:20" x14ac:dyDescent="0.2">
      <c r="K151" s="128"/>
      <c r="L151" s="128"/>
      <c r="M151" s="128"/>
      <c r="N151" s="128"/>
      <c r="O151" s="128"/>
      <c r="P151" s="128"/>
      <c r="Q151" s="128"/>
      <c r="R151" s="128"/>
      <c r="S151" s="128"/>
      <c r="T151" s="128"/>
    </row>
    <row r="152" spans="11:20" x14ac:dyDescent="0.2">
      <c r="K152" s="128"/>
      <c r="L152" s="128"/>
      <c r="M152" s="128"/>
      <c r="N152" s="128"/>
      <c r="O152" s="128"/>
      <c r="P152" s="128"/>
      <c r="Q152" s="128"/>
      <c r="R152" s="128"/>
      <c r="S152" s="128"/>
      <c r="T152" s="128"/>
    </row>
    <row r="153" spans="11:20" x14ac:dyDescent="0.2">
      <c r="K153" s="128"/>
      <c r="L153" s="128"/>
      <c r="M153" s="128"/>
      <c r="N153" s="128"/>
      <c r="O153" s="128"/>
      <c r="P153" s="128"/>
      <c r="Q153" s="128"/>
      <c r="R153" s="128"/>
      <c r="S153" s="128"/>
      <c r="T153" s="128"/>
    </row>
    <row r="154" spans="11:20" x14ac:dyDescent="0.2">
      <c r="K154" s="128"/>
      <c r="L154" s="128"/>
      <c r="M154" s="128"/>
      <c r="N154" s="128"/>
      <c r="O154" s="128"/>
      <c r="P154" s="128"/>
      <c r="Q154" s="128"/>
      <c r="R154" s="128"/>
      <c r="S154" s="128"/>
      <c r="T154" s="128"/>
    </row>
    <row r="155" spans="11:20" x14ac:dyDescent="0.2">
      <c r="K155" s="128"/>
      <c r="L155" s="128"/>
      <c r="M155" s="128"/>
      <c r="N155" s="128"/>
      <c r="O155" s="128"/>
      <c r="P155" s="128"/>
      <c r="Q155" s="128"/>
      <c r="R155" s="128"/>
      <c r="S155" s="128"/>
      <c r="T155" s="128"/>
    </row>
    <row r="156" spans="11:20" x14ac:dyDescent="0.2">
      <c r="K156" s="128"/>
      <c r="L156" s="128"/>
      <c r="M156" s="128"/>
      <c r="N156" s="128"/>
      <c r="O156" s="128"/>
      <c r="P156" s="128"/>
      <c r="Q156" s="128"/>
      <c r="R156" s="128"/>
      <c r="S156" s="128"/>
      <c r="T156" s="128"/>
    </row>
    <row r="157" spans="11:20" x14ac:dyDescent="0.2">
      <c r="K157" s="128"/>
      <c r="L157" s="128"/>
      <c r="M157" s="128"/>
      <c r="N157" s="128"/>
      <c r="O157" s="128"/>
      <c r="P157" s="128"/>
      <c r="Q157" s="128"/>
      <c r="R157" s="128"/>
      <c r="S157" s="128"/>
      <c r="T157" s="128"/>
    </row>
    <row r="158" spans="11:20" x14ac:dyDescent="0.2">
      <c r="K158" s="128"/>
      <c r="L158" s="128"/>
      <c r="M158" s="128"/>
      <c r="N158" s="128"/>
      <c r="O158" s="128"/>
      <c r="P158" s="128"/>
      <c r="Q158" s="128"/>
      <c r="R158" s="128"/>
      <c r="S158" s="128"/>
      <c r="T158" s="128"/>
    </row>
    <row r="159" spans="11:20" x14ac:dyDescent="0.2">
      <c r="K159" s="128"/>
      <c r="L159" s="128"/>
      <c r="M159" s="128"/>
      <c r="N159" s="128"/>
      <c r="O159" s="128"/>
      <c r="P159" s="128"/>
      <c r="Q159" s="128"/>
      <c r="R159" s="128"/>
      <c r="S159" s="128"/>
      <c r="T159" s="128"/>
    </row>
    <row r="160" spans="11:20" x14ac:dyDescent="0.2">
      <c r="K160" s="128"/>
      <c r="L160" s="128"/>
      <c r="M160" s="128"/>
      <c r="N160" s="128"/>
      <c r="O160" s="128"/>
      <c r="P160" s="128"/>
      <c r="Q160" s="128"/>
      <c r="R160" s="128"/>
      <c r="S160" s="128"/>
      <c r="T160" s="128"/>
    </row>
    <row r="161" spans="11:20" x14ac:dyDescent="0.2">
      <c r="K161" s="128"/>
      <c r="L161" s="128"/>
      <c r="M161" s="128"/>
      <c r="N161" s="128"/>
      <c r="O161" s="128"/>
      <c r="P161" s="128"/>
      <c r="Q161" s="128"/>
      <c r="R161" s="128"/>
      <c r="S161" s="128"/>
      <c r="T161" s="128"/>
    </row>
    <row r="162" spans="11:20" x14ac:dyDescent="0.2">
      <c r="K162" s="128"/>
      <c r="L162" s="128"/>
      <c r="M162" s="128"/>
      <c r="N162" s="128"/>
      <c r="O162" s="128"/>
      <c r="P162" s="128"/>
      <c r="Q162" s="128"/>
      <c r="R162" s="128"/>
      <c r="S162" s="128"/>
      <c r="T162" s="128"/>
    </row>
    <row r="163" spans="11:20" x14ac:dyDescent="0.2">
      <c r="K163" s="128"/>
      <c r="L163" s="128"/>
      <c r="M163" s="128"/>
      <c r="N163" s="128"/>
      <c r="O163" s="128"/>
      <c r="P163" s="128"/>
      <c r="Q163" s="128"/>
      <c r="R163" s="128"/>
      <c r="S163" s="128"/>
      <c r="T163" s="128"/>
    </row>
    <row r="164" spans="11:20" x14ac:dyDescent="0.2">
      <c r="K164" s="128"/>
      <c r="L164" s="128"/>
      <c r="M164" s="128"/>
      <c r="N164" s="128"/>
      <c r="O164" s="128"/>
      <c r="P164" s="128"/>
      <c r="Q164" s="128"/>
      <c r="R164" s="128"/>
      <c r="S164" s="128"/>
      <c r="T164" s="128"/>
    </row>
    <row r="165" spans="11:20" x14ac:dyDescent="0.2">
      <c r="K165" s="128"/>
      <c r="L165" s="128"/>
      <c r="M165" s="128"/>
      <c r="N165" s="128"/>
      <c r="O165" s="128"/>
      <c r="P165" s="128"/>
      <c r="Q165" s="128"/>
      <c r="R165" s="128"/>
      <c r="S165" s="128"/>
      <c r="T165" s="128"/>
    </row>
    <row r="166" spans="11:20" x14ac:dyDescent="0.2">
      <c r="K166" s="128"/>
      <c r="L166" s="128"/>
      <c r="M166" s="128"/>
      <c r="N166" s="128"/>
      <c r="O166" s="128"/>
      <c r="P166" s="128"/>
      <c r="Q166" s="128"/>
      <c r="R166" s="128"/>
      <c r="S166" s="128"/>
      <c r="T166" s="128"/>
    </row>
    <row r="167" spans="11:20" x14ac:dyDescent="0.2">
      <c r="K167" s="157"/>
      <c r="L167" s="128"/>
      <c r="M167" s="128"/>
      <c r="N167" s="128"/>
      <c r="O167" s="128"/>
      <c r="P167" s="128"/>
      <c r="Q167" s="128"/>
      <c r="R167" s="128"/>
      <c r="S167" s="128"/>
      <c r="T167" s="128"/>
    </row>
    <row r="168" spans="11:20" x14ac:dyDescent="0.2">
      <c r="K168" s="157"/>
      <c r="L168" s="128"/>
      <c r="M168" s="128"/>
      <c r="N168" s="128"/>
      <c r="O168" s="128"/>
      <c r="P168" s="128"/>
      <c r="Q168" s="128"/>
      <c r="R168" s="128"/>
      <c r="S168" s="128"/>
      <c r="T168" s="128"/>
    </row>
    <row r="169" spans="11:20" x14ac:dyDescent="0.2">
      <c r="K169" s="157"/>
      <c r="L169" s="128"/>
      <c r="M169" s="128"/>
      <c r="N169" s="128"/>
      <c r="O169" s="128"/>
      <c r="P169" s="128"/>
      <c r="Q169" s="128"/>
      <c r="R169" s="128"/>
      <c r="S169" s="128"/>
      <c r="T169" s="128"/>
    </row>
    <row r="170" spans="11:20" x14ac:dyDescent="0.2">
      <c r="K170" s="157"/>
      <c r="L170" s="128"/>
      <c r="M170" s="128"/>
      <c r="N170" s="128"/>
      <c r="O170" s="128"/>
      <c r="P170" s="128"/>
      <c r="Q170" s="128"/>
      <c r="R170" s="128"/>
      <c r="S170" s="128"/>
      <c r="T170" s="128"/>
    </row>
    <row r="171" spans="11:20" x14ac:dyDescent="0.2">
      <c r="K171" s="157"/>
      <c r="L171" s="128"/>
      <c r="M171" s="128"/>
      <c r="N171" s="128"/>
      <c r="O171" s="128"/>
      <c r="P171" s="128"/>
      <c r="Q171" s="128"/>
      <c r="R171" s="128"/>
      <c r="S171" s="128"/>
      <c r="T171" s="128"/>
    </row>
    <row r="172" spans="11:20" x14ac:dyDescent="0.2">
      <c r="K172" s="157"/>
      <c r="L172" s="128"/>
      <c r="M172" s="128"/>
      <c r="N172" s="128"/>
      <c r="O172" s="128"/>
      <c r="P172" s="128"/>
      <c r="Q172" s="128"/>
      <c r="R172" s="128"/>
      <c r="S172" s="128"/>
      <c r="T172" s="128"/>
    </row>
    <row r="173" spans="11:20" x14ac:dyDescent="0.2">
      <c r="K173" s="157"/>
      <c r="L173" s="128"/>
      <c r="M173" s="128"/>
      <c r="N173" s="128"/>
      <c r="O173" s="128"/>
      <c r="P173" s="128"/>
      <c r="Q173" s="128"/>
      <c r="R173" s="128"/>
      <c r="S173" s="128"/>
      <c r="T173" s="128"/>
    </row>
    <row r="174" spans="11:20" x14ac:dyDescent="0.2">
      <c r="K174" s="128"/>
      <c r="L174" s="128"/>
      <c r="M174" s="128"/>
      <c r="N174" s="128"/>
      <c r="O174" s="128"/>
      <c r="P174" s="128"/>
      <c r="Q174" s="128"/>
      <c r="R174" s="128"/>
      <c r="S174" s="128"/>
      <c r="T174" s="128"/>
    </row>
    <row r="175" spans="11:20" x14ac:dyDescent="0.2">
      <c r="K175" s="128"/>
      <c r="L175" s="128"/>
      <c r="M175" s="128"/>
      <c r="N175" s="128"/>
      <c r="O175" s="128"/>
      <c r="P175" s="128"/>
      <c r="Q175" s="128"/>
      <c r="R175" s="128"/>
      <c r="S175" s="128"/>
      <c r="T175" s="128"/>
    </row>
    <row r="176" spans="11:20" x14ac:dyDescent="0.2">
      <c r="K176" s="149"/>
      <c r="L176" s="128"/>
      <c r="M176" s="128"/>
      <c r="N176" s="128"/>
      <c r="O176" s="128"/>
      <c r="P176" s="128"/>
      <c r="Q176" s="128"/>
      <c r="R176" s="128"/>
      <c r="S176" s="128"/>
      <c r="T176" s="128"/>
    </row>
    <row r="177" spans="11:20" x14ac:dyDescent="0.2">
      <c r="K177" s="157"/>
      <c r="L177" s="128"/>
      <c r="M177" s="128"/>
      <c r="N177" s="128"/>
      <c r="O177" s="128"/>
      <c r="P177" s="128"/>
      <c r="Q177" s="128"/>
      <c r="R177" s="128"/>
      <c r="S177" s="128"/>
      <c r="T177" s="128"/>
    </row>
    <row r="178" spans="11:20" x14ac:dyDescent="0.2">
      <c r="K178" s="15"/>
      <c r="L178" s="128"/>
      <c r="M178" s="128"/>
      <c r="N178" s="128"/>
      <c r="O178" s="128"/>
      <c r="P178" s="128"/>
      <c r="Q178" s="128"/>
      <c r="R178" s="128"/>
      <c r="S178" s="128"/>
      <c r="T178" s="128"/>
    </row>
    <row r="179" spans="11:20" x14ac:dyDescent="0.2">
      <c r="K179" s="158"/>
      <c r="L179" s="128"/>
      <c r="M179" s="128"/>
      <c r="N179" s="128"/>
      <c r="O179" s="128"/>
      <c r="P179" s="128"/>
      <c r="Q179" s="128"/>
      <c r="R179" s="128"/>
      <c r="S179" s="128"/>
      <c r="T179" s="128"/>
    </row>
    <row r="180" spans="11:20" x14ac:dyDescent="0.2">
      <c r="K180" s="148"/>
      <c r="L180" s="128"/>
      <c r="M180" s="128"/>
      <c r="N180" s="128"/>
      <c r="O180" s="128"/>
      <c r="P180" s="128"/>
      <c r="Q180" s="128"/>
      <c r="R180" s="128"/>
      <c r="S180" s="128"/>
      <c r="T180" s="128"/>
    </row>
    <row r="181" spans="11:20" x14ac:dyDescent="0.2">
      <c r="K181" s="157"/>
      <c r="L181" s="128"/>
      <c r="M181" s="128"/>
      <c r="N181" s="128"/>
      <c r="O181" s="128"/>
      <c r="P181" s="128"/>
      <c r="Q181" s="128"/>
      <c r="R181" s="128"/>
      <c r="S181" s="128"/>
      <c r="T181" s="128"/>
    </row>
    <row r="182" spans="11:20" x14ac:dyDescent="0.2">
      <c r="K182" s="157"/>
      <c r="L182" s="128"/>
      <c r="M182" s="128"/>
      <c r="N182" s="128"/>
      <c r="O182" s="128"/>
      <c r="P182" s="128"/>
      <c r="Q182" s="128"/>
      <c r="R182" s="128"/>
      <c r="S182" s="128"/>
      <c r="T182" s="128"/>
    </row>
    <row r="183" spans="11:20" x14ac:dyDescent="0.2">
      <c r="K183" s="157"/>
      <c r="L183" s="128"/>
      <c r="M183" s="128"/>
      <c r="N183" s="128"/>
      <c r="O183" s="128"/>
      <c r="P183" s="128"/>
      <c r="Q183" s="128"/>
      <c r="R183" s="128"/>
      <c r="S183" s="128"/>
      <c r="T183" s="128"/>
    </row>
    <row r="184" spans="11:20" x14ac:dyDescent="0.2">
      <c r="K184" s="157"/>
      <c r="L184" s="128"/>
      <c r="M184" s="128"/>
      <c r="N184" s="128"/>
      <c r="O184" s="128"/>
      <c r="P184" s="128"/>
      <c r="Q184" s="128"/>
      <c r="R184" s="128"/>
      <c r="S184" s="128"/>
      <c r="T184" s="128"/>
    </row>
    <row r="185" spans="11:20" x14ac:dyDescent="0.2">
      <c r="K185" s="157"/>
      <c r="L185" s="128"/>
      <c r="M185" s="128"/>
      <c r="N185" s="128"/>
      <c r="O185" s="128"/>
      <c r="P185" s="128"/>
      <c r="Q185" s="128"/>
      <c r="R185" s="128"/>
      <c r="S185" s="128"/>
      <c r="T185" s="128"/>
    </row>
    <row r="186" spans="11:20" x14ac:dyDescent="0.2">
      <c r="K186" s="157"/>
      <c r="L186" s="128"/>
      <c r="M186" s="128"/>
      <c r="N186" s="128"/>
      <c r="O186" s="128"/>
      <c r="P186" s="128"/>
      <c r="Q186" s="128"/>
      <c r="R186" s="128"/>
      <c r="S186" s="128"/>
      <c r="T186" s="128"/>
    </row>
    <row r="187" spans="11:20" x14ac:dyDescent="0.2">
      <c r="K187" s="128"/>
      <c r="L187" s="128"/>
      <c r="M187" s="128"/>
      <c r="N187" s="128"/>
      <c r="O187" s="128"/>
      <c r="P187" s="128"/>
      <c r="Q187" s="128"/>
      <c r="R187" s="128"/>
      <c r="S187" s="128"/>
      <c r="T187" s="128"/>
    </row>
    <row r="188" spans="11:20" x14ac:dyDescent="0.2">
      <c r="K188" s="128"/>
      <c r="L188" s="128"/>
      <c r="M188" s="128"/>
      <c r="N188" s="128"/>
      <c r="O188" s="128"/>
      <c r="P188" s="128"/>
      <c r="Q188" s="128"/>
      <c r="R188" s="128"/>
      <c r="S188" s="128"/>
      <c r="T188" s="128"/>
    </row>
    <row r="189" spans="11:20" x14ac:dyDescent="0.2">
      <c r="K189" s="128"/>
      <c r="L189" s="128"/>
      <c r="M189" s="128"/>
      <c r="N189" s="128"/>
      <c r="O189" s="128"/>
      <c r="P189" s="128"/>
      <c r="Q189" s="128"/>
      <c r="R189" s="128"/>
      <c r="S189" s="128"/>
      <c r="T189" s="128"/>
    </row>
    <row r="190" spans="11:20" x14ac:dyDescent="0.2">
      <c r="K190" s="128"/>
      <c r="L190" s="128"/>
      <c r="M190" s="128"/>
      <c r="N190" s="128"/>
      <c r="O190" s="128"/>
      <c r="P190" s="128"/>
      <c r="Q190" s="128"/>
      <c r="R190" s="128"/>
      <c r="S190" s="128"/>
      <c r="T190" s="128"/>
    </row>
    <row r="191" spans="11:20" x14ac:dyDescent="0.2">
      <c r="K191" s="128"/>
      <c r="L191" s="128"/>
      <c r="M191" s="128"/>
      <c r="N191" s="128"/>
      <c r="O191" s="128"/>
      <c r="P191" s="128"/>
      <c r="Q191" s="128"/>
      <c r="R191" s="128"/>
      <c r="S191" s="128"/>
      <c r="T191" s="128"/>
    </row>
    <row r="192" spans="11:20" x14ac:dyDescent="0.2">
      <c r="K192" s="128"/>
      <c r="L192" s="128"/>
      <c r="M192" s="128"/>
      <c r="N192" s="128"/>
      <c r="O192" s="128"/>
      <c r="P192" s="128"/>
      <c r="Q192" s="128"/>
      <c r="R192" s="128"/>
      <c r="S192" s="128"/>
      <c r="T192" s="128"/>
    </row>
    <row r="193" spans="11:20" x14ac:dyDescent="0.2">
      <c r="K193" s="128"/>
      <c r="L193" s="128"/>
      <c r="M193" s="128"/>
      <c r="N193" s="128"/>
      <c r="O193" s="128"/>
      <c r="P193" s="128"/>
      <c r="Q193" s="128"/>
      <c r="R193" s="128"/>
      <c r="S193" s="128"/>
      <c r="T193" s="128"/>
    </row>
    <row r="194" spans="11:20" x14ac:dyDescent="0.2">
      <c r="K194" s="128"/>
      <c r="L194" s="128"/>
      <c r="M194" s="128"/>
      <c r="N194" s="128"/>
      <c r="O194" s="128"/>
      <c r="P194" s="128"/>
      <c r="Q194" s="128"/>
      <c r="R194" s="128"/>
      <c r="S194" s="128"/>
      <c r="T194" s="128"/>
    </row>
    <row r="195" spans="11:20" x14ac:dyDescent="0.2">
      <c r="K195" s="128"/>
      <c r="L195" s="128"/>
      <c r="M195" s="128"/>
      <c r="N195" s="128"/>
      <c r="O195" s="128"/>
      <c r="P195" s="128"/>
      <c r="Q195" s="128"/>
      <c r="R195" s="128"/>
      <c r="S195" s="128"/>
      <c r="T195" s="128"/>
    </row>
    <row r="196" spans="11:20" x14ac:dyDescent="0.2">
      <c r="K196" s="128"/>
      <c r="L196" s="128"/>
      <c r="M196" s="128"/>
      <c r="N196" s="128"/>
      <c r="O196" s="128"/>
      <c r="P196" s="128"/>
      <c r="Q196" s="128"/>
      <c r="R196" s="128"/>
      <c r="S196" s="128"/>
      <c r="T196" s="128"/>
    </row>
    <row r="197" spans="11:20" x14ac:dyDescent="0.2">
      <c r="K197" s="154"/>
      <c r="L197" s="128"/>
      <c r="M197" s="128"/>
      <c r="N197" s="128"/>
      <c r="O197" s="128"/>
      <c r="P197" s="128"/>
      <c r="Q197" s="128"/>
      <c r="R197" s="128"/>
      <c r="S197" s="128"/>
      <c r="T197" s="128"/>
    </row>
    <row r="198" spans="11:20" x14ac:dyDescent="0.2">
      <c r="K198" s="154"/>
      <c r="L198" s="128"/>
      <c r="M198" s="128"/>
      <c r="N198" s="128"/>
      <c r="O198" s="128"/>
      <c r="P198" s="128"/>
      <c r="Q198" s="128"/>
      <c r="R198" s="128"/>
      <c r="S198" s="128"/>
      <c r="T198" s="128"/>
    </row>
    <row r="199" spans="11:20" x14ac:dyDescent="0.2">
      <c r="K199" s="128"/>
      <c r="L199" s="128"/>
      <c r="M199" s="128"/>
      <c r="N199" s="128"/>
      <c r="O199" s="128"/>
      <c r="P199" s="128"/>
      <c r="Q199" s="128"/>
      <c r="R199" s="128"/>
      <c r="S199" s="128"/>
      <c r="T199" s="128"/>
    </row>
    <row r="200" spans="11:20" x14ac:dyDescent="0.2">
      <c r="K200" s="148"/>
      <c r="L200" s="128"/>
      <c r="M200" s="128"/>
      <c r="N200" s="128"/>
      <c r="O200" s="128"/>
      <c r="P200" s="128"/>
      <c r="Q200" s="128"/>
      <c r="R200" s="128"/>
      <c r="S200" s="128"/>
      <c r="T200" s="128"/>
    </row>
    <row r="201" spans="11:20" x14ac:dyDescent="0.2">
      <c r="K201" s="154"/>
      <c r="L201" s="128"/>
      <c r="M201" s="128"/>
      <c r="N201" s="128"/>
      <c r="O201" s="128"/>
      <c r="P201" s="128"/>
      <c r="Q201" s="128"/>
      <c r="R201" s="128"/>
      <c r="S201" s="128"/>
      <c r="T201" s="128"/>
    </row>
    <row r="202" spans="11:20" x14ac:dyDescent="0.2">
      <c r="K202" s="148"/>
      <c r="L202" s="128"/>
      <c r="M202" s="128"/>
      <c r="N202" s="128"/>
      <c r="O202" s="128"/>
      <c r="P202" s="128"/>
      <c r="Q202" s="128"/>
      <c r="R202" s="128"/>
      <c r="S202" s="128"/>
      <c r="T202" s="128"/>
    </row>
    <row r="203" spans="11:20" x14ac:dyDescent="0.2">
      <c r="K203" s="148"/>
      <c r="L203" s="128"/>
      <c r="M203" s="128"/>
      <c r="N203" s="128"/>
      <c r="O203" s="128"/>
      <c r="P203" s="128"/>
      <c r="Q203" s="128"/>
      <c r="R203" s="128"/>
      <c r="S203" s="128"/>
      <c r="T203" s="128"/>
    </row>
    <row r="204" spans="11:20" x14ac:dyDescent="0.2">
      <c r="K204" s="128"/>
      <c r="L204" s="128"/>
      <c r="M204" s="128"/>
      <c r="N204" s="128"/>
      <c r="O204" s="128"/>
      <c r="P204" s="128"/>
      <c r="Q204" s="128"/>
      <c r="R204" s="128"/>
      <c r="S204" s="128"/>
      <c r="T204" s="128"/>
    </row>
    <row r="205" spans="11:20" x14ac:dyDescent="0.2">
      <c r="K205" s="128"/>
      <c r="L205" s="128"/>
      <c r="M205" s="128"/>
      <c r="N205" s="128"/>
      <c r="O205" s="128"/>
      <c r="P205" s="128"/>
      <c r="Q205" s="128"/>
      <c r="R205" s="128"/>
      <c r="S205" s="128"/>
      <c r="T205" s="128"/>
    </row>
    <row r="206" spans="11:20" x14ac:dyDescent="0.2">
      <c r="K206" s="128"/>
      <c r="L206" s="128"/>
      <c r="M206" s="128"/>
      <c r="N206" s="128"/>
      <c r="O206" s="128"/>
      <c r="P206" s="128"/>
      <c r="Q206" s="128"/>
      <c r="R206" s="128"/>
      <c r="S206" s="128"/>
      <c r="T206" s="128"/>
    </row>
    <row r="207" spans="11:20" x14ac:dyDescent="0.2">
      <c r="K207" s="128"/>
      <c r="L207" s="128"/>
      <c r="M207" s="128"/>
      <c r="N207" s="128"/>
      <c r="O207" s="128"/>
      <c r="P207" s="128"/>
      <c r="Q207" s="128"/>
      <c r="R207" s="128"/>
      <c r="S207" s="128"/>
      <c r="T207" s="128"/>
    </row>
    <row r="208" spans="11:20" x14ac:dyDescent="0.2">
      <c r="K208" s="128"/>
      <c r="L208" s="128"/>
      <c r="M208" s="128"/>
      <c r="N208" s="128"/>
      <c r="O208" s="128"/>
      <c r="P208" s="128"/>
      <c r="Q208" s="128"/>
      <c r="R208" s="128"/>
      <c r="S208" s="128"/>
      <c r="T208" s="128"/>
    </row>
    <row r="209" spans="11:20" x14ac:dyDescent="0.2">
      <c r="K209" s="150"/>
      <c r="L209" s="128"/>
      <c r="M209" s="128"/>
      <c r="N209" s="128"/>
      <c r="O209" s="128"/>
      <c r="P209" s="128"/>
      <c r="Q209" s="128"/>
      <c r="R209" s="128"/>
      <c r="S209" s="128"/>
      <c r="T209" s="128"/>
    </row>
    <row r="210" spans="11:20" x14ac:dyDescent="0.2">
      <c r="K210" s="150"/>
      <c r="L210" s="128"/>
      <c r="M210" s="128"/>
      <c r="N210" s="128"/>
      <c r="O210" s="128"/>
      <c r="P210" s="128"/>
      <c r="Q210" s="128"/>
      <c r="R210" s="128"/>
      <c r="S210" s="128"/>
      <c r="T210" s="128"/>
    </row>
    <row r="211" spans="11:20" x14ac:dyDescent="0.2">
      <c r="K211" s="150"/>
      <c r="L211" s="128"/>
      <c r="M211" s="128"/>
      <c r="N211" s="128"/>
      <c r="O211" s="128"/>
      <c r="P211" s="128"/>
      <c r="Q211" s="128"/>
      <c r="R211" s="128"/>
      <c r="S211" s="128"/>
      <c r="T211" s="128"/>
    </row>
    <row r="212" spans="11:20" x14ac:dyDescent="0.2">
      <c r="K212" s="150"/>
      <c r="L212" s="128"/>
      <c r="M212" s="128"/>
      <c r="N212" s="128"/>
      <c r="O212" s="128"/>
      <c r="P212" s="128"/>
      <c r="Q212" s="128"/>
      <c r="R212" s="128"/>
      <c r="S212" s="128"/>
      <c r="T212" s="128"/>
    </row>
    <row r="213" spans="11:20" x14ac:dyDescent="0.2">
      <c r="K213" s="128"/>
      <c r="L213" s="128"/>
      <c r="M213" s="128"/>
      <c r="N213" s="128"/>
      <c r="O213" s="128"/>
      <c r="P213" s="128"/>
      <c r="Q213" s="128"/>
      <c r="R213" s="128"/>
      <c r="S213" s="128"/>
      <c r="T213" s="128"/>
    </row>
    <row r="214" spans="11:20" x14ac:dyDescent="0.2">
      <c r="K214" s="128"/>
      <c r="L214" s="128"/>
      <c r="M214" s="128"/>
      <c r="N214" s="128"/>
      <c r="O214" s="128"/>
      <c r="P214" s="128"/>
      <c r="Q214" s="128"/>
      <c r="R214" s="128"/>
      <c r="S214" s="128"/>
      <c r="T214" s="128"/>
    </row>
    <row r="215" spans="11:20" x14ac:dyDescent="0.2">
      <c r="K215" s="149"/>
      <c r="L215" s="128"/>
      <c r="M215" s="128"/>
      <c r="N215" s="128"/>
      <c r="O215" s="128"/>
      <c r="P215" s="128"/>
      <c r="Q215" s="128"/>
      <c r="R215" s="128"/>
      <c r="S215" s="128"/>
      <c r="T215" s="128"/>
    </row>
    <row r="216" spans="11:20" x14ac:dyDescent="0.2">
      <c r="K216" s="128"/>
      <c r="L216" s="128"/>
      <c r="M216" s="128"/>
      <c r="N216" s="128"/>
      <c r="O216" s="128"/>
      <c r="P216" s="128"/>
      <c r="Q216" s="128"/>
      <c r="R216" s="128"/>
      <c r="S216" s="128"/>
      <c r="T216" s="128"/>
    </row>
    <row r="217" spans="11:20" x14ac:dyDescent="0.2">
      <c r="K217" s="150"/>
      <c r="L217" s="128"/>
      <c r="M217" s="128"/>
      <c r="N217" s="128"/>
      <c r="O217" s="128"/>
      <c r="P217" s="128"/>
      <c r="Q217" s="128"/>
      <c r="R217" s="128"/>
      <c r="S217" s="128"/>
      <c r="T217" s="128"/>
    </row>
    <row r="218" spans="11:20" x14ac:dyDescent="0.2">
      <c r="K218" s="150"/>
      <c r="L218" s="128"/>
      <c r="M218" s="128"/>
      <c r="N218" s="128"/>
      <c r="O218" s="128"/>
      <c r="P218" s="128"/>
      <c r="Q218" s="128"/>
      <c r="R218" s="128"/>
      <c r="S218" s="128"/>
      <c r="T218" s="128"/>
    </row>
    <row r="219" spans="11:20" x14ac:dyDescent="0.2">
      <c r="K219" s="150"/>
      <c r="L219" s="128"/>
      <c r="M219" s="128"/>
      <c r="N219" s="128"/>
      <c r="O219" s="128"/>
      <c r="P219" s="128"/>
      <c r="Q219" s="128"/>
      <c r="R219" s="128"/>
      <c r="S219" s="128"/>
      <c r="T219" s="128"/>
    </row>
    <row r="220" spans="11:20" x14ac:dyDescent="0.2">
      <c r="K220" s="150"/>
      <c r="L220" s="128"/>
      <c r="M220" s="128"/>
      <c r="N220" s="128"/>
      <c r="O220" s="128"/>
      <c r="P220" s="128"/>
      <c r="Q220" s="128"/>
      <c r="R220" s="128"/>
      <c r="S220" s="128"/>
      <c r="T220" s="128"/>
    </row>
    <row r="221" spans="11:20" x14ac:dyDescent="0.2">
      <c r="K221" s="128"/>
      <c r="L221" s="128"/>
      <c r="M221" s="128"/>
      <c r="N221" s="128"/>
      <c r="O221" s="128"/>
      <c r="P221" s="128"/>
      <c r="Q221" s="128"/>
      <c r="R221" s="128"/>
      <c r="S221" s="128"/>
      <c r="T221" s="128"/>
    </row>
    <row r="222" spans="11:20" x14ac:dyDescent="0.2">
      <c r="K222" s="128"/>
      <c r="L222" s="128"/>
      <c r="M222" s="128"/>
      <c r="N222" s="128"/>
      <c r="O222" s="128"/>
      <c r="P222" s="128"/>
      <c r="Q222" s="128"/>
      <c r="R222" s="128"/>
      <c r="S222" s="128"/>
      <c r="T222" s="128"/>
    </row>
    <row r="223" spans="11:20" x14ac:dyDescent="0.2">
      <c r="K223" s="157"/>
      <c r="L223" s="128"/>
      <c r="M223" s="128"/>
      <c r="N223" s="128"/>
      <c r="O223" s="128"/>
      <c r="P223" s="128"/>
      <c r="Q223" s="128"/>
      <c r="R223" s="128"/>
      <c r="S223" s="128"/>
      <c r="T223" s="128"/>
    </row>
    <row r="224" spans="11:20" x14ac:dyDescent="0.2">
      <c r="K224" s="128"/>
      <c r="L224" s="128"/>
      <c r="M224" s="128"/>
      <c r="N224" s="128"/>
      <c r="O224" s="128"/>
      <c r="P224" s="128"/>
      <c r="Q224" s="128"/>
      <c r="R224" s="128"/>
      <c r="S224" s="128"/>
      <c r="T224" s="128"/>
    </row>
    <row r="225" spans="11:20" x14ac:dyDescent="0.2">
      <c r="K225" s="128"/>
      <c r="L225" s="128"/>
      <c r="M225" s="128"/>
      <c r="N225" s="128"/>
      <c r="O225" s="128"/>
      <c r="P225" s="128"/>
      <c r="Q225" s="128"/>
      <c r="R225" s="128"/>
      <c r="S225" s="128"/>
      <c r="T225" s="128"/>
    </row>
    <row r="226" spans="11:20" x14ac:dyDescent="0.2">
      <c r="K226" s="128"/>
      <c r="L226" s="128"/>
      <c r="M226" s="128"/>
      <c r="N226" s="128"/>
      <c r="O226" s="128"/>
      <c r="P226" s="128"/>
      <c r="Q226" s="128"/>
      <c r="R226" s="128"/>
      <c r="S226" s="128"/>
      <c r="T226" s="128"/>
    </row>
  </sheetData>
  <mergeCells count="7">
    <mergeCell ref="U26:U30"/>
    <mergeCell ref="U35:U39"/>
    <mergeCell ref="C4:I4"/>
    <mergeCell ref="C5:H5"/>
    <mergeCell ref="B7:H7"/>
    <mergeCell ref="B8:H8"/>
    <mergeCell ref="E14:H14"/>
  </mergeCells>
  <conditionalFormatting sqref="B1">
    <cfRule type="cellIs" dxfId="1" priority="1" stopIfTrue="1" operator="equal">
      <formula>0</formula>
    </cfRule>
    <cfRule type="cellIs" dxfId="0" priority="2" stopIfTrue="1" operator="notEqual">
      <formula>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B45"/>
  <sheetViews>
    <sheetView showGridLines="0" zoomScale="80" zoomScaleNormal="80" workbookViewId="0"/>
  </sheetViews>
  <sheetFormatPr defaultColWidth="9.140625" defaultRowHeight="12.75" x14ac:dyDescent="0.2"/>
  <cols>
    <col min="1" max="1" width="5.7109375" style="39" customWidth="1"/>
    <col min="2" max="2" width="127.5703125" style="39" customWidth="1"/>
    <col min="3" max="3" width="9.140625" style="39"/>
    <col min="4" max="4" width="20.85546875" style="39" customWidth="1"/>
    <col min="5" max="16384" width="9.140625" style="39"/>
  </cols>
  <sheetData>
    <row r="2" spans="1:2" ht="20.25" x14ac:dyDescent="0.3">
      <c r="B2" s="40" t="s">
        <v>225</v>
      </c>
    </row>
    <row r="3" spans="1:2" s="41" customFormat="1" x14ac:dyDescent="0.2">
      <c r="B3" s="42"/>
    </row>
    <row r="4" spans="1:2" ht="18" x14ac:dyDescent="0.25">
      <c r="B4" s="43" t="s">
        <v>381</v>
      </c>
    </row>
    <row r="5" spans="1:2" ht="18" x14ac:dyDescent="0.25">
      <c r="A5" s="44"/>
    </row>
    <row r="6" spans="1:2" ht="18" x14ac:dyDescent="0.25">
      <c r="A6" s="44"/>
      <c r="B6" s="45" t="s">
        <v>196</v>
      </c>
    </row>
    <row r="8" spans="1:2" s="46" customFormat="1" x14ac:dyDescent="0.2">
      <c r="B8" s="47" t="s">
        <v>197</v>
      </c>
    </row>
    <row r="9" spans="1:2" s="46" customFormat="1" x14ac:dyDescent="0.2">
      <c r="B9" s="47"/>
    </row>
    <row r="10" spans="1:2" ht="25.5" x14ac:dyDescent="0.2">
      <c r="A10" s="909"/>
      <c r="B10" s="409" t="s">
        <v>552</v>
      </c>
    </row>
    <row r="11" spans="1:2" s="48" customFormat="1" ht="38.25" x14ac:dyDescent="0.2">
      <c r="A11" s="909"/>
      <c r="B11" s="387" t="s">
        <v>402</v>
      </c>
    </row>
    <row r="12" spans="1:2" x14ac:dyDescent="0.2">
      <c r="A12" s="49"/>
      <c r="B12" s="50"/>
    </row>
    <row r="13" spans="1:2" s="53" customFormat="1" x14ac:dyDescent="0.2">
      <c r="A13" s="51"/>
      <c r="B13" s="52" t="s">
        <v>403</v>
      </c>
    </row>
    <row r="14" spans="1:2" s="53" customFormat="1" x14ac:dyDescent="0.2">
      <c r="A14" s="51"/>
      <c r="B14" s="52"/>
    </row>
    <row r="15" spans="1:2" ht="61.5" customHeight="1" x14ac:dyDescent="0.2">
      <c r="A15" s="49"/>
      <c r="B15" s="410" t="s">
        <v>404</v>
      </c>
    </row>
    <row r="16" spans="1:2" ht="110.25" customHeight="1" x14ac:dyDescent="0.2">
      <c r="A16" s="516"/>
      <c r="B16" s="410" t="s">
        <v>628</v>
      </c>
    </row>
    <row r="17" spans="1:2" x14ac:dyDescent="0.2">
      <c r="A17" s="49"/>
      <c r="B17" s="50"/>
    </row>
    <row r="18" spans="1:2" x14ac:dyDescent="0.2">
      <c r="A18" s="318"/>
      <c r="B18" s="50"/>
    </row>
    <row r="19" spans="1:2" x14ac:dyDescent="0.2">
      <c r="A19" s="49"/>
      <c r="B19" s="55" t="s">
        <v>199</v>
      </c>
    </row>
    <row r="20" spans="1:2" x14ac:dyDescent="0.2">
      <c r="A20" s="292"/>
    </row>
    <row r="21" spans="1:2" x14ac:dyDescent="0.2">
      <c r="A21" s="292"/>
      <c r="B21" s="317" t="s">
        <v>405</v>
      </c>
    </row>
    <row r="22" spans="1:2" ht="25.5" x14ac:dyDescent="0.2">
      <c r="A22" s="292"/>
      <c r="B22" s="317" t="s">
        <v>406</v>
      </c>
    </row>
    <row r="23" spans="1:2" ht="25.5" x14ac:dyDescent="0.2">
      <c r="A23" s="292"/>
      <c r="B23" s="387" t="s">
        <v>419</v>
      </c>
    </row>
    <row r="24" spans="1:2" ht="25.5" x14ac:dyDescent="0.2">
      <c r="A24" s="292"/>
      <c r="B24" s="387" t="s">
        <v>420</v>
      </c>
    </row>
    <row r="25" spans="1:2" ht="25.5" x14ac:dyDescent="0.2">
      <c r="A25" s="292"/>
      <c r="B25" s="317" t="s">
        <v>407</v>
      </c>
    </row>
    <row r="26" spans="1:2" ht="25.5" x14ac:dyDescent="0.2">
      <c r="A26" s="292"/>
      <c r="B26" s="317" t="s">
        <v>408</v>
      </c>
    </row>
    <row r="27" spans="1:2" x14ac:dyDescent="0.2">
      <c r="A27" s="292"/>
      <c r="B27" s="55"/>
    </row>
    <row r="28" spans="1:2" x14ac:dyDescent="0.2">
      <c r="A28" s="318"/>
      <c r="B28" s="55"/>
    </row>
    <row r="29" spans="1:2" x14ac:dyDescent="0.2">
      <c r="A29" s="49"/>
      <c r="B29" s="56" t="s">
        <v>200</v>
      </c>
    </row>
    <row r="30" spans="1:2" x14ac:dyDescent="0.2">
      <c r="A30" s="49"/>
      <c r="B30" s="56"/>
    </row>
    <row r="31" spans="1:2" s="46" customFormat="1" x14ac:dyDescent="0.2">
      <c r="B31" s="47" t="s">
        <v>426</v>
      </c>
    </row>
    <row r="32" spans="1:2" x14ac:dyDescent="0.2">
      <c r="A32" s="49"/>
      <c r="B32" s="57"/>
    </row>
    <row r="33" spans="1:2" ht="25.5" x14ac:dyDescent="0.2">
      <c r="A33" s="49"/>
      <c r="B33" s="387" t="s">
        <v>422</v>
      </c>
    </row>
    <row r="34" spans="1:2" ht="27" x14ac:dyDescent="0.2">
      <c r="A34" s="318"/>
      <c r="B34" s="387" t="s">
        <v>423</v>
      </c>
    </row>
    <row r="35" spans="1:2" ht="51" x14ac:dyDescent="0.2">
      <c r="A35" s="318"/>
      <c r="B35" s="387" t="s">
        <v>425</v>
      </c>
    </row>
    <row r="36" spans="1:2" ht="51" x14ac:dyDescent="0.2">
      <c r="A36" s="318"/>
      <c r="B36" s="387" t="s">
        <v>424</v>
      </c>
    </row>
    <row r="37" spans="1:2" x14ac:dyDescent="0.2">
      <c r="A37" s="318"/>
      <c r="B37" s="317"/>
    </row>
    <row r="38" spans="1:2" ht="27" x14ac:dyDescent="0.2">
      <c r="A38" s="49"/>
      <c r="B38" s="388" t="s">
        <v>421</v>
      </c>
    </row>
    <row r="39" spans="1:2" s="53" customFormat="1" ht="14.25" x14ac:dyDescent="0.2">
      <c r="A39" s="51"/>
      <c r="B39" s="388"/>
    </row>
    <row r="40" spans="1:2" s="53" customFormat="1" x14ac:dyDescent="0.2">
      <c r="A40" s="51"/>
      <c r="B40" s="54" t="s">
        <v>184</v>
      </c>
    </row>
    <row r="41" spans="1:2" ht="123.75" customHeight="1" x14ac:dyDescent="0.2">
      <c r="A41" s="49"/>
      <c r="B41" s="405" t="s">
        <v>629</v>
      </c>
    </row>
    <row r="42" spans="1:2" s="53" customFormat="1" ht="51" x14ac:dyDescent="0.2">
      <c r="A42" s="51"/>
      <c r="B42" s="406" t="s">
        <v>554</v>
      </c>
    </row>
    <row r="43" spans="1:2" s="53" customFormat="1" x14ac:dyDescent="0.2">
      <c r="A43" s="51"/>
      <c r="B43" s="54"/>
    </row>
    <row r="44" spans="1:2" x14ac:dyDescent="0.2">
      <c r="B44" s="407"/>
    </row>
    <row r="45" spans="1:2" x14ac:dyDescent="0.2">
      <c r="B45" s="58" t="s">
        <v>668</v>
      </c>
    </row>
  </sheetData>
  <mergeCells count="1">
    <mergeCell ref="A10:A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1"/>
  <sheetViews>
    <sheetView workbookViewId="0"/>
  </sheetViews>
  <sheetFormatPr defaultRowHeight="12.75" x14ac:dyDescent="0.2"/>
  <cols>
    <col min="1" max="3" width="36.7109375" customWidth="1"/>
  </cols>
  <sheetData>
    <row r="1" spans="1:3" x14ac:dyDescent="0.2">
      <c r="A1" s="22" t="s">
        <v>441</v>
      </c>
    </row>
    <row r="3" spans="1:3" x14ac:dyDescent="0.2">
      <c r="A3" t="s">
        <v>442</v>
      </c>
      <c r="B3" t="s">
        <v>443</v>
      </c>
      <c r="C3">
        <v>0</v>
      </c>
    </row>
    <row r="4" spans="1:3" x14ac:dyDescent="0.2">
      <c r="A4" t="s">
        <v>444</v>
      </c>
    </row>
    <row r="5" spans="1:3" x14ac:dyDescent="0.2">
      <c r="A5" t="s">
        <v>445</v>
      </c>
    </row>
    <row r="7" spans="1:3" x14ac:dyDescent="0.2">
      <c r="A7" s="22" t="s">
        <v>446</v>
      </c>
      <c r="B7" t="s">
        <v>447</v>
      </c>
    </row>
    <row r="8" spans="1:3" x14ac:dyDescent="0.2">
      <c r="B8">
        <v>3</v>
      </c>
    </row>
    <row r="10" spans="1:3" x14ac:dyDescent="0.2">
      <c r="A10" t="s">
        <v>448</v>
      </c>
    </row>
    <row r="11" spans="1:3" x14ac:dyDescent="0.2">
      <c r="A11" t="e">
        <f>CB_DATA_!#REF!</f>
        <v>#REF!</v>
      </c>
      <c r="B11" t="e">
        <f>'ERR &amp; Sensitivity Analysis'!#REF!</f>
        <v>#REF!</v>
      </c>
      <c r="C11" t="e">
        <f>Summary!#REF!</f>
        <v>#REF!</v>
      </c>
    </row>
    <row r="13" spans="1:3" x14ac:dyDescent="0.2">
      <c r="A13" t="s">
        <v>449</v>
      </c>
    </row>
    <row r="14" spans="1:3" x14ac:dyDescent="0.2">
      <c r="A14" s="411" t="s">
        <v>453</v>
      </c>
      <c r="B14" t="s">
        <v>457</v>
      </c>
      <c r="C14" t="s">
        <v>630</v>
      </c>
    </row>
    <row r="16" spans="1:3" x14ac:dyDescent="0.2">
      <c r="A16" t="s">
        <v>450</v>
      </c>
    </row>
    <row r="19" spans="1:3" x14ac:dyDescent="0.2">
      <c r="A19" t="s">
        <v>451</v>
      </c>
    </row>
    <row r="20" spans="1:3" x14ac:dyDescent="0.2">
      <c r="A20">
        <v>28</v>
      </c>
      <c r="B20">
        <v>31</v>
      </c>
      <c r="C20">
        <v>31</v>
      </c>
    </row>
    <row r="25" spans="1:3" x14ac:dyDescent="0.2">
      <c r="A25" s="22" t="s">
        <v>452</v>
      </c>
    </row>
    <row r="26" spans="1:3" x14ac:dyDescent="0.2">
      <c r="A26" s="412" t="s">
        <v>454</v>
      </c>
      <c r="B26" s="412" t="s">
        <v>631</v>
      </c>
      <c r="C26" s="412" t="s">
        <v>631</v>
      </c>
    </row>
    <row r="27" spans="1:3" x14ac:dyDescent="0.2">
      <c r="A27" t="s">
        <v>455</v>
      </c>
      <c r="B27" t="s">
        <v>670</v>
      </c>
      <c r="C27" t="s">
        <v>669</v>
      </c>
    </row>
    <row r="28" spans="1:3" x14ac:dyDescent="0.2">
      <c r="A28" s="412" t="s">
        <v>456</v>
      </c>
      <c r="B28" s="412" t="s">
        <v>456</v>
      </c>
      <c r="C28" s="412" t="s">
        <v>456</v>
      </c>
    </row>
    <row r="29" spans="1:3" x14ac:dyDescent="0.2">
      <c r="B29" s="412" t="s">
        <v>454</v>
      </c>
      <c r="C29" s="412" t="s">
        <v>454</v>
      </c>
    </row>
    <row r="30" spans="1:3" x14ac:dyDescent="0.2">
      <c r="B30" t="s">
        <v>633</v>
      </c>
      <c r="C30" t="s">
        <v>632</v>
      </c>
    </row>
    <row r="31" spans="1:3" x14ac:dyDescent="0.2">
      <c r="B31" s="412" t="s">
        <v>456</v>
      </c>
      <c r="C31" s="412" t="s">
        <v>456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78"/>
  <sheetViews>
    <sheetView showGridLines="0" tabSelected="1" zoomScale="80" zoomScaleNormal="80" workbookViewId="0"/>
  </sheetViews>
  <sheetFormatPr defaultColWidth="9.140625" defaultRowHeight="12.75" x14ac:dyDescent="0.2"/>
  <cols>
    <col min="1" max="1" width="5.7109375" style="62" customWidth="1"/>
    <col min="2" max="2" width="16.28515625" style="62" customWidth="1"/>
    <col min="3" max="3" width="67" style="62" customWidth="1"/>
    <col min="4" max="4" width="16.85546875" style="62" bestFit="1" customWidth="1"/>
    <col min="5" max="5" width="15" style="62" customWidth="1"/>
    <col min="6" max="6" width="15.140625" style="62" customWidth="1"/>
    <col min="7" max="7" width="18.28515625" style="62" customWidth="1"/>
    <col min="8" max="8" width="5.7109375" style="62" customWidth="1"/>
    <col min="9" max="9" width="20.7109375" style="62" customWidth="1"/>
    <col min="10" max="16384" width="9.140625" style="62"/>
  </cols>
  <sheetData>
    <row r="1" spans="1:10" s="23" customFormat="1" x14ac:dyDescent="0.2">
      <c r="C1" s="24"/>
      <c r="F1" s="59" t="s">
        <v>668</v>
      </c>
    </row>
    <row r="2" spans="1:10" ht="20.25" x14ac:dyDescent="0.3">
      <c r="A2" s="60"/>
      <c r="B2" s="285" t="s">
        <v>370</v>
      </c>
      <c r="C2" s="60"/>
      <c r="D2" s="60"/>
      <c r="E2" s="60"/>
      <c r="F2" s="60"/>
      <c r="G2" s="61"/>
    </row>
    <row r="3" spans="1:10" ht="27.75" customHeight="1" x14ac:dyDescent="0.25">
      <c r="A3" s="60"/>
      <c r="B3" s="63" t="s">
        <v>201</v>
      </c>
      <c r="C3" s="60"/>
      <c r="D3" s="60"/>
      <c r="E3" s="60"/>
      <c r="F3" s="60"/>
      <c r="G3" s="64"/>
    </row>
    <row r="4" spans="1:10" ht="12.75" customHeight="1" x14ac:dyDescent="0.25">
      <c r="C4" s="65"/>
    </row>
    <row r="5" spans="1:10" ht="39.75" customHeight="1" x14ac:dyDescent="0.2">
      <c r="B5" s="914" t="s">
        <v>202</v>
      </c>
      <c r="C5" s="915"/>
      <c r="D5" s="915"/>
      <c r="E5" s="915"/>
      <c r="F5" s="915"/>
      <c r="G5" s="915"/>
    </row>
    <row r="7" spans="1:10" s="65" customFormat="1" ht="15.75" x14ac:dyDescent="0.25">
      <c r="B7" s="916" t="s">
        <v>203</v>
      </c>
      <c r="C7" s="918" t="s">
        <v>204</v>
      </c>
      <c r="D7" s="920" t="s">
        <v>205</v>
      </c>
      <c r="E7" s="921"/>
      <c r="F7" s="921"/>
      <c r="G7" s="922"/>
    </row>
    <row r="8" spans="1:10" s="65" customFormat="1" ht="39" thickBot="1" x14ac:dyDescent="0.3">
      <c r="B8" s="917"/>
      <c r="C8" s="919"/>
      <c r="D8" s="66" t="s">
        <v>206</v>
      </c>
      <c r="E8" s="67" t="s">
        <v>207</v>
      </c>
      <c r="F8" s="68" t="s">
        <v>208</v>
      </c>
      <c r="G8" s="67" t="s">
        <v>209</v>
      </c>
      <c r="I8" s="69" t="s">
        <v>210</v>
      </c>
      <c r="J8" s="70"/>
    </row>
    <row r="9" spans="1:10" ht="38.85" customHeight="1" x14ac:dyDescent="0.2">
      <c r="B9" s="71" t="s">
        <v>211</v>
      </c>
      <c r="C9" s="72" t="s">
        <v>212</v>
      </c>
      <c r="D9" s="892">
        <v>1</v>
      </c>
      <c r="E9" s="73">
        <v>1</v>
      </c>
      <c r="F9" s="74" t="s">
        <v>213</v>
      </c>
      <c r="G9" s="75">
        <f>D9</f>
        <v>1</v>
      </c>
      <c r="I9" s="76" t="str">
        <f>IF(D9=E9,IF(D10=E10,"Y","N"),"N")</f>
        <v>Y</v>
      </c>
    </row>
    <row r="10" spans="1:10" ht="38.85" customHeight="1" x14ac:dyDescent="0.2">
      <c r="B10" s="77" t="s">
        <v>211</v>
      </c>
      <c r="C10" s="78" t="s">
        <v>214</v>
      </c>
      <c r="D10" s="893">
        <v>1</v>
      </c>
      <c r="E10" s="79">
        <v>1</v>
      </c>
      <c r="F10" s="80" t="s">
        <v>213</v>
      </c>
      <c r="G10" s="81">
        <f>D10</f>
        <v>1</v>
      </c>
    </row>
    <row r="11" spans="1:10" ht="14.25" customHeight="1" x14ac:dyDescent="0.2">
      <c r="B11" s="82"/>
      <c r="C11" s="82"/>
      <c r="D11" s="82"/>
      <c r="E11" s="82"/>
      <c r="F11" s="82"/>
      <c r="G11" s="82"/>
    </row>
    <row r="12" spans="1:10" ht="35.25" customHeight="1" x14ac:dyDescent="0.2">
      <c r="B12" s="377" t="s">
        <v>215</v>
      </c>
      <c r="C12" s="378" t="s">
        <v>412</v>
      </c>
      <c r="D12" s="889">
        <v>1</v>
      </c>
      <c r="E12" s="379">
        <v>1</v>
      </c>
      <c r="F12" s="380" t="s">
        <v>409</v>
      </c>
      <c r="G12" s="381">
        <f>IF($I$9="Y",IF(D12&lt;0,0%,D12),E12)</f>
        <v>1</v>
      </c>
      <c r="H12" s="910"/>
      <c r="I12" s="69" t="s">
        <v>216</v>
      </c>
    </row>
    <row r="13" spans="1:10" ht="42" customHeight="1" x14ac:dyDescent="0.2">
      <c r="B13" s="83" t="s">
        <v>215</v>
      </c>
      <c r="C13" s="321" t="s">
        <v>557</v>
      </c>
      <c r="D13" s="890">
        <v>0.16039999999999999</v>
      </c>
      <c r="E13" s="320">
        <v>0.16039999999999999</v>
      </c>
      <c r="F13" s="322" t="s">
        <v>411</v>
      </c>
      <c r="G13" s="319">
        <f>IF($I$9="Y",IF(D13&lt;0,0%,D13),E13)</f>
        <v>0.16039999999999999</v>
      </c>
      <c r="H13" s="910"/>
      <c r="I13" s="76" t="str">
        <f>IF(D12=E12,IF(D13=E13,"Y","N"),"N")</f>
        <v>Y</v>
      </c>
    </row>
    <row r="14" spans="1:10" ht="42" customHeight="1" x14ac:dyDescent="0.2">
      <c r="B14" s="375" t="s">
        <v>215</v>
      </c>
      <c r="C14" s="376" t="s">
        <v>593</v>
      </c>
      <c r="D14" s="891">
        <v>0.29070000000000001</v>
      </c>
      <c r="E14" s="382">
        <v>0.28999999999999998</v>
      </c>
      <c r="F14" s="383" t="s">
        <v>410</v>
      </c>
      <c r="G14" s="384">
        <f>IF($I$9="Y",IF(D14&lt;0,0%,D14),E14)</f>
        <v>0.29070000000000001</v>
      </c>
      <c r="H14" s="910"/>
    </row>
    <row r="15" spans="1:10" x14ac:dyDescent="0.2">
      <c r="D15" s="911"/>
      <c r="E15" s="911"/>
      <c r="F15" s="911"/>
      <c r="G15" s="911"/>
    </row>
    <row r="16" spans="1:10" x14ac:dyDescent="0.2">
      <c r="B16" s="912">
        <f>IF(I9="N",IF(I13="N","Reminder: Please reset all summary parameters to original values before changing specific parameters.  Specific parameters will only be used in ERR computation when all summary parameters are set to initial values",0),0)</f>
        <v>0</v>
      </c>
      <c r="C16" s="912"/>
      <c r="D16" s="912"/>
      <c r="E16" s="912"/>
      <c r="F16" s="912"/>
      <c r="G16" s="912"/>
    </row>
    <row r="17" spans="2:7" x14ac:dyDescent="0.2">
      <c r="B17" s="84"/>
      <c r="C17" s="84"/>
      <c r="D17" s="84"/>
      <c r="E17" s="84"/>
      <c r="F17" s="84"/>
      <c r="G17" s="84"/>
    </row>
    <row r="18" spans="2:7" x14ac:dyDescent="0.2">
      <c r="C18" s="85" t="s">
        <v>217</v>
      </c>
      <c r="D18" s="297">
        <f>Summary!K5</f>
        <v>0.12342965734922751</v>
      </c>
      <c r="E18" s="86"/>
    </row>
    <row r="19" spans="2:7" x14ac:dyDescent="0.2">
      <c r="C19" s="85"/>
      <c r="D19" s="86"/>
      <c r="E19" s="86"/>
    </row>
    <row r="20" spans="2:7" x14ac:dyDescent="0.2">
      <c r="C20" s="85"/>
      <c r="D20" s="87"/>
      <c r="E20" s="86"/>
    </row>
    <row r="21" spans="2:7" x14ac:dyDescent="0.2">
      <c r="C21" s="85" t="s">
        <v>218</v>
      </c>
      <c r="D21" s="88"/>
      <c r="E21" s="89" t="s">
        <v>219</v>
      </c>
      <c r="F21" s="90" t="s">
        <v>198</v>
      </c>
    </row>
    <row r="22" spans="2:7" x14ac:dyDescent="0.2">
      <c r="C22" s="85"/>
      <c r="D22" s="91" t="s">
        <v>220</v>
      </c>
      <c r="E22" s="92">
        <v>0.33400000000000002</v>
      </c>
      <c r="F22" s="503">
        <v>0.123</v>
      </c>
    </row>
    <row r="23" spans="2:7" x14ac:dyDescent="0.2">
      <c r="D23" s="91" t="s">
        <v>221</v>
      </c>
      <c r="E23" s="93">
        <v>39318</v>
      </c>
      <c r="F23" s="94">
        <v>43003</v>
      </c>
    </row>
    <row r="25" spans="2:7" x14ac:dyDescent="0.2">
      <c r="C25" s="95" t="s">
        <v>222</v>
      </c>
      <c r="D25" s="96">
        <f>Summary!K9*10^6</f>
        <v>123592934.05253592</v>
      </c>
    </row>
    <row r="26" spans="2:7" x14ac:dyDescent="0.2">
      <c r="C26" s="95"/>
      <c r="D26" s="97"/>
    </row>
    <row r="27" spans="2:7" x14ac:dyDescent="0.2">
      <c r="C27" s="95" t="s">
        <v>223</v>
      </c>
      <c r="D27" s="96">
        <f>Summary!K8*10^6</f>
        <v>102636838.06527479</v>
      </c>
    </row>
    <row r="28" spans="2:7" x14ac:dyDescent="0.2">
      <c r="C28" s="98"/>
      <c r="D28" s="98"/>
    </row>
    <row r="29" spans="2:7" x14ac:dyDescent="0.2">
      <c r="C29" s="99" t="s">
        <v>224</v>
      </c>
    </row>
    <row r="76" spans="3:6" x14ac:dyDescent="0.2">
      <c r="C76" s="913" t="s">
        <v>666</v>
      </c>
      <c r="D76" s="913"/>
      <c r="E76" s="913"/>
      <c r="F76" s="913"/>
    </row>
    <row r="77" spans="3:6" ht="34.9" customHeight="1" x14ac:dyDescent="0.2">
      <c r="C77" s="913" t="s">
        <v>667</v>
      </c>
      <c r="D77" s="913"/>
      <c r="E77" s="913"/>
      <c r="F77" s="913"/>
    </row>
    <row r="78" spans="3:6" x14ac:dyDescent="0.2">
      <c r="C78" s="99"/>
      <c r="D78" s="99"/>
      <c r="E78" s="99"/>
      <c r="F78" s="99"/>
    </row>
  </sheetData>
  <mergeCells count="9">
    <mergeCell ref="B5:G5"/>
    <mergeCell ref="B7:B8"/>
    <mergeCell ref="C7:C8"/>
    <mergeCell ref="D7:G7"/>
    <mergeCell ref="H12:H14"/>
    <mergeCell ref="D15:G15"/>
    <mergeCell ref="B16:G16"/>
    <mergeCell ref="C76:F76"/>
    <mergeCell ref="C77:F77"/>
  </mergeCells>
  <conditionalFormatting sqref="B16:B17 B11">
    <cfRule type="cellIs" dxfId="4" priority="1" stopIfTrue="1" operator="equal">
      <formula>0</formula>
    </cfRule>
    <cfRule type="cellIs" dxfId="3" priority="2" stopIfTrue="1" operator="notEqual">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0]!Reset">
                <anchor moveWithCells="1" sizeWithCells="1">
                  <from>
                    <xdr:col>8</xdr:col>
                    <xdr:colOff>0</xdr:colOff>
                    <xdr:row>4</xdr:row>
                    <xdr:rowOff>0</xdr:rowOff>
                  </from>
                  <to>
                    <xdr:col>8</xdr:col>
                    <xdr:colOff>1371600</xdr:colOff>
                    <xdr:row>5</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98"/>
  <sheetViews>
    <sheetView showGridLines="0" zoomScale="80" zoomScaleNormal="80" workbookViewId="0"/>
  </sheetViews>
  <sheetFormatPr defaultColWidth="8.85546875" defaultRowHeight="12.75" x14ac:dyDescent="0.2"/>
  <cols>
    <col min="1" max="1" width="4.28515625" style="571" customWidth="1"/>
    <col min="2" max="2" width="67.7109375" style="543" customWidth="1"/>
    <col min="3" max="3" width="13.5703125" style="543" bestFit="1" customWidth="1"/>
    <col min="4" max="4" width="19.7109375" style="543" customWidth="1"/>
    <col min="5" max="5" width="14.7109375" style="542" bestFit="1" customWidth="1"/>
    <col min="6" max="6" width="15.140625" style="542" bestFit="1" customWidth="1"/>
    <col min="7" max="7" width="13.140625" style="542" customWidth="1"/>
    <col min="8" max="8" width="13.7109375" style="543" customWidth="1"/>
    <col min="9" max="9" width="26.28515625" style="543" customWidth="1"/>
    <col min="10" max="10" width="16.42578125" style="543" bestFit="1" customWidth="1"/>
    <col min="11" max="11" width="12" style="543" bestFit="1" customWidth="1"/>
    <col min="12" max="13" width="13.85546875" style="543" bestFit="1" customWidth="1"/>
    <col min="14" max="14" width="8.85546875" style="543" customWidth="1"/>
    <col min="15" max="16" width="12.42578125" style="543" bestFit="1" customWidth="1"/>
    <col min="17" max="16384" width="8.85546875" style="543"/>
  </cols>
  <sheetData>
    <row r="1" spans="1:16" s="240" customFormat="1" ht="20.25" x14ac:dyDescent="0.3">
      <c r="A1" s="566"/>
      <c r="B1" s="567" t="s">
        <v>370</v>
      </c>
      <c r="D1" s="620"/>
      <c r="E1" s="621"/>
      <c r="F1" s="621"/>
      <c r="G1" s="621"/>
      <c r="H1" s="621"/>
      <c r="I1" s="621"/>
      <c r="J1" s="287" t="s">
        <v>668</v>
      </c>
      <c r="K1" s="621"/>
      <c r="L1" s="621"/>
      <c r="O1" s="569"/>
    </row>
    <row r="2" spans="1:16" s="240" customFormat="1" ht="18" x14ac:dyDescent="0.25">
      <c r="A2" s="566"/>
      <c r="B2" s="570" t="s">
        <v>379</v>
      </c>
      <c r="D2" s="622"/>
      <c r="E2" s="620"/>
      <c r="F2" s="620"/>
      <c r="G2" s="620"/>
      <c r="H2" s="623"/>
      <c r="I2" s="622"/>
      <c r="J2" s="622"/>
      <c r="K2" s="622"/>
      <c r="L2" s="622"/>
      <c r="O2" s="569"/>
    </row>
    <row r="3" spans="1:16" s="240" customFormat="1" x14ac:dyDescent="0.2">
      <c r="A3" s="566"/>
      <c r="O3" s="569"/>
    </row>
    <row r="4" spans="1:16" x14ac:dyDescent="0.2">
      <c r="B4" s="240"/>
      <c r="E4" s="543"/>
      <c r="F4" s="543"/>
      <c r="G4" s="543"/>
      <c r="L4" s="624"/>
      <c r="M4" s="624"/>
    </row>
    <row r="5" spans="1:16" ht="13.5" thickBot="1" x14ac:dyDescent="0.25">
      <c r="B5" s="240" t="s">
        <v>5</v>
      </c>
      <c r="H5" s="571">
        <f>A85</f>
        <v>5</v>
      </c>
      <c r="I5" s="934" t="s">
        <v>356</v>
      </c>
      <c r="J5" s="933" t="s">
        <v>358</v>
      </c>
      <c r="K5" s="933"/>
      <c r="L5" s="933"/>
      <c r="M5" s="931" t="s">
        <v>111</v>
      </c>
      <c r="N5" s="932"/>
      <c r="O5" s="932"/>
    </row>
    <row r="6" spans="1:16" ht="13.5" thickBot="1" x14ac:dyDescent="0.25">
      <c r="F6" s="925" t="s">
        <v>74</v>
      </c>
      <c r="G6" s="926"/>
      <c r="I6" s="934"/>
      <c r="J6" s="453" t="s">
        <v>385</v>
      </c>
      <c r="K6" s="573" t="s">
        <v>355</v>
      </c>
      <c r="L6" s="453" t="s">
        <v>0</v>
      </c>
      <c r="M6" s="574" t="s">
        <v>385</v>
      </c>
      <c r="N6" s="573" t="s">
        <v>355</v>
      </c>
      <c r="O6" s="453" t="s">
        <v>0</v>
      </c>
    </row>
    <row r="7" spans="1:16" x14ac:dyDescent="0.2">
      <c r="B7" s="575" t="s">
        <v>4</v>
      </c>
      <c r="C7" s="625"/>
      <c r="F7" s="576" t="s">
        <v>75</v>
      </c>
      <c r="G7" s="577" t="s">
        <v>73</v>
      </c>
      <c r="I7" s="626" t="s">
        <v>357</v>
      </c>
      <c r="J7" s="627">
        <v>95076415.629999995</v>
      </c>
      <c r="K7" s="578">
        <v>5135102.2300000004</v>
      </c>
      <c r="L7" s="628">
        <f t="shared" ref="L7:L14" si="0">SUM(J7:K7)</f>
        <v>100211517.86</v>
      </c>
      <c r="M7" s="629">
        <v>2641264.14</v>
      </c>
      <c r="N7" s="630">
        <v>10000</v>
      </c>
      <c r="O7" s="631">
        <f>SUM(M7:N7)</f>
        <v>2651264.14</v>
      </c>
      <c r="P7" s="632"/>
    </row>
    <row r="8" spans="1:16" x14ac:dyDescent="0.2">
      <c r="A8" s="571">
        <f>A81</f>
        <v>1</v>
      </c>
      <c r="B8" s="579" t="s">
        <v>150</v>
      </c>
      <c r="C8" s="633">
        <v>0.1</v>
      </c>
      <c r="E8" s="13" t="s">
        <v>34</v>
      </c>
      <c r="F8" s="580">
        <v>1</v>
      </c>
      <c r="G8" s="580">
        <v>1</v>
      </c>
      <c r="I8" s="626" t="s">
        <v>348</v>
      </c>
      <c r="J8" s="627">
        <v>10029810.26</v>
      </c>
      <c r="K8" s="578">
        <v>2130582.34</v>
      </c>
      <c r="L8" s="628">
        <f t="shared" si="0"/>
        <v>12160392.6</v>
      </c>
      <c r="M8" s="578">
        <v>797064.04</v>
      </c>
      <c r="N8" s="630"/>
      <c r="O8" s="631">
        <f t="shared" ref="O8:O14" si="1">SUM(M8:N8)</f>
        <v>797064.04</v>
      </c>
    </row>
    <row r="9" spans="1:16" x14ac:dyDescent="0.2">
      <c r="A9" s="571">
        <f>A82</f>
        <v>2</v>
      </c>
      <c r="B9" s="579" t="s">
        <v>586</v>
      </c>
      <c r="C9" s="634">
        <v>9.8000000000000004E-2</v>
      </c>
      <c r="E9" s="13" t="s">
        <v>35</v>
      </c>
      <c r="F9" s="580">
        <v>1</v>
      </c>
      <c r="G9" s="580">
        <v>1</v>
      </c>
      <c r="I9" s="626" t="s">
        <v>349</v>
      </c>
      <c r="J9" s="627">
        <v>201855</v>
      </c>
      <c r="K9" s="578">
        <v>0</v>
      </c>
      <c r="L9" s="628">
        <f t="shared" si="0"/>
        <v>201855</v>
      </c>
      <c r="M9" s="629"/>
      <c r="N9" s="630"/>
      <c r="O9" s="631">
        <f t="shared" si="1"/>
        <v>0</v>
      </c>
    </row>
    <row r="10" spans="1:16" x14ac:dyDescent="0.2">
      <c r="E10" s="13" t="s">
        <v>36</v>
      </c>
      <c r="F10" s="580">
        <v>1</v>
      </c>
      <c r="G10" s="580">
        <v>1</v>
      </c>
      <c r="I10" s="626" t="s">
        <v>29</v>
      </c>
      <c r="J10" s="627">
        <v>10107413.17</v>
      </c>
      <c r="K10" s="578">
        <v>0</v>
      </c>
      <c r="L10" s="628">
        <f t="shared" si="0"/>
        <v>10107413.17</v>
      </c>
      <c r="M10" s="629">
        <v>20470.330000000002</v>
      </c>
      <c r="N10" s="630">
        <v>0</v>
      </c>
      <c r="O10" s="631">
        <f t="shared" si="1"/>
        <v>20470.330000000002</v>
      </c>
    </row>
    <row r="11" spans="1:16" x14ac:dyDescent="0.2">
      <c r="E11" s="13" t="s">
        <v>37</v>
      </c>
      <c r="F11" s="580">
        <v>1</v>
      </c>
      <c r="G11" s="580">
        <v>1</v>
      </c>
      <c r="I11" s="626" t="s">
        <v>353</v>
      </c>
      <c r="J11" s="627">
        <v>935767.75</v>
      </c>
      <c r="K11" s="578">
        <v>0</v>
      </c>
      <c r="L11" s="628">
        <f t="shared" si="0"/>
        <v>935767.75</v>
      </c>
      <c r="M11" s="629"/>
      <c r="N11" s="630"/>
      <c r="O11" s="631">
        <f t="shared" si="1"/>
        <v>0</v>
      </c>
    </row>
    <row r="12" spans="1:16" x14ac:dyDescent="0.2">
      <c r="A12" s="571">
        <f>A83</f>
        <v>3</v>
      </c>
      <c r="B12" s="579" t="s">
        <v>110</v>
      </c>
      <c r="E12" s="13" t="s">
        <v>38</v>
      </c>
      <c r="F12" s="580">
        <v>1</v>
      </c>
      <c r="G12" s="580">
        <v>1</v>
      </c>
      <c r="I12" s="626" t="s">
        <v>333</v>
      </c>
      <c r="J12" s="627">
        <v>9684141.6899999995</v>
      </c>
      <c r="K12" s="578">
        <v>212590.67</v>
      </c>
      <c r="L12" s="628">
        <f t="shared" si="0"/>
        <v>9896732.3599999994</v>
      </c>
      <c r="M12" s="629">
        <v>0</v>
      </c>
      <c r="N12" s="630">
        <v>13800</v>
      </c>
      <c r="O12" s="631">
        <f t="shared" si="1"/>
        <v>13800</v>
      </c>
    </row>
    <row r="13" spans="1:16" x14ac:dyDescent="0.2">
      <c r="A13" s="571">
        <f>A84</f>
        <v>4</v>
      </c>
      <c r="B13" s="581" t="s">
        <v>148</v>
      </c>
      <c r="C13" s="635">
        <v>0.5</v>
      </c>
      <c r="E13" s="13" t="s">
        <v>39</v>
      </c>
      <c r="F13" s="580">
        <v>1</v>
      </c>
      <c r="G13" s="580">
        <v>1</v>
      </c>
      <c r="I13" s="626" t="s">
        <v>354</v>
      </c>
      <c r="J13" s="627">
        <v>4993272</v>
      </c>
      <c r="K13" s="578">
        <v>0</v>
      </c>
      <c r="L13" s="628">
        <f t="shared" si="0"/>
        <v>4993272</v>
      </c>
      <c r="M13" s="629"/>
      <c r="N13" s="630"/>
      <c r="O13" s="631">
        <f t="shared" si="1"/>
        <v>0</v>
      </c>
    </row>
    <row r="14" spans="1:16" x14ac:dyDescent="0.2">
      <c r="B14" s="581" t="s">
        <v>149</v>
      </c>
      <c r="C14" s="635">
        <v>0.75</v>
      </c>
      <c r="E14" s="13" t="s">
        <v>111</v>
      </c>
      <c r="F14" s="580">
        <v>1</v>
      </c>
      <c r="G14" s="582" t="s">
        <v>127</v>
      </c>
      <c r="I14" s="626" t="s">
        <v>332</v>
      </c>
      <c r="J14" s="627">
        <v>2262799</v>
      </c>
      <c r="K14" s="578">
        <v>0</v>
      </c>
      <c r="L14" s="628">
        <f t="shared" si="0"/>
        <v>2262799</v>
      </c>
      <c r="M14" s="629"/>
      <c r="N14" s="630"/>
      <c r="O14" s="631">
        <f t="shared" si="1"/>
        <v>0</v>
      </c>
    </row>
    <row r="15" spans="1:16" x14ac:dyDescent="0.2">
      <c r="B15" s="111"/>
      <c r="E15" s="543"/>
      <c r="I15" s="583" t="s">
        <v>0</v>
      </c>
      <c r="J15" s="584">
        <f>SUM(J7:J14)</f>
        <v>133291474.5</v>
      </c>
      <c r="K15" s="585">
        <f t="shared" ref="K15:O15" si="2">SUM(K7:K14)</f>
        <v>7478275.2400000002</v>
      </c>
      <c r="L15" s="586">
        <f t="shared" si="2"/>
        <v>140769749.74000001</v>
      </c>
      <c r="M15" s="585">
        <f t="shared" si="2"/>
        <v>3458798.5100000002</v>
      </c>
      <c r="N15" s="585">
        <f t="shared" si="2"/>
        <v>23800</v>
      </c>
      <c r="O15" s="586">
        <f t="shared" si="2"/>
        <v>3482598.5100000002</v>
      </c>
      <c r="P15" s="632"/>
    </row>
    <row r="16" spans="1:16" x14ac:dyDescent="0.2">
      <c r="C16" s="542"/>
      <c r="D16" s="542"/>
      <c r="E16" s="543"/>
      <c r="L16" s="624"/>
      <c r="M16" s="624"/>
      <c r="P16" s="632"/>
    </row>
    <row r="17" spans="1:15" x14ac:dyDescent="0.2">
      <c r="A17" s="571">
        <v>5</v>
      </c>
      <c r="B17" s="587" t="s">
        <v>126</v>
      </c>
      <c r="C17" s="636"/>
      <c r="D17" s="636"/>
      <c r="E17" s="588"/>
      <c r="F17" s="935" t="s">
        <v>359</v>
      </c>
      <c r="G17" s="936"/>
      <c r="H17" s="936"/>
      <c r="I17" s="936"/>
      <c r="J17" s="936"/>
      <c r="K17" s="936"/>
      <c r="L17" s="936"/>
      <c r="M17" s="937" t="s">
        <v>11</v>
      </c>
      <c r="O17" s="632"/>
    </row>
    <row r="18" spans="1:15" s="641" customFormat="1" ht="38.25" x14ac:dyDescent="0.2">
      <c r="A18" s="589"/>
      <c r="B18" s="275" t="s">
        <v>76</v>
      </c>
      <c r="C18" s="637" t="s">
        <v>124</v>
      </c>
      <c r="D18" s="638" t="s">
        <v>125</v>
      </c>
      <c r="E18" s="639" t="s">
        <v>330</v>
      </c>
      <c r="F18" s="637" t="s">
        <v>348</v>
      </c>
      <c r="G18" s="638" t="s">
        <v>334</v>
      </c>
      <c r="H18" s="638" t="s">
        <v>351</v>
      </c>
      <c r="I18" s="638" t="s">
        <v>349</v>
      </c>
      <c r="J18" s="638" t="s">
        <v>350</v>
      </c>
      <c r="K18" s="640" t="s">
        <v>331</v>
      </c>
      <c r="L18" s="640" t="s">
        <v>332</v>
      </c>
      <c r="M18" s="938"/>
      <c r="O18" s="642">
        <f>SUM(K15,N15)/SUM(L15,O15)</f>
        <v>5.2006607386372306E-2</v>
      </c>
    </row>
    <row r="19" spans="1:15" x14ac:dyDescent="0.2">
      <c r="B19" s="272" t="s">
        <v>34</v>
      </c>
      <c r="C19" s="643">
        <v>5901320.1550330967</v>
      </c>
      <c r="D19" s="644">
        <v>11135462.483339105</v>
      </c>
      <c r="E19" s="645">
        <v>17036782.638372201</v>
      </c>
      <c r="F19" s="646">
        <f>$L$8*(E19/$L$7)</f>
        <v>2067366.8052099675</v>
      </c>
      <c r="G19" s="538">
        <f t="shared" ref="G19:G24" si="3">$L$12*($E19/$L$7)</f>
        <v>1682525.93761745</v>
      </c>
      <c r="H19" s="538">
        <f t="shared" ref="H19:H24" si="4">$L$11*($E19/$L$7)</f>
        <v>159088.21757416119</v>
      </c>
      <c r="I19" s="538">
        <f>$L$9*($E19/$L$7)</f>
        <v>34317.010987429632</v>
      </c>
      <c r="J19" s="538">
        <f>$L$10*($E19/$L$7)</f>
        <v>1718343.4089290877</v>
      </c>
      <c r="K19" s="538">
        <f>$L$13*($E19/$E$28)</f>
        <v>827017.19770976086</v>
      </c>
      <c r="L19" s="538">
        <f t="shared" ref="L19:L25" si="5">$L$14*($E19/$E$28)</f>
        <v>374779.04026867537</v>
      </c>
      <c r="M19" s="647">
        <f>SUM(E19:L19)</f>
        <v>23900220.256668735</v>
      </c>
    </row>
    <row r="20" spans="1:15" x14ac:dyDescent="0.2">
      <c r="B20" s="273" t="s">
        <v>35</v>
      </c>
      <c r="C20" s="648">
        <v>19270465.086098339</v>
      </c>
      <c r="D20" s="649">
        <v>4535300.1654841341</v>
      </c>
      <c r="E20" s="650">
        <v>23805765.251582474</v>
      </c>
      <c r="F20" s="646">
        <f t="shared" ref="F20:F24" si="6">$L$8*(E20/$L$7)</f>
        <v>2888764.2636758345</v>
      </c>
      <c r="G20" s="538">
        <f t="shared" si="3"/>
        <v>2351020.0459097186</v>
      </c>
      <c r="H20" s="538">
        <f t="shared" si="4"/>
        <v>222296.47711376872</v>
      </c>
      <c r="I20" s="538">
        <f t="shared" ref="I20:I24" si="7">$L$9*($E20/$L$7)</f>
        <v>47951.701036715349</v>
      </c>
      <c r="J20" s="538">
        <f t="shared" ref="J20:J24" si="8">$L$10*($E20/$L$7)</f>
        <v>2401068.3638374046</v>
      </c>
      <c r="K20" s="538">
        <f t="shared" ref="K20:K25" si="9">$L$13*($E20/$E$28)</f>
        <v>1155604.1821744596</v>
      </c>
      <c r="L20" s="538">
        <f t="shared" si="5"/>
        <v>523684.66765283066</v>
      </c>
      <c r="M20" s="647">
        <f t="shared" ref="M20:M25" si="10">SUM(E20:L20)</f>
        <v>33396154.952983204</v>
      </c>
    </row>
    <row r="21" spans="1:15" x14ac:dyDescent="0.2">
      <c r="B21" s="273" t="s">
        <v>36</v>
      </c>
      <c r="C21" s="648">
        <v>9896674.5574063491</v>
      </c>
      <c r="D21" s="649">
        <v>8779679.7780864909</v>
      </c>
      <c r="E21" s="650">
        <v>18676354.335492842</v>
      </c>
      <c r="F21" s="646">
        <f t="shared" si="6"/>
        <v>2266324.3298399141</v>
      </c>
      <c r="G21" s="538">
        <f t="shared" si="3"/>
        <v>1844447.4673771625</v>
      </c>
      <c r="H21" s="538">
        <f t="shared" si="4"/>
        <v>174398.41694786682</v>
      </c>
      <c r="I21" s="538">
        <f t="shared" si="7"/>
        <v>37619.582907202835</v>
      </c>
      <c r="J21" s="538">
        <f t="shared" si="8"/>
        <v>1883711.9106594773</v>
      </c>
      <c r="K21" s="538">
        <f t="shared" si="9"/>
        <v>906606.98993631161</v>
      </c>
      <c r="L21" s="538">
        <f t="shared" si="5"/>
        <v>410846.71338170563</v>
      </c>
      <c r="M21" s="647">
        <f t="shared" si="10"/>
        <v>26200309.746542484</v>
      </c>
    </row>
    <row r="22" spans="1:15" x14ac:dyDescent="0.2">
      <c r="B22" s="273" t="s">
        <v>37</v>
      </c>
      <c r="C22" s="648">
        <v>8771177.6584788691</v>
      </c>
      <c r="D22" s="649">
        <v>3697186.4938654765</v>
      </c>
      <c r="E22" s="650">
        <v>12468364.152344346</v>
      </c>
      <c r="F22" s="646">
        <f t="shared" si="6"/>
        <v>1513001.7627723562</v>
      </c>
      <c r="G22" s="538">
        <f t="shared" si="3"/>
        <v>1231356.0917734038</v>
      </c>
      <c r="H22" s="538">
        <f t="shared" si="4"/>
        <v>116428.66327321714</v>
      </c>
      <c r="I22" s="538">
        <f t="shared" si="7"/>
        <v>25114.89397344079</v>
      </c>
      <c r="J22" s="538">
        <f t="shared" si="8"/>
        <v>1257569.0971752449</v>
      </c>
      <c r="K22" s="538">
        <f t="shared" si="9"/>
        <v>605252.28267406533</v>
      </c>
      <c r="L22" s="538">
        <f t="shared" si="5"/>
        <v>274281.92575581546</v>
      </c>
      <c r="M22" s="647">
        <f t="shared" si="10"/>
        <v>17491368.869741887</v>
      </c>
    </row>
    <row r="23" spans="1:15" x14ac:dyDescent="0.2">
      <c r="B23" s="273" t="s">
        <v>38</v>
      </c>
      <c r="C23" s="648">
        <v>16598582.122448899</v>
      </c>
      <c r="D23" s="649">
        <v>3537875.7306654514</v>
      </c>
      <c r="E23" s="650">
        <v>20136457.853114352</v>
      </c>
      <c r="F23" s="646">
        <f t="shared" si="6"/>
        <v>2443503.883548737</v>
      </c>
      <c r="G23" s="538">
        <f t="shared" si="3"/>
        <v>1988645.0011574838</v>
      </c>
      <c r="H23" s="538">
        <f t="shared" si="4"/>
        <v>188032.75572078684</v>
      </c>
      <c r="I23" s="538">
        <f t="shared" si="7"/>
        <v>40560.653972120141</v>
      </c>
      <c r="J23" s="538">
        <f t="shared" si="8"/>
        <v>2030979.1094677858</v>
      </c>
      <c r="K23" s="538">
        <f t="shared" si="9"/>
        <v>977484.85139295575</v>
      </c>
      <c r="L23" s="538">
        <f t="shared" si="5"/>
        <v>442966.40444324462</v>
      </c>
      <c r="M23" s="647">
        <f t="shared" si="10"/>
        <v>28248630.512817465</v>
      </c>
    </row>
    <row r="24" spans="1:15" x14ac:dyDescent="0.2">
      <c r="B24" s="273" t="s">
        <v>39</v>
      </c>
      <c r="C24" s="648">
        <v>2551686.0505344532</v>
      </c>
      <c r="D24" s="649">
        <v>5536107.578559339</v>
      </c>
      <c r="E24" s="650">
        <v>8087793.6290937923</v>
      </c>
      <c r="F24" s="646">
        <f t="shared" si="6"/>
        <v>981431.55495319131</v>
      </c>
      <c r="G24" s="538">
        <f t="shared" si="3"/>
        <v>798737.81616478122</v>
      </c>
      <c r="H24" s="538">
        <f t="shared" si="4"/>
        <v>75523.219370199382</v>
      </c>
      <c r="I24" s="538">
        <f t="shared" si="7"/>
        <v>16291.157123091274</v>
      </c>
      <c r="J24" s="538">
        <f t="shared" si="8"/>
        <v>815741.27993100032</v>
      </c>
      <c r="K24" s="538">
        <f t="shared" si="9"/>
        <v>392606.0785516419</v>
      </c>
      <c r="L24" s="538">
        <f t="shared" si="5"/>
        <v>177917.13368319947</v>
      </c>
      <c r="M24" s="647">
        <f t="shared" si="10"/>
        <v>11346041.868870895</v>
      </c>
    </row>
    <row r="25" spans="1:15" x14ac:dyDescent="0.2">
      <c r="B25" s="274" t="s">
        <v>111</v>
      </c>
      <c r="C25" s="651">
        <v>2651264.14</v>
      </c>
      <c r="D25" s="652">
        <v>0</v>
      </c>
      <c r="E25" s="653">
        <v>2651264.14</v>
      </c>
      <c r="F25" s="646">
        <v>797064.04</v>
      </c>
      <c r="G25" s="538">
        <v>13800</v>
      </c>
      <c r="H25" s="654">
        <v>0</v>
      </c>
      <c r="I25" s="538">
        <v>0</v>
      </c>
      <c r="J25" s="538">
        <v>20470.330000000002</v>
      </c>
      <c r="K25" s="538">
        <f t="shared" si="9"/>
        <v>128700.41756080523</v>
      </c>
      <c r="L25" s="538">
        <f t="shared" si="5"/>
        <v>58323.114814528933</v>
      </c>
      <c r="M25" s="647">
        <f t="shared" si="10"/>
        <v>3669622.0423753341</v>
      </c>
    </row>
    <row r="26" spans="1:15" x14ac:dyDescent="0.2">
      <c r="B26" s="655"/>
      <c r="C26" s="538"/>
      <c r="D26" s="538"/>
      <c r="E26" s="656"/>
      <c r="F26" s="657"/>
      <c r="G26" s="658"/>
      <c r="H26" s="658"/>
      <c r="I26" s="658"/>
      <c r="J26" s="658"/>
      <c r="K26" s="658"/>
      <c r="L26" s="658"/>
      <c r="M26" s="659"/>
    </row>
    <row r="27" spans="1:15" x14ac:dyDescent="0.2">
      <c r="B27" s="660"/>
      <c r="C27" s="661"/>
      <c r="D27" s="662"/>
      <c r="E27" s="663"/>
      <c r="F27" s="646"/>
      <c r="G27" s="538"/>
      <c r="H27" s="538"/>
      <c r="I27" s="538"/>
      <c r="J27" s="538"/>
      <c r="K27" s="538"/>
      <c r="L27" s="538"/>
      <c r="M27" s="647"/>
    </row>
    <row r="28" spans="1:15" x14ac:dyDescent="0.2">
      <c r="B28" s="590" t="s">
        <v>0</v>
      </c>
      <c r="C28" s="591">
        <f>SUM(C19:C25)</f>
        <v>65641169.770000011</v>
      </c>
      <c r="D28" s="591">
        <f t="shared" ref="D28" si="11">SUM(D19:D25)</f>
        <v>37221612.229999997</v>
      </c>
      <c r="E28" s="592">
        <f>SUM(E19:E25)</f>
        <v>102862782</v>
      </c>
      <c r="F28" s="646">
        <v>12160392.6</v>
      </c>
      <c r="G28" s="538">
        <v>9896732.3599999994</v>
      </c>
      <c r="H28" s="538">
        <v>935767.75</v>
      </c>
      <c r="I28" s="538">
        <v>201855</v>
      </c>
      <c r="J28" s="538">
        <v>10107413.17</v>
      </c>
      <c r="K28" s="538">
        <f>SUM(K19:K25)</f>
        <v>4993272</v>
      </c>
      <c r="L28" s="538">
        <f>SUM(L19:L25)</f>
        <v>2262799</v>
      </c>
      <c r="M28" s="593">
        <f>SUM(M19:M25)</f>
        <v>144252348.25</v>
      </c>
      <c r="O28" s="632"/>
    </row>
    <row r="29" spans="1:15" x14ac:dyDescent="0.2">
      <c r="B29" s="664"/>
      <c r="C29" s="559"/>
      <c r="D29" s="665"/>
      <c r="E29" s="666"/>
      <c r="F29" s="664"/>
      <c r="G29" s="559"/>
      <c r="H29" s="559"/>
      <c r="I29" s="559"/>
      <c r="J29" s="559"/>
      <c r="K29" s="559"/>
      <c r="L29" s="559"/>
      <c r="M29" s="667"/>
    </row>
    <row r="30" spans="1:15" x14ac:dyDescent="0.2">
      <c r="E30" s="543"/>
    </row>
    <row r="31" spans="1:15" x14ac:dyDescent="0.2">
      <c r="E31" s="543"/>
    </row>
    <row r="32" spans="1:15" s="668" customFormat="1" ht="28.9" customHeight="1" x14ac:dyDescent="0.2">
      <c r="A32" s="594">
        <v>6</v>
      </c>
      <c r="B32" s="595" t="s">
        <v>6</v>
      </c>
      <c r="C32" s="596" t="s">
        <v>2</v>
      </c>
      <c r="D32" s="597">
        <f>A88</f>
        <v>8</v>
      </c>
      <c r="E32" s="929" t="s">
        <v>164</v>
      </c>
      <c r="F32" s="930"/>
      <c r="G32" s="630"/>
    </row>
    <row r="33" spans="1:12" x14ac:dyDescent="0.2">
      <c r="B33" s="599">
        <v>2009</v>
      </c>
      <c r="C33" s="669">
        <v>4.0000000000000001E-3</v>
      </c>
      <c r="D33" s="669"/>
      <c r="E33" s="13" t="s">
        <v>34</v>
      </c>
      <c r="F33" s="670">
        <v>51397</v>
      </c>
    </row>
    <row r="34" spans="1:12" x14ac:dyDescent="0.2">
      <c r="B34" s="599">
        <v>2010</v>
      </c>
      <c r="C34" s="669">
        <v>2.5000000000000001E-2</v>
      </c>
      <c r="D34" s="669"/>
      <c r="E34" s="13" t="s">
        <v>35</v>
      </c>
      <c r="F34" s="670">
        <v>32276</v>
      </c>
    </row>
    <row r="35" spans="1:12" x14ac:dyDescent="0.2">
      <c r="B35" s="599">
        <v>2011</v>
      </c>
      <c r="C35" s="669">
        <v>0.26600000000000001</v>
      </c>
      <c r="D35" s="669"/>
      <c r="E35" s="13" t="s">
        <v>36</v>
      </c>
      <c r="F35" s="670">
        <v>47388</v>
      </c>
    </row>
    <row r="36" spans="1:12" x14ac:dyDescent="0.2">
      <c r="B36" s="599">
        <v>2012</v>
      </c>
      <c r="C36" s="669">
        <v>0.27700000000000002</v>
      </c>
      <c r="D36" s="669"/>
      <c r="E36" s="13" t="s">
        <v>37</v>
      </c>
      <c r="F36" s="670">
        <v>42922</v>
      </c>
    </row>
    <row r="37" spans="1:12" ht="13.15" customHeight="1" x14ac:dyDescent="0.2">
      <c r="B37" s="599">
        <v>2013</v>
      </c>
      <c r="C37" s="669">
        <v>0.38900000000000001</v>
      </c>
      <c r="D37" s="669"/>
      <c r="E37" s="13" t="s">
        <v>38</v>
      </c>
      <c r="F37" s="670">
        <v>50200</v>
      </c>
    </row>
    <row r="38" spans="1:12" x14ac:dyDescent="0.2">
      <c r="B38" s="600">
        <v>2014</v>
      </c>
      <c r="C38" s="671">
        <v>3.9E-2</v>
      </c>
      <c r="D38" s="571"/>
      <c r="E38" s="13" t="s">
        <v>39</v>
      </c>
      <c r="F38" s="670">
        <v>63013</v>
      </c>
    </row>
    <row r="39" spans="1:12" x14ac:dyDescent="0.2">
      <c r="C39" s="672"/>
      <c r="D39" s="571"/>
      <c r="E39" s="13" t="s">
        <v>111</v>
      </c>
      <c r="F39" s="670">
        <v>14597</v>
      </c>
    </row>
    <row r="40" spans="1:12" x14ac:dyDescent="0.2">
      <c r="A40" s="566"/>
      <c r="D40" s="571"/>
      <c r="E40" s="543"/>
      <c r="F40" s="543"/>
    </row>
    <row r="41" spans="1:12" x14ac:dyDescent="0.2">
      <c r="A41" s="571">
        <f>A89</f>
        <v>9</v>
      </c>
      <c r="B41" s="601" t="s">
        <v>3</v>
      </c>
      <c r="C41" s="625">
        <v>2013</v>
      </c>
      <c r="D41" s="571"/>
      <c r="E41" s="543"/>
      <c r="F41" s="543"/>
    </row>
    <row r="42" spans="1:12" x14ac:dyDescent="0.2">
      <c r="A42" s="571">
        <f>A90</f>
        <v>10</v>
      </c>
      <c r="B42" s="602" t="s">
        <v>9</v>
      </c>
      <c r="C42" s="673">
        <v>0</v>
      </c>
      <c r="D42" s="571"/>
      <c r="E42" s="543"/>
      <c r="F42" s="543"/>
    </row>
    <row r="43" spans="1:12" x14ac:dyDescent="0.2">
      <c r="B43" s="603" t="s">
        <v>8</v>
      </c>
      <c r="C43" s="674">
        <v>2028</v>
      </c>
      <c r="D43" s="571"/>
      <c r="E43" s="543"/>
      <c r="F43" s="543"/>
    </row>
    <row r="44" spans="1:12" x14ac:dyDescent="0.2">
      <c r="A44" s="566"/>
      <c r="D44" s="571"/>
      <c r="E44" s="543"/>
      <c r="F44" s="543"/>
      <c r="J44" s="542"/>
      <c r="K44" s="542"/>
      <c r="L44" s="542"/>
    </row>
    <row r="45" spans="1:12" x14ac:dyDescent="0.2">
      <c r="D45" s="571"/>
      <c r="E45" s="543"/>
      <c r="F45" s="543"/>
      <c r="G45" s="543"/>
      <c r="J45" s="542"/>
      <c r="K45" s="542"/>
      <c r="L45" s="542"/>
    </row>
    <row r="46" spans="1:12" x14ac:dyDescent="0.2">
      <c r="A46" s="571">
        <f>A91</f>
        <v>11</v>
      </c>
      <c r="B46" s="927" t="s">
        <v>600</v>
      </c>
      <c r="C46" s="928"/>
      <c r="D46" s="571">
        <f>A92</f>
        <v>12</v>
      </c>
      <c r="E46" s="927" t="s">
        <v>134</v>
      </c>
      <c r="F46" s="928"/>
      <c r="G46" s="543"/>
      <c r="J46" s="542"/>
      <c r="K46" s="675"/>
      <c r="L46" s="542"/>
    </row>
    <row r="47" spans="1:12" x14ac:dyDescent="0.2">
      <c r="B47" s="541" t="s">
        <v>133</v>
      </c>
      <c r="C47" s="604" t="s">
        <v>603</v>
      </c>
      <c r="D47" s="571"/>
      <c r="E47" s="541" t="s">
        <v>133</v>
      </c>
      <c r="F47" s="604" t="s">
        <v>602</v>
      </c>
      <c r="G47" s="543"/>
      <c r="J47" s="542"/>
      <c r="K47" s="676"/>
      <c r="L47" s="542"/>
    </row>
    <row r="48" spans="1:12" x14ac:dyDescent="0.2">
      <c r="B48" s="605" t="s">
        <v>548</v>
      </c>
      <c r="C48" s="677">
        <f>WTP!F9*0.01*'ERR &amp; Sensitivity Analysis'!$G$12</f>
        <v>0.57000000000000006</v>
      </c>
      <c r="D48" s="606"/>
      <c r="E48" s="605" t="s">
        <v>1</v>
      </c>
      <c r="F48" s="678">
        <f>LRMC!J24</f>
        <v>655.42500000000007</v>
      </c>
      <c r="G48" s="543"/>
      <c r="J48" s="542"/>
      <c r="K48" s="518"/>
      <c r="L48" s="542"/>
    </row>
    <row r="49" spans="1:13" x14ac:dyDescent="0.2">
      <c r="B49" s="605" t="s">
        <v>549</v>
      </c>
      <c r="C49" s="677">
        <f>WTP!F10*0.01*'ERR &amp; Sensitivity Analysis'!$G$12</f>
        <v>0.59699999999999998</v>
      </c>
      <c r="D49" s="571"/>
      <c r="E49" s="605" t="s">
        <v>131</v>
      </c>
      <c r="F49" s="678">
        <f>LRMC!K24</f>
        <v>296.7</v>
      </c>
      <c r="G49" s="543"/>
      <c r="J49" s="542"/>
      <c r="K49" s="518"/>
      <c r="L49" s="542"/>
    </row>
    <row r="50" spans="1:13" x14ac:dyDescent="0.2">
      <c r="B50" s="605" t="s">
        <v>550</v>
      </c>
      <c r="C50" s="677">
        <f>WTP!F11*0.01*'ERR &amp; Sensitivity Analysis'!$G$12</f>
        <v>0.69599999999999995</v>
      </c>
      <c r="D50" s="571"/>
      <c r="E50" s="605" t="s">
        <v>132</v>
      </c>
      <c r="F50" s="678">
        <f>LRMC!L24</f>
        <v>407.25</v>
      </c>
      <c r="G50" s="543"/>
      <c r="J50" s="542"/>
      <c r="K50" s="518"/>
      <c r="L50" s="542"/>
    </row>
    <row r="51" spans="1:13" x14ac:dyDescent="0.2">
      <c r="B51" s="607" t="s">
        <v>551</v>
      </c>
      <c r="C51" s="677">
        <f>WTP!F15*'ERR &amp; Sensitivity Analysis'!$G$12*0.01</f>
        <v>0.29499999999999998</v>
      </c>
      <c r="D51" s="571"/>
      <c r="E51" s="605" t="s">
        <v>161</v>
      </c>
      <c r="F51" s="678">
        <v>400</v>
      </c>
      <c r="G51" s="543"/>
      <c r="J51" s="542"/>
      <c r="K51" s="553"/>
      <c r="L51" s="542"/>
    </row>
    <row r="52" spans="1:13" x14ac:dyDescent="0.2">
      <c r="D52" s="571"/>
      <c r="J52" s="542"/>
      <c r="K52" s="542"/>
      <c r="L52" s="542"/>
    </row>
    <row r="53" spans="1:13" x14ac:dyDescent="0.2">
      <c r="D53" s="571"/>
      <c r="J53" s="542"/>
      <c r="K53" s="542"/>
      <c r="L53" s="542"/>
    </row>
    <row r="54" spans="1:13" x14ac:dyDescent="0.2">
      <c r="B54" s="608" t="s">
        <v>172</v>
      </c>
      <c r="C54" s="609" t="s">
        <v>604</v>
      </c>
      <c r="D54" s="571">
        <f>A95</f>
        <v>15</v>
      </c>
      <c r="E54" s="923" t="s">
        <v>169</v>
      </c>
      <c r="F54" s="924"/>
      <c r="I54" s="542"/>
      <c r="J54" s="542"/>
      <c r="K54" s="542"/>
      <c r="L54" s="542"/>
    </row>
    <row r="55" spans="1:13" x14ac:dyDescent="0.2">
      <c r="A55" s="571">
        <f>A93</f>
        <v>13</v>
      </c>
      <c r="B55" s="679" t="s">
        <v>139</v>
      </c>
      <c r="C55" s="680">
        <v>0.01</v>
      </c>
      <c r="D55" s="571"/>
      <c r="E55" s="679" t="s">
        <v>1</v>
      </c>
      <c r="F55" s="681">
        <v>0.65</v>
      </c>
      <c r="I55" s="542"/>
      <c r="J55" s="542"/>
      <c r="K55" s="542"/>
      <c r="L55" s="542"/>
    </row>
    <row r="56" spans="1:13" x14ac:dyDescent="0.2">
      <c r="A56" s="571">
        <f>A94</f>
        <v>14</v>
      </c>
      <c r="B56" s="541" t="s">
        <v>166</v>
      </c>
      <c r="C56" s="680">
        <v>2.3E-2</v>
      </c>
      <c r="D56" s="571"/>
      <c r="E56" s="679" t="s">
        <v>170</v>
      </c>
      <c r="F56" s="681">
        <v>0.5</v>
      </c>
      <c r="I56" s="630"/>
      <c r="J56" s="478"/>
      <c r="K56" s="478"/>
      <c r="L56" s="478"/>
      <c r="M56" s="668"/>
    </row>
    <row r="57" spans="1:13" x14ac:dyDescent="0.2">
      <c r="A57" s="571">
        <f>A95</f>
        <v>15</v>
      </c>
      <c r="B57" s="679" t="s">
        <v>151</v>
      </c>
      <c r="C57" s="680">
        <v>0.55000000000000004</v>
      </c>
      <c r="D57" s="610" t="s">
        <v>605</v>
      </c>
      <c r="E57" s="679" t="s">
        <v>171</v>
      </c>
      <c r="F57" s="681">
        <v>0.3</v>
      </c>
      <c r="I57" s="458"/>
      <c r="J57" s="578"/>
      <c r="K57" s="578"/>
      <c r="L57" s="578"/>
      <c r="M57" s="682"/>
    </row>
    <row r="58" spans="1:13" x14ac:dyDescent="0.2">
      <c r="D58" s="624"/>
      <c r="E58" s="543"/>
      <c r="F58" s="543"/>
      <c r="I58" s="458"/>
      <c r="J58" s="578"/>
      <c r="K58" s="578"/>
      <c r="L58" s="578"/>
      <c r="M58" s="682"/>
    </row>
    <row r="59" spans="1:13" x14ac:dyDescent="0.2">
      <c r="D59" s="624"/>
      <c r="E59" s="543"/>
      <c r="F59" s="543"/>
      <c r="I59" s="458"/>
      <c r="J59" s="578"/>
      <c r="K59" s="578"/>
      <c r="L59" s="578"/>
      <c r="M59" s="682"/>
    </row>
    <row r="60" spans="1:13" x14ac:dyDescent="0.2">
      <c r="B60" s="611" t="s">
        <v>619</v>
      </c>
      <c r="C60" s="679" t="s">
        <v>1</v>
      </c>
      <c r="D60" s="679" t="s">
        <v>170</v>
      </c>
      <c r="E60" s="679" t="s">
        <v>171</v>
      </c>
      <c r="F60" s="543"/>
      <c r="I60" s="458"/>
      <c r="J60" s="578"/>
      <c r="K60" s="578"/>
      <c r="L60" s="578"/>
      <c r="M60" s="682"/>
    </row>
    <row r="61" spans="1:13" ht="14.25" customHeight="1" x14ac:dyDescent="0.2">
      <c r="A61" s="571">
        <f>A93</f>
        <v>13</v>
      </c>
      <c r="B61" s="679" t="s">
        <v>620</v>
      </c>
      <c r="C61" s="680">
        <v>0.01</v>
      </c>
      <c r="D61" s="680">
        <v>0.01</v>
      </c>
      <c r="E61" s="680">
        <v>0.01</v>
      </c>
      <c r="F61" s="543"/>
      <c r="I61" s="458"/>
      <c r="J61" s="578"/>
      <c r="K61" s="578"/>
      <c r="L61" s="578"/>
      <c r="M61" s="682"/>
    </row>
    <row r="62" spans="1:13" x14ac:dyDescent="0.2">
      <c r="A62" s="571">
        <f>A94</f>
        <v>14</v>
      </c>
      <c r="B62" s="541" t="s">
        <v>165</v>
      </c>
      <c r="C62" s="680">
        <v>2.3E-2</v>
      </c>
      <c r="D62" s="680">
        <v>2.3E-2</v>
      </c>
      <c r="E62" s="680">
        <v>2.3E-2</v>
      </c>
      <c r="F62" s="543"/>
      <c r="I62" s="458"/>
      <c r="J62" s="578"/>
      <c r="K62" s="578"/>
      <c r="L62" s="578"/>
      <c r="M62" s="682"/>
    </row>
    <row r="63" spans="1:13" x14ac:dyDescent="0.2">
      <c r="B63" s="542"/>
      <c r="D63" s="624"/>
      <c r="E63" s="543"/>
      <c r="F63" s="543"/>
      <c r="I63" s="458"/>
      <c r="J63" s="578"/>
      <c r="K63" s="578"/>
      <c r="L63" s="578"/>
      <c r="M63" s="682"/>
    </row>
    <row r="64" spans="1:13" x14ac:dyDescent="0.2">
      <c r="C64" s="683"/>
      <c r="D64" s="683"/>
      <c r="E64" s="683"/>
      <c r="F64" s="683"/>
      <c r="G64" s="684"/>
      <c r="H64" s="683"/>
      <c r="I64" s="683"/>
      <c r="J64" s="683"/>
      <c r="K64" s="683"/>
      <c r="L64" s="683"/>
    </row>
    <row r="65" spans="1:12" x14ac:dyDescent="0.2">
      <c r="A65" s="571">
        <f>A96</f>
        <v>16</v>
      </c>
      <c r="B65" s="612" t="s">
        <v>135</v>
      </c>
      <c r="C65" s="613" t="s">
        <v>601</v>
      </c>
      <c r="D65" s="683"/>
      <c r="E65" s="683"/>
      <c r="F65" s="683"/>
      <c r="G65" s="684"/>
      <c r="H65" s="683"/>
      <c r="I65" s="683"/>
      <c r="J65" s="683"/>
      <c r="K65" s="683"/>
      <c r="L65" s="683"/>
    </row>
    <row r="66" spans="1:12" x14ac:dyDescent="0.2">
      <c r="B66" s="614" t="s">
        <v>563</v>
      </c>
      <c r="C66" s="685">
        <f>'ERR &amp; Sensitivity Analysis'!G13</f>
        <v>0.16039999999999999</v>
      </c>
      <c r="D66" s="683"/>
      <c r="E66" s="683"/>
      <c r="F66" s="683"/>
      <c r="G66" s="684"/>
      <c r="H66" s="683"/>
      <c r="I66" s="683"/>
      <c r="J66" s="683"/>
      <c r="K66" s="683"/>
      <c r="L66" s="683"/>
    </row>
    <row r="67" spans="1:12" x14ac:dyDescent="0.2">
      <c r="B67" s="615" t="s">
        <v>155</v>
      </c>
      <c r="C67" s="616">
        <f>LRMC!F23*0.01</f>
        <v>0.14696300000000001</v>
      </c>
      <c r="E67" s="543"/>
      <c r="F67" s="543"/>
    </row>
    <row r="68" spans="1:12" x14ac:dyDescent="0.2">
      <c r="B68" s="615" t="s">
        <v>156</v>
      </c>
      <c r="C68" s="686">
        <f>LRMC!F31*0.01</f>
        <v>0.21552001999999995</v>
      </c>
      <c r="E68" s="543"/>
      <c r="F68" s="543"/>
    </row>
    <row r="69" spans="1:12" x14ac:dyDescent="0.2">
      <c r="B69" s="615" t="s">
        <v>157</v>
      </c>
      <c r="C69" s="616">
        <f>LRMC!F39*0.01</f>
        <v>0.26046799999999998</v>
      </c>
      <c r="E69" s="543"/>
      <c r="F69" s="543"/>
    </row>
    <row r="70" spans="1:12" x14ac:dyDescent="0.2">
      <c r="E70" s="543"/>
      <c r="F70" s="543"/>
    </row>
    <row r="71" spans="1:12" x14ac:dyDescent="0.2">
      <c r="A71" s="571">
        <f>A97</f>
        <v>17</v>
      </c>
      <c r="B71" s="612" t="s">
        <v>559</v>
      </c>
      <c r="C71" s="614"/>
      <c r="D71" s="624"/>
      <c r="E71" s="543"/>
      <c r="F71" s="543"/>
    </row>
    <row r="72" spans="1:12" x14ac:dyDescent="0.2">
      <c r="B72" s="614" t="s">
        <v>560</v>
      </c>
      <c r="C72" s="687">
        <v>0.05</v>
      </c>
      <c r="D72" s="624"/>
      <c r="E72" s="543"/>
      <c r="F72" s="543"/>
    </row>
    <row r="73" spans="1:12" x14ac:dyDescent="0.2">
      <c r="B73" s="614" t="s">
        <v>561</v>
      </c>
      <c r="C73" s="619">
        <v>8.1000000000000003E-2</v>
      </c>
      <c r="D73" s="617"/>
      <c r="E73" s="683"/>
      <c r="F73" s="683"/>
      <c r="G73" s="684"/>
      <c r="H73" s="683"/>
      <c r="I73" s="683"/>
      <c r="J73" s="683"/>
      <c r="K73" s="683"/>
      <c r="L73" s="683"/>
    </row>
    <row r="74" spans="1:12" x14ac:dyDescent="0.2">
      <c r="B74" s="614" t="s">
        <v>562</v>
      </c>
      <c r="C74" s="619">
        <f>SUM(C72:C73)</f>
        <v>0.13100000000000001</v>
      </c>
      <c r="D74" s="617"/>
      <c r="E74" s="683"/>
      <c r="F74" s="683"/>
      <c r="G74" s="684"/>
      <c r="H74" s="683"/>
      <c r="I74" s="683"/>
      <c r="J74" s="683"/>
      <c r="K74" s="683"/>
      <c r="L74" s="683"/>
    </row>
    <row r="75" spans="1:12" x14ac:dyDescent="0.2">
      <c r="A75" s="571">
        <f>A98</f>
        <v>18</v>
      </c>
      <c r="B75" s="614" t="s">
        <v>569</v>
      </c>
      <c r="C75" s="619">
        <v>1.2E-2</v>
      </c>
      <c r="D75" s="683"/>
      <c r="E75" s="683"/>
      <c r="F75" s="683"/>
      <c r="G75" s="684"/>
      <c r="H75" s="683"/>
      <c r="I75" s="683"/>
      <c r="J75" s="683"/>
      <c r="K75" s="683"/>
      <c r="L75" s="683"/>
    </row>
    <row r="76" spans="1:12" x14ac:dyDescent="0.2">
      <c r="E76" s="543"/>
      <c r="F76" s="543"/>
    </row>
    <row r="77" spans="1:12" x14ac:dyDescent="0.2">
      <c r="E77" s="543"/>
      <c r="F77" s="543"/>
    </row>
    <row r="78" spans="1:12" x14ac:dyDescent="0.2">
      <c r="E78" s="543"/>
      <c r="F78" s="543"/>
    </row>
    <row r="79" spans="1:12" x14ac:dyDescent="0.2">
      <c r="E79" s="543"/>
      <c r="F79" s="543"/>
    </row>
    <row r="80" spans="1:12" x14ac:dyDescent="0.2">
      <c r="B80" s="618" t="s">
        <v>585</v>
      </c>
      <c r="E80" s="543"/>
      <c r="F80" s="543"/>
    </row>
    <row r="81" spans="1:7" x14ac:dyDescent="0.2">
      <c r="A81" s="571">
        <v>1</v>
      </c>
      <c r="B81" s="543" t="s">
        <v>564</v>
      </c>
      <c r="E81" s="543"/>
      <c r="F81" s="543"/>
    </row>
    <row r="82" spans="1:7" x14ac:dyDescent="0.2">
      <c r="A82" s="571">
        <v>2</v>
      </c>
      <c r="B82" s="543" t="s">
        <v>588</v>
      </c>
      <c r="E82" s="543"/>
      <c r="F82" s="543"/>
    </row>
    <row r="83" spans="1:7" x14ac:dyDescent="0.2">
      <c r="A83" s="571">
        <v>3</v>
      </c>
      <c r="B83" s="543" t="s">
        <v>589</v>
      </c>
      <c r="E83" s="543"/>
      <c r="F83" s="543"/>
    </row>
    <row r="84" spans="1:7" x14ac:dyDescent="0.2">
      <c r="A84" s="571">
        <v>4</v>
      </c>
      <c r="B84" s="543" t="s">
        <v>598</v>
      </c>
      <c r="E84" s="543"/>
      <c r="F84" s="543"/>
    </row>
    <row r="85" spans="1:7" x14ac:dyDescent="0.2">
      <c r="A85" s="571">
        <v>5</v>
      </c>
      <c r="B85" s="543" t="s">
        <v>565</v>
      </c>
      <c r="E85" s="543"/>
      <c r="F85" s="543"/>
    </row>
    <row r="86" spans="1:7" x14ac:dyDescent="0.2">
      <c r="A86" s="571">
        <v>6</v>
      </c>
      <c r="B86" s="543" t="s">
        <v>566</v>
      </c>
      <c r="E86" s="543"/>
      <c r="F86" s="543"/>
    </row>
    <row r="87" spans="1:7" x14ac:dyDescent="0.2">
      <c r="A87" s="571">
        <v>7</v>
      </c>
      <c r="B87" s="543" t="s">
        <v>590</v>
      </c>
      <c r="E87" s="543"/>
      <c r="F87" s="543"/>
    </row>
    <row r="88" spans="1:7" x14ac:dyDescent="0.2">
      <c r="A88" s="571">
        <v>8</v>
      </c>
      <c r="B88" s="543" t="s">
        <v>595</v>
      </c>
      <c r="E88" s="543"/>
      <c r="F88" s="543"/>
    </row>
    <row r="89" spans="1:7" x14ac:dyDescent="0.2">
      <c r="A89" s="571">
        <v>9</v>
      </c>
      <c r="B89" s="543" t="s">
        <v>597</v>
      </c>
      <c r="E89" s="543"/>
      <c r="F89" s="543"/>
    </row>
    <row r="90" spans="1:7" x14ac:dyDescent="0.2">
      <c r="A90" s="571">
        <v>10</v>
      </c>
      <c r="B90" s="543" t="s">
        <v>567</v>
      </c>
      <c r="E90" s="543"/>
      <c r="F90" s="543"/>
    </row>
    <row r="91" spans="1:7" x14ac:dyDescent="0.2">
      <c r="A91" s="571">
        <v>11</v>
      </c>
      <c r="B91" s="543" t="s">
        <v>578</v>
      </c>
      <c r="E91" s="543"/>
      <c r="F91" s="543"/>
    </row>
    <row r="92" spans="1:7" x14ac:dyDescent="0.2">
      <c r="A92" s="571">
        <v>12</v>
      </c>
      <c r="B92" s="543" t="s">
        <v>580</v>
      </c>
      <c r="E92" s="543"/>
      <c r="F92" s="543"/>
    </row>
    <row r="93" spans="1:7" x14ac:dyDescent="0.2">
      <c r="A93" s="571">
        <v>13</v>
      </c>
      <c r="B93" s="543" t="s">
        <v>596</v>
      </c>
      <c r="E93" s="543"/>
      <c r="F93" s="543"/>
      <c r="G93" s="543"/>
    </row>
    <row r="94" spans="1:7" x14ac:dyDescent="0.2">
      <c r="A94" s="571">
        <v>14</v>
      </c>
      <c r="B94" s="543" t="s">
        <v>579</v>
      </c>
      <c r="G94" s="543"/>
    </row>
    <row r="95" spans="1:7" x14ac:dyDescent="0.2">
      <c r="A95" s="571">
        <v>15</v>
      </c>
      <c r="B95" s="543" t="s">
        <v>584</v>
      </c>
      <c r="G95" s="543"/>
    </row>
    <row r="96" spans="1:7" x14ac:dyDescent="0.2">
      <c r="A96" s="571">
        <v>16</v>
      </c>
      <c r="B96" s="543" t="s">
        <v>599</v>
      </c>
      <c r="G96" s="543"/>
    </row>
    <row r="97" spans="1:7" x14ac:dyDescent="0.2">
      <c r="A97" s="571">
        <v>17</v>
      </c>
      <c r="B97" s="543" t="s">
        <v>568</v>
      </c>
      <c r="G97" s="543"/>
    </row>
    <row r="98" spans="1:7" x14ac:dyDescent="0.2">
      <c r="A98" s="571">
        <v>18</v>
      </c>
      <c r="B98" s="543" t="s">
        <v>570</v>
      </c>
      <c r="E98" s="543"/>
      <c r="F98" s="543"/>
      <c r="G98" s="543"/>
    </row>
  </sheetData>
  <mergeCells count="10">
    <mergeCell ref="M5:O5"/>
    <mergeCell ref="J5:L5"/>
    <mergeCell ref="I5:I6"/>
    <mergeCell ref="F17:L17"/>
    <mergeCell ref="M17:M18"/>
    <mergeCell ref="E54:F54"/>
    <mergeCell ref="F6:G6"/>
    <mergeCell ref="E46:F46"/>
    <mergeCell ref="B46:C46"/>
    <mergeCell ref="E32:F32"/>
  </mergeCells>
  <phoneticPr fontId="2" type="noConversion"/>
  <pageMargins left="0.75" right="0.75" top="1" bottom="1" header="0.5" footer="0.5"/>
  <pageSetup paperSize="9"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L60"/>
  <sheetViews>
    <sheetView showGridLines="0" zoomScale="80" zoomScaleNormal="80" workbookViewId="0"/>
  </sheetViews>
  <sheetFormatPr defaultColWidth="9.140625" defaultRowHeight="12.75" x14ac:dyDescent="0.2"/>
  <cols>
    <col min="1" max="1" width="3.140625" style="765" customWidth="1"/>
    <col min="2" max="2" width="5.42578125" style="765" customWidth="1"/>
    <col min="3" max="3" width="28.5703125" style="765" bestFit="1" customWidth="1"/>
    <col min="4" max="4" width="10.28515625" style="765" customWidth="1"/>
    <col min="5" max="5" width="10" style="765" customWidth="1"/>
    <col min="6" max="6" width="10.28515625" style="765" customWidth="1"/>
    <col min="7" max="7" width="7.85546875" style="765" customWidth="1"/>
    <col min="8" max="8" width="8.5703125" style="765" customWidth="1"/>
    <col min="9" max="9" width="7" style="765" customWidth="1"/>
    <col min="10" max="10" width="10.140625" style="765" customWidth="1"/>
    <col min="11" max="11" width="9" style="765" customWidth="1"/>
    <col min="12" max="12" width="11.140625" style="765" customWidth="1"/>
    <col min="13" max="13" width="11.5703125" style="765" customWidth="1"/>
    <col min="14" max="14" width="10.140625" style="765" customWidth="1"/>
    <col min="15" max="16" width="9.140625" style="765"/>
    <col min="17" max="33" width="12.7109375" style="765" customWidth="1"/>
    <col min="34" max="34" width="11.42578125" style="765" customWidth="1"/>
    <col min="35" max="16384" width="9.140625" style="765"/>
  </cols>
  <sheetData>
    <row r="1" spans="2:26" ht="27.75" customHeight="1" x14ac:dyDescent="0.2">
      <c r="B1" s="762" t="s">
        <v>370</v>
      </c>
      <c r="C1" s="763"/>
      <c r="D1" s="764"/>
      <c r="E1" s="764"/>
      <c r="F1" s="764"/>
      <c r="G1" s="764"/>
      <c r="H1" s="764"/>
      <c r="J1" s="764"/>
      <c r="K1" s="764"/>
      <c r="M1" s="766" t="s">
        <v>668</v>
      </c>
      <c r="P1" s="487"/>
      <c r="Q1" s="488"/>
      <c r="R1" s="488"/>
      <c r="S1" s="488"/>
      <c r="T1" s="488"/>
    </row>
    <row r="2" spans="2:26" ht="18" x14ac:dyDescent="0.2">
      <c r="B2" s="767" t="s">
        <v>380</v>
      </c>
      <c r="C2" s="768"/>
      <c r="D2" s="763"/>
      <c r="E2" s="763"/>
      <c r="F2" s="763"/>
      <c r="G2" s="769"/>
      <c r="H2" s="768"/>
      <c r="I2" s="768"/>
      <c r="J2" s="768"/>
      <c r="K2" s="768"/>
      <c r="P2" s="488"/>
      <c r="Q2" s="770"/>
      <c r="R2" s="771"/>
      <c r="S2" s="771"/>
      <c r="T2" s="630"/>
    </row>
    <row r="3" spans="2:26" x14ac:dyDescent="0.2">
      <c r="C3" s="598"/>
      <c r="P3" s="479"/>
      <c r="Q3" s="456"/>
      <c r="R3" s="457"/>
      <c r="S3" s="457"/>
      <c r="T3" s="772"/>
    </row>
    <row r="4" spans="2:26" ht="18" customHeight="1" x14ac:dyDescent="0.2">
      <c r="C4" s="451"/>
      <c r="D4" s="452" t="s">
        <v>34</v>
      </c>
      <c r="E4" s="452" t="s">
        <v>35</v>
      </c>
      <c r="F4" s="452" t="s">
        <v>36</v>
      </c>
      <c r="G4" s="452" t="s">
        <v>37</v>
      </c>
      <c r="H4" s="452" t="s">
        <v>38</v>
      </c>
      <c r="I4" s="452" t="s">
        <v>39</v>
      </c>
      <c r="J4" s="453" t="s">
        <v>111</v>
      </c>
      <c r="K4" s="453" t="s">
        <v>0</v>
      </c>
      <c r="P4" s="479"/>
      <c r="Q4" s="456"/>
      <c r="R4" s="457"/>
      <c r="S4" s="457"/>
      <c r="T4" s="772"/>
    </row>
    <row r="5" spans="2:26" ht="18" customHeight="1" x14ac:dyDescent="0.2">
      <c r="C5" s="454" t="s">
        <v>543</v>
      </c>
      <c r="D5" s="455">
        <f>Tanga!E7</f>
        <v>8.960781241865079E-2</v>
      </c>
      <c r="E5" s="455">
        <f>Dodoma!E7</f>
        <v>0.1179894267787398</v>
      </c>
      <c r="F5" s="455">
        <f>Morogoro!E7</f>
        <v>0.1508254025055864</v>
      </c>
      <c r="G5" s="455">
        <f>Iringa!E7</f>
        <v>6.2952606827237689E-2</v>
      </c>
      <c r="H5" s="455">
        <f>Mwanza!E7</f>
        <v>0.13599680299285488</v>
      </c>
      <c r="I5" s="455">
        <f>Mbeya!E7</f>
        <v>0.19059896935753962</v>
      </c>
      <c r="J5" s="455">
        <f>Kigoma!E7</f>
        <v>1.1632780148073341E-2</v>
      </c>
      <c r="K5" s="455">
        <f>IRR(E42:X42)</f>
        <v>0.12342965734922751</v>
      </c>
      <c r="P5" s="479"/>
      <c r="Q5" s="456"/>
      <c r="R5" s="457"/>
      <c r="S5" s="457"/>
      <c r="T5" s="772"/>
    </row>
    <row r="6" spans="2:26" ht="18" customHeight="1" x14ac:dyDescent="0.2">
      <c r="C6" s="934" t="s">
        <v>373</v>
      </c>
      <c r="D6" s="939"/>
      <c r="E6" s="939"/>
      <c r="F6" s="939"/>
      <c r="G6" s="939"/>
      <c r="H6" s="939"/>
      <c r="I6" s="939"/>
      <c r="J6" s="939"/>
      <c r="K6" s="940"/>
      <c r="P6" s="479"/>
      <c r="Q6" s="456"/>
      <c r="R6" s="457"/>
      <c r="S6" s="457"/>
      <c r="T6" s="772"/>
    </row>
    <row r="7" spans="2:26" ht="18" customHeight="1" x14ac:dyDescent="0.2">
      <c r="C7" s="477" t="s">
        <v>128</v>
      </c>
      <c r="D7" s="485">
        <f>Tanga!E9</f>
        <v>-1.5051991879119675</v>
      </c>
      <c r="E7" s="485">
        <f>Dodoma!E9</f>
        <v>3.4290639916353767</v>
      </c>
      <c r="F7" s="485">
        <f>Morogoro!E9</f>
        <v>8.7986782614061791</v>
      </c>
      <c r="G7" s="485">
        <f>Iringa!E9</f>
        <v>-3.3590222031096433</v>
      </c>
      <c r="H7" s="485">
        <f>Mwanza!E9</f>
        <v>6.5520066524181608</v>
      </c>
      <c r="I7" s="485">
        <f>Mbeya!E9</f>
        <v>8.2469108035953766</v>
      </c>
      <c r="J7" s="485">
        <f>Kigoma!E9</f>
        <v>-1.2063423307723447</v>
      </c>
      <c r="K7" s="484">
        <f>SUM(D7:J7)</f>
        <v>20.95609598726114</v>
      </c>
      <c r="L7" s="773"/>
      <c r="P7" s="479"/>
      <c r="Q7" s="456"/>
      <c r="R7" s="457"/>
      <c r="S7" s="457"/>
      <c r="T7" s="772"/>
    </row>
    <row r="8" spans="2:26" ht="18" customHeight="1" x14ac:dyDescent="0.2">
      <c r="C8" s="477" t="s">
        <v>367</v>
      </c>
      <c r="D8" s="485">
        <f>Tanga!$E10</f>
        <v>17.428641327383254</v>
      </c>
      <c r="E8" s="485">
        <f>Dodoma!$E10</f>
        <v>23.741056418460374</v>
      </c>
      <c r="F8" s="485">
        <f>Morogoro!$E10</f>
        <v>18.625588267557081</v>
      </c>
      <c r="G8" s="485">
        <f>Iringa!$E10</f>
        <v>12.434472643849949</v>
      </c>
      <c r="H8" s="485">
        <f>Mwanza!$E10</f>
        <v>20.08172293167339</v>
      </c>
      <c r="I8" s="485">
        <f>Mbeya!$E10</f>
        <v>8.065809387766528</v>
      </c>
      <c r="J8" s="485">
        <f>Kigoma!$E10</f>
        <v>2.2595470885842106</v>
      </c>
      <c r="K8" s="484">
        <f t="shared" ref="K8:K9" si="0">SUM(D8:J8)</f>
        <v>102.63683806527479</v>
      </c>
      <c r="L8" s="773"/>
      <c r="P8" s="479"/>
      <c r="Q8" s="456"/>
      <c r="R8" s="457"/>
      <c r="S8" s="457"/>
      <c r="T8" s="772"/>
    </row>
    <row r="9" spans="2:26" ht="18" customHeight="1" x14ac:dyDescent="0.2">
      <c r="C9" s="477" t="s">
        <v>384</v>
      </c>
      <c r="D9" s="485">
        <f>Tanga!$E11</f>
        <v>15.923442139471286</v>
      </c>
      <c r="E9" s="485">
        <f>Dodoma!$E11</f>
        <v>27.170120410095752</v>
      </c>
      <c r="F9" s="485">
        <f>Morogoro!$E11</f>
        <v>27.424266528963258</v>
      </c>
      <c r="G9" s="485">
        <f>Iringa!$E11</f>
        <v>9.0754504407403047</v>
      </c>
      <c r="H9" s="485">
        <f>Mwanza!$E11</f>
        <v>26.633729584091551</v>
      </c>
      <c r="I9" s="485">
        <f>Mbeya!$E11</f>
        <v>16.312720191361905</v>
      </c>
      <c r="J9" s="485">
        <f>Kigoma!$E11</f>
        <v>1.053204757811866</v>
      </c>
      <c r="K9" s="484">
        <f t="shared" si="0"/>
        <v>123.59293405253592</v>
      </c>
      <c r="L9" s="773"/>
      <c r="P9" s="479"/>
      <c r="Q9" s="456"/>
      <c r="R9" s="457"/>
      <c r="S9" s="457"/>
      <c r="T9" s="772"/>
    </row>
    <row r="10" spans="2:26" x14ac:dyDescent="0.2">
      <c r="C10" s="477" t="s">
        <v>369</v>
      </c>
      <c r="D10" s="485">
        <f>Tanga!E13</f>
        <v>20.031856860710281</v>
      </c>
      <c r="E10" s="485">
        <f>Dodoma!E13</f>
        <v>41.833435428021588</v>
      </c>
      <c r="F10" s="485">
        <f>Morogoro!E13</f>
        <v>37.129341288629952</v>
      </c>
      <c r="G10" s="485">
        <f>Iringa!E13</f>
        <v>13.75560594501127</v>
      </c>
      <c r="H10" s="485">
        <f>Mwanza!E13</f>
        <v>35.539876169459788</v>
      </c>
      <c r="I10" s="485">
        <f>Mbeya!E13</f>
        <v>19.448174762820354</v>
      </c>
      <c r="J10" s="485">
        <f>Kigoma!E13</f>
        <v>1.8845479241735579</v>
      </c>
      <c r="K10" s="484">
        <f>SUM(D10:J10)</f>
        <v>169.62283837882674</v>
      </c>
    </row>
    <row r="11" spans="2:26" x14ac:dyDescent="0.2">
      <c r="C11" s="477" t="s">
        <v>368</v>
      </c>
      <c r="D11" s="296">
        <f>Tanga!E12</f>
        <v>21.537056048622251</v>
      </c>
      <c r="E11" s="485">
        <f>Dodoma!E12</f>
        <v>38.404371436386207</v>
      </c>
      <c r="F11" s="485">
        <f>Morogoro!E12</f>
        <v>28.330663027223771</v>
      </c>
      <c r="G11" s="485">
        <f>Iringa!E12</f>
        <v>17.114628148120918</v>
      </c>
      <c r="H11" s="485">
        <f>Mwanza!E12</f>
        <v>28.987869517041627</v>
      </c>
      <c r="I11" s="485">
        <f>Mbeya!E12</f>
        <v>11.201263959224979</v>
      </c>
      <c r="J11" s="485">
        <f>Kigoma!E12</f>
        <v>3.0908902549459012</v>
      </c>
      <c r="K11" s="484">
        <f>K10-K7</f>
        <v>148.66674239156561</v>
      </c>
    </row>
    <row r="12" spans="2:26" x14ac:dyDescent="0.2">
      <c r="C12" s="480" t="s">
        <v>335</v>
      </c>
      <c r="D12" s="481">
        <f t="shared" ref="D12:K12" si="1">D10/D11</f>
        <v>0.93011119140360599</v>
      </c>
      <c r="E12" s="481">
        <f t="shared" si="1"/>
        <v>1.0892883769056174</v>
      </c>
      <c r="F12" s="481">
        <f t="shared" si="1"/>
        <v>1.3105708557879945</v>
      </c>
      <c r="G12" s="481">
        <f t="shared" si="1"/>
        <v>0.80373384837587325</v>
      </c>
      <c r="H12" s="481">
        <f t="shared" si="1"/>
        <v>1.2260258087806803</v>
      </c>
      <c r="I12" s="481">
        <f t="shared" si="1"/>
        <v>1.7362482335579192</v>
      </c>
      <c r="J12" s="481">
        <f t="shared" si="1"/>
        <v>0.60971039691816642</v>
      </c>
      <c r="K12" s="486">
        <f t="shared" si="1"/>
        <v>1.1409602151102898</v>
      </c>
      <c r="Q12" s="487"/>
      <c r="R12" s="488"/>
      <c r="S12" s="488"/>
      <c r="T12" s="488"/>
      <c r="U12" s="488"/>
      <c r="V12" s="488"/>
      <c r="W12" s="488"/>
      <c r="X12" s="488"/>
      <c r="Y12" s="488"/>
      <c r="Z12" s="488"/>
    </row>
    <row r="13" spans="2:26" x14ac:dyDescent="0.2">
      <c r="C13" s="482"/>
      <c r="D13" s="483"/>
      <c r="E13" s="483"/>
      <c r="F13" s="483"/>
      <c r="G13" s="483"/>
      <c r="H13" s="483"/>
      <c r="I13" s="483"/>
      <c r="J13" s="483"/>
      <c r="K13" s="483"/>
      <c r="Q13" s="488"/>
      <c r="R13" s="489"/>
      <c r="S13" s="489"/>
      <c r="T13" s="489"/>
      <c r="U13" s="489"/>
      <c r="V13" s="489"/>
      <c r="W13" s="489"/>
      <c r="X13" s="489"/>
      <c r="Y13" s="489"/>
      <c r="Z13" s="488"/>
    </row>
    <row r="14" spans="2:26" ht="15.75" x14ac:dyDescent="0.2">
      <c r="C14" s="774" t="s">
        <v>415</v>
      </c>
      <c r="L14" s="458"/>
      <c r="M14" s="459"/>
      <c r="N14" s="460"/>
    </row>
    <row r="15" spans="2:26" ht="13.5" thickBot="1" x14ac:dyDescent="0.25"/>
    <row r="16" spans="2:26" x14ac:dyDescent="0.2">
      <c r="C16" s="775" t="s">
        <v>417</v>
      </c>
      <c r="D16" s="776">
        <v>2008</v>
      </c>
      <c r="E16" s="777">
        <v>2009</v>
      </c>
      <c r="F16" s="777">
        <v>2010</v>
      </c>
      <c r="G16" s="777">
        <v>2011</v>
      </c>
      <c r="H16" s="777">
        <v>2012</v>
      </c>
      <c r="I16" s="776">
        <v>2013</v>
      </c>
      <c r="J16" s="777">
        <v>2014</v>
      </c>
      <c r="K16" s="777">
        <v>2015</v>
      </c>
      <c r="L16" s="777">
        <v>2016</v>
      </c>
      <c r="M16" s="777">
        <v>2017</v>
      </c>
      <c r="N16" s="777">
        <v>2018</v>
      </c>
      <c r="O16" s="777">
        <v>2019</v>
      </c>
      <c r="P16" s="777">
        <v>2020</v>
      </c>
      <c r="Q16" s="777">
        <v>2021</v>
      </c>
      <c r="R16" s="777">
        <v>2022</v>
      </c>
      <c r="S16" s="777">
        <v>2023</v>
      </c>
      <c r="T16" s="777">
        <v>2024</v>
      </c>
      <c r="U16" s="777">
        <v>2025</v>
      </c>
      <c r="V16" s="777">
        <v>2026</v>
      </c>
      <c r="W16" s="777">
        <v>2027</v>
      </c>
      <c r="X16" s="778">
        <v>2028</v>
      </c>
    </row>
    <row r="17" spans="3:38" x14ac:dyDescent="0.2">
      <c r="C17" s="779"/>
      <c r="D17" s="780"/>
      <c r="E17" s="488"/>
      <c r="F17" s="488"/>
      <c r="G17" s="488"/>
      <c r="H17" s="488"/>
      <c r="I17" s="780"/>
      <c r="J17" s="488"/>
      <c r="K17" s="488"/>
      <c r="L17" s="488"/>
      <c r="M17" s="488"/>
      <c r="N17" s="488"/>
      <c r="O17" s="488"/>
      <c r="P17" s="488"/>
      <c r="Q17" s="488"/>
      <c r="R17" s="488"/>
      <c r="S17" s="488"/>
      <c r="T17" s="488"/>
      <c r="U17" s="488"/>
      <c r="V17" s="488"/>
      <c r="W17" s="488"/>
      <c r="X17" s="781"/>
    </row>
    <row r="18" spans="3:38" x14ac:dyDescent="0.2">
      <c r="C18" s="779" t="s">
        <v>416</v>
      </c>
      <c r="D18" s="780"/>
      <c r="E18" s="488"/>
      <c r="F18" s="488"/>
      <c r="G18" s="488"/>
      <c r="H18" s="488"/>
      <c r="I18" s="780"/>
      <c r="J18" s="488"/>
      <c r="K18" s="488"/>
      <c r="L18" s="488"/>
      <c r="M18" s="488"/>
      <c r="N18" s="488"/>
      <c r="O18" s="488"/>
      <c r="P18" s="488"/>
      <c r="Q18" s="488"/>
      <c r="R18" s="488"/>
      <c r="S18" s="488"/>
      <c r="T18" s="488"/>
      <c r="U18" s="488"/>
      <c r="V18" s="488"/>
      <c r="W18" s="488"/>
      <c r="X18" s="781"/>
    </row>
    <row r="19" spans="3:38" x14ac:dyDescent="0.2">
      <c r="C19" s="782" t="s">
        <v>34</v>
      </c>
      <c r="D19" s="783">
        <f>Tanga!D62</f>
        <v>0</v>
      </c>
      <c r="E19" s="784">
        <f>Tanga!E62</f>
        <v>0.43120533887006457</v>
      </c>
      <c r="F19" s="784">
        <f>Tanga!F62</f>
        <v>0.78885234697429851</v>
      </c>
      <c r="G19" s="784">
        <f>Tanga!G62</f>
        <v>7.624728970447709</v>
      </c>
      <c r="H19" s="784">
        <f>Tanga!H62</f>
        <v>7.2180343941146878</v>
      </c>
      <c r="I19" s="783">
        <f>Tanga!I62</f>
        <v>10.097282560545692</v>
      </c>
      <c r="J19" s="784">
        <f>Tanga!J62</f>
        <v>1.2877040494000302</v>
      </c>
      <c r="K19" s="784">
        <f>Tanga!K62</f>
        <v>0.61257429461005186</v>
      </c>
      <c r="L19" s="784">
        <f>Tanga!L62</f>
        <v>0.59062191174524503</v>
      </c>
      <c r="M19" s="784">
        <f>Tanga!M62</f>
        <v>0.61003377080288657</v>
      </c>
      <c r="N19" s="784">
        <f>Tanga!N62</f>
        <v>0.63008575227441632</v>
      </c>
      <c r="O19" s="784">
        <f>Tanga!O62</f>
        <v>0.65079901395339712</v>
      </c>
      <c r="P19" s="784">
        <f>Tanga!P62</f>
        <v>0.67219541409698735</v>
      </c>
      <c r="Q19" s="784">
        <f>Tanga!Q62</f>
        <v>0.69429753464227495</v>
      </c>
      <c r="R19" s="784">
        <f>Tanga!R62</f>
        <v>0.71712870519278282</v>
      </c>
      <c r="S19" s="784">
        <f>Tanga!S62</f>
        <v>0.74071302780059756</v>
      </c>
      <c r="T19" s="784">
        <f>Tanga!T62</f>
        <v>0.7650754025705534</v>
      </c>
      <c r="U19" s="784">
        <f>Tanga!U62</f>
        <v>0.7902415541138067</v>
      </c>
      <c r="V19" s="784">
        <f>Tanga!V62</f>
        <v>0.81623805887891021</v>
      </c>
      <c r="W19" s="784">
        <f>Tanga!W62</f>
        <v>0.84309237338955856</v>
      </c>
      <c r="X19" s="785">
        <f>Tanga!X62</f>
        <v>0.87083286341912558</v>
      </c>
      <c r="Y19" s="786"/>
      <c r="Z19" s="786"/>
      <c r="AA19" s="786"/>
      <c r="AB19" s="786"/>
      <c r="AC19" s="786"/>
      <c r="AD19" s="786"/>
      <c r="AE19" s="786"/>
      <c r="AF19" s="786"/>
      <c r="AG19" s="786"/>
      <c r="AH19" s="786"/>
      <c r="AI19" s="786"/>
      <c r="AJ19" s="786"/>
      <c r="AK19" s="786"/>
      <c r="AL19" s="786"/>
    </row>
    <row r="20" spans="3:38" x14ac:dyDescent="0.2">
      <c r="C20" s="782" t="s">
        <v>35</v>
      </c>
      <c r="D20" s="783">
        <f>Dodoma!D62</f>
        <v>0</v>
      </c>
      <c r="E20" s="784">
        <f>Dodoma!E62</f>
        <v>0.45138077191048409</v>
      </c>
      <c r="F20" s="784">
        <f>Dodoma!F62</f>
        <v>1.0439693440539632</v>
      </c>
      <c r="G20" s="784">
        <f>Dodoma!G62</f>
        <v>10.26222355553031</v>
      </c>
      <c r="H20" s="784">
        <f>Dodoma!H62</f>
        <v>9.8923188634573318</v>
      </c>
      <c r="I20" s="783">
        <f>Dodoma!I62</f>
        <v>14.743565723194051</v>
      </c>
      <c r="J20" s="784">
        <f>Dodoma!J62</f>
        <v>3.5175365640993665</v>
      </c>
      <c r="K20" s="784">
        <f>Dodoma!K62</f>
        <v>2.4661647144952816</v>
      </c>
      <c r="L20" s="784">
        <f>Dodoma!L62</f>
        <v>2.3987189444474324</v>
      </c>
      <c r="M20" s="784">
        <f>Dodoma!M62</f>
        <v>2.478008179694037</v>
      </c>
      <c r="N20" s="784">
        <f>Dodoma!N62</f>
        <v>2.5599225317365057</v>
      </c>
      <c r="O20" s="784">
        <f>Dodoma!O62</f>
        <v>2.6445490109226637</v>
      </c>
      <c r="P20" s="784">
        <f>Dodoma!P62</f>
        <v>2.7319775138416817</v>
      </c>
      <c r="Q20" s="784">
        <f>Dodoma!Q62</f>
        <v>2.8223009191162767</v>
      </c>
      <c r="R20" s="784">
        <f>Dodoma!R62</f>
        <v>2.9156151863754052</v>
      </c>
      <c r="S20" s="784">
        <f>Dodoma!S62</f>
        <v>3.0120194585130458</v>
      </c>
      <c r="T20" s="784">
        <f>Dodoma!T62</f>
        <v>3.1116161673421887</v>
      </c>
      <c r="U20" s="784">
        <f>Dodoma!U62</f>
        <v>3.2145111427568502</v>
      </c>
      <c r="V20" s="784">
        <f>Dodoma!V62</f>
        <v>3.3208137255185384</v>
      </c>
      <c r="W20" s="784">
        <f>Dodoma!W62</f>
        <v>3.4306368837876193</v>
      </c>
      <c r="X20" s="785">
        <f>Dodoma!X62</f>
        <v>3.5440973335238923</v>
      </c>
    </row>
    <row r="21" spans="3:38" x14ac:dyDescent="0.2">
      <c r="C21" s="782" t="s">
        <v>36</v>
      </c>
      <c r="D21" s="783">
        <f>Morogoro!D62</f>
        <v>0</v>
      </c>
      <c r="E21" s="784">
        <f>Morogoro!E62</f>
        <v>0.35412208544180646</v>
      </c>
      <c r="F21" s="784">
        <f>Morogoro!F62</f>
        <v>0.8190260291526551</v>
      </c>
      <c r="G21" s="784">
        <f>Morogoro!G62</f>
        <v>8.0510297135012152</v>
      </c>
      <c r="H21" s="784">
        <f>Morogoro!H62</f>
        <v>7.7608281162617807</v>
      </c>
      <c r="I21" s="783">
        <f>Morogoro!I62</f>
        <v>11.51036126210251</v>
      </c>
      <c r="J21" s="784">
        <f>Morogoro!J62</f>
        <v>2.3523982937866199</v>
      </c>
      <c r="K21" s="784">
        <f>Morogoro!K62</f>
        <v>1.5960627176380286</v>
      </c>
      <c r="L21" s="784">
        <f>Morogoro!L62</f>
        <v>1.5640134745089833</v>
      </c>
      <c r="M21" s="784">
        <f>Morogoro!M62</f>
        <v>1.6156807667078821</v>
      </c>
      <c r="N21" s="784">
        <f>Morogoro!N62</f>
        <v>1.6690579508886936</v>
      </c>
      <c r="O21" s="784">
        <f>Morogoro!O62</f>
        <v>1.7242016854828004</v>
      </c>
      <c r="P21" s="784">
        <f>Morogoro!P62</f>
        <v>1.7811705079718534</v>
      </c>
      <c r="Q21" s="784">
        <f>Morogoro!Q62</f>
        <v>1.8400248972432645</v>
      </c>
      <c r="R21" s="784">
        <f>Morogoro!R62</f>
        <v>1.9008273380158713</v>
      </c>
      <c r="S21" s="784">
        <f>Morogoro!S62</f>
        <v>1.963642387404406</v>
      </c>
      <c r="T21" s="784">
        <f>Morogoro!T62</f>
        <v>2.0285367436938908</v>
      </c>
      <c r="U21" s="784">
        <f>Morogoro!U62</f>
        <v>2.0955793173972577</v>
      </c>
      <c r="V21" s="784">
        <f>Morogoro!V62</f>
        <v>2.1648413046721329</v>
      </c>
      <c r="W21" s="784">
        <f>Morogoro!W62</f>
        <v>2.2363962631749743</v>
      </c>
      <c r="X21" s="785">
        <f>Morogoro!X62</f>
        <v>2.3103201904336883</v>
      </c>
    </row>
    <row r="22" spans="3:38" x14ac:dyDescent="0.2">
      <c r="C22" s="782" t="s">
        <v>37</v>
      </c>
      <c r="D22" s="783">
        <f>Iringa!D62</f>
        <v>0</v>
      </c>
      <c r="E22" s="784">
        <f>Iringa!E62</f>
        <v>0.2364124730320141</v>
      </c>
      <c r="F22" s="784">
        <f>Iringa!F62</f>
        <v>0.54678309258231506</v>
      </c>
      <c r="G22" s="784">
        <f>Iringa!G62</f>
        <v>5.3748803683012136</v>
      </c>
      <c r="H22" s="784">
        <f>Iringa!H62</f>
        <v>5.181141315862221</v>
      </c>
      <c r="I22" s="783">
        <f>Iringa!I62</f>
        <v>7.6044981432952801</v>
      </c>
      <c r="J22" s="784">
        <f>Iringa!J62</f>
        <v>1.2397011202765247</v>
      </c>
      <c r="K22" s="784">
        <f>Iringa!K62</f>
        <v>0.7376816523531059</v>
      </c>
      <c r="L22" s="784">
        <f>Iringa!L62</f>
        <v>0.71834000403488463</v>
      </c>
      <c r="M22" s="784">
        <f>Iringa!M62</f>
        <v>0.74201149609998152</v>
      </c>
      <c r="N22" s="784">
        <f>Iringa!N62</f>
        <v>0.76646501608221229</v>
      </c>
      <c r="O22" s="784">
        <f>Iringa!O62</f>
        <v>0.79172644552669136</v>
      </c>
      <c r="P22" s="784">
        <f>Iringa!P62</f>
        <v>0.81782252360169183</v>
      </c>
      <c r="Q22" s="784">
        <f>Iringa!Q62</f>
        <v>0.84478087554179659</v>
      </c>
      <c r="R22" s="784">
        <f>Iringa!R62</f>
        <v>0.87263004203493388</v>
      </c>
      <c r="S22" s="784">
        <f>Iringa!S62</f>
        <v>0.90139950958460846</v>
      </c>
      <c r="T22" s="784">
        <f>Iringa!T62</f>
        <v>0.93111974187977409</v>
      </c>
      <c r="U22" s="784">
        <f>Iringa!U62</f>
        <v>0.96182221220572217</v>
      </c>
      <c r="V22" s="784">
        <f>Iringa!V62</f>
        <v>0.99353943693056801</v>
      </c>
      <c r="W22" s="784">
        <f>Iringa!W62</f>
        <v>1.0263050101031321</v>
      </c>
      <c r="X22" s="785">
        <f>Iringa!X62</f>
        <v>1.0601536391989361</v>
      </c>
    </row>
    <row r="23" spans="3:38" x14ac:dyDescent="0.2">
      <c r="C23" s="782" t="s">
        <v>38</v>
      </c>
      <c r="D23" s="783">
        <f>Mwanza!D62</f>
        <v>0</v>
      </c>
      <c r="E23" s="784">
        <f>Mwanza!E62</f>
        <v>0.38180708720033635</v>
      </c>
      <c r="F23" s="784">
        <f>Mwanza!F62</f>
        <v>0.88305687611065786</v>
      </c>
      <c r="G23" s="784">
        <f>Mwanza!G62</f>
        <v>8.6804532398485605</v>
      </c>
      <c r="H23" s="784">
        <f>Mwanza!H62</f>
        <v>8.367563897167102</v>
      </c>
      <c r="I23" s="783">
        <f>Mwanza!I62</f>
        <v>12.289216789183051</v>
      </c>
      <c r="J23" s="784">
        <f>Mwanza!J62</f>
        <v>2.2980483528000959</v>
      </c>
      <c r="K23" s="784">
        <f>Mwanza!K62</f>
        <v>1.4476494187663951</v>
      </c>
      <c r="L23" s="784">
        <f>Mwanza!L62</f>
        <v>1.404096220774163</v>
      </c>
      <c r="M23" s="784">
        <f>Mwanza!M62</f>
        <v>1.4504278310421559</v>
      </c>
      <c r="N23" s="784">
        <f>Mwanza!N62</f>
        <v>1.4982915310549463</v>
      </c>
      <c r="O23" s="784">
        <f>Mwanza!O62</f>
        <v>1.5477380594324681</v>
      </c>
      <c r="P23" s="784">
        <f>Mwanza!P62</f>
        <v>1.5988198368663877</v>
      </c>
      <c r="Q23" s="784">
        <f>Mwanza!Q62</f>
        <v>1.6515910219239756</v>
      </c>
      <c r="R23" s="784">
        <f>Mwanza!R62</f>
        <v>1.7061075687042258</v>
      </c>
      <c r="S23" s="784">
        <f>Mwanza!S62</f>
        <v>1.7624272864077895</v>
      </c>
      <c r="T23" s="784">
        <f>Mwanza!T62</f>
        <v>1.820609900884141</v>
      </c>
      <c r="U23" s="784">
        <f>Mwanza!U62</f>
        <v>1.880717118221763</v>
      </c>
      <c r="V23" s="784">
        <f>Mwanza!V62</f>
        <v>1.9428126904491321</v>
      </c>
      <c r="W23" s="784">
        <f>Mwanza!W62</f>
        <v>2.0069624834165691</v>
      </c>
      <c r="X23" s="785">
        <f>Mwanza!X62</f>
        <v>2.0732345469313755</v>
      </c>
    </row>
    <row r="24" spans="3:38" x14ac:dyDescent="0.2">
      <c r="C24" s="782" t="s">
        <v>39</v>
      </c>
      <c r="D24" s="783">
        <f>Mbeya!D62</f>
        <v>0</v>
      </c>
      <c r="E24" s="784">
        <f>Mbeya!E62</f>
        <v>0.15335253846168104</v>
      </c>
      <c r="F24" s="784">
        <f>Mbeya!F62</f>
        <v>0.35467915106184622</v>
      </c>
      <c r="G24" s="784">
        <f>Mbeya!G62</f>
        <v>3.486497720850918</v>
      </c>
      <c r="H24" s="784">
        <f>Mbeya!H62</f>
        <v>3.3608259442748274</v>
      </c>
      <c r="I24" s="783">
        <f>Mbeya!I62</f>
        <v>5.2471835408240173</v>
      </c>
      <c r="J24" s="784">
        <f>Mbeya!J62</f>
        <v>0.79099062996997627</v>
      </c>
      <c r="K24" s="784">
        <f>Mbeya!K62</f>
        <v>0.4612954931775865</v>
      </c>
      <c r="L24" s="784">
        <f>Mbeya!L62</f>
        <v>0.44780745780075681</v>
      </c>
      <c r="M24" s="784">
        <f>Mbeya!M62</f>
        <v>0.46247869567164346</v>
      </c>
      <c r="N24" s="784">
        <f>Mbeya!N62</f>
        <v>0.47763264248608234</v>
      </c>
      <c r="O24" s="784">
        <f>Mbeya!O62</f>
        <v>0.4932852278875805</v>
      </c>
      <c r="P24" s="784">
        <f>Mbeya!P62</f>
        <v>0.50945290831387957</v>
      </c>
      <c r="Q24" s="784">
        <f>Mbeya!Q62</f>
        <v>0.52615268444373375</v>
      </c>
      <c r="R24" s="784">
        <f>Mbeya!R62</f>
        <v>0.54340211922206605</v>
      </c>
      <c r="S24" s="784">
        <f>Mbeya!S62</f>
        <v>0.56121935648279064</v>
      </c>
      <c r="T24" s="784">
        <f>Mbeya!T62</f>
        <v>0.57962314018899319</v>
      </c>
      <c r="U24" s="784">
        <f>Mbeya!U62</f>
        <v>0.59863283431102488</v>
      </c>
      <c r="V24" s="784">
        <f>Mbeya!V62</f>
        <v>0.61826844336371656</v>
      </c>
      <c r="W24" s="784">
        <f>Mbeya!W62</f>
        <v>0.63855063362452047</v>
      </c>
      <c r="X24" s="785">
        <f>Mbeya!X62</f>
        <v>0.65950075505509531</v>
      </c>
    </row>
    <row r="25" spans="3:38" x14ac:dyDescent="0.2">
      <c r="C25" s="782" t="s">
        <v>111</v>
      </c>
      <c r="D25" s="783">
        <f>Kigoma!D62</f>
        <v>0</v>
      </c>
      <c r="E25" s="784">
        <f>Kigoma!E62</f>
        <v>1.7246602772029364E-2</v>
      </c>
      <c r="F25" s="784">
        <f>Kigoma!F62</f>
        <v>9.97226999881351E-2</v>
      </c>
      <c r="G25" s="784">
        <f>Kigoma!G62</f>
        <v>0.98361322794124939</v>
      </c>
      <c r="H25" s="784">
        <f>Kigoma!H62</f>
        <v>0.95155298818191447</v>
      </c>
      <c r="I25" s="783">
        <f>Kigoma!I62</f>
        <v>1.3658753395377394</v>
      </c>
      <c r="J25" s="784">
        <f>Kigoma!J62</f>
        <v>0.26001882622282413</v>
      </c>
      <c r="K25" s="784">
        <f>Kigoma!K62</f>
        <v>0.13882090282616341</v>
      </c>
      <c r="L25" s="784">
        <f>Kigoma!L62</f>
        <v>0.12582942654747439</v>
      </c>
      <c r="M25" s="784">
        <f>Kigoma!M62</f>
        <v>0.12996982007098887</v>
      </c>
      <c r="N25" s="784">
        <f>Kigoma!N62</f>
        <v>0.13424685774991463</v>
      </c>
      <c r="O25" s="784">
        <f>Kigoma!O62</f>
        <v>0.13866505862374409</v>
      </c>
      <c r="P25" s="784">
        <f>Kigoma!P62</f>
        <v>0.14322909140179957</v>
      </c>
      <c r="Q25" s="784">
        <f>Kigoma!Q62</f>
        <v>0.14794377942530945</v>
      </c>
      <c r="R25" s="784">
        <f>Kigoma!R62</f>
        <v>0.15281410579411384</v>
      </c>
      <c r="S25" s="784">
        <f>Kigoma!S62</f>
        <v>0.15784521866345907</v>
      </c>
      <c r="T25" s="784">
        <f>Kigoma!T62</f>
        <v>0.16304243671653032</v>
      </c>
      <c r="U25" s="784">
        <f>Kigoma!U62</f>
        <v>0.16841125481855337</v>
      </c>
      <c r="V25" s="784">
        <f>Kigoma!V62</f>
        <v>0.17395734985849515</v>
      </c>
      <c r="W25" s="784">
        <f>Kigoma!W62</f>
        <v>0.17968658678458743</v>
      </c>
      <c r="X25" s="785">
        <f>Kigoma!X62</f>
        <v>0.18560502484011077</v>
      </c>
    </row>
    <row r="26" spans="3:38" x14ac:dyDescent="0.2">
      <c r="C26" s="787"/>
      <c r="D26" s="783"/>
      <c r="E26" s="784"/>
      <c r="F26" s="784"/>
      <c r="G26" s="784"/>
      <c r="H26" s="784"/>
      <c r="I26" s="783"/>
      <c r="J26" s="784"/>
      <c r="K26" s="784"/>
      <c r="L26" s="784"/>
      <c r="M26" s="784"/>
      <c r="N26" s="784"/>
      <c r="O26" s="784"/>
      <c r="P26" s="784"/>
      <c r="Q26" s="784"/>
      <c r="R26" s="784"/>
      <c r="S26" s="784"/>
      <c r="T26" s="784"/>
      <c r="U26" s="784"/>
      <c r="V26" s="784"/>
      <c r="W26" s="784"/>
      <c r="X26" s="785"/>
    </row>
    <row r="27" spans="3:38" x14ac:dyDescent="0.2">
      <c r="C27" s="787" t="s">
        <v>11</v>
      </c>
      <c r="D27" s="783">
        <f>SUM(D19:D25)</f>
        <v>0</v>
      </c>
      <c r="E27" s="784">
        <f t="shared" ref="E27:X27" si="2">SUM(E19:E25)</f>
        <v>2.0255268976884158</v>
      </c>
      <c r="F27" s="784">
        <f t="shared" si="2"/>
        <v>4.5360895399238714</v>
      </c>
      <c r="G27" s="784">
        <f t="shared" si="2"/>
        <v>44.463426796421174</v>
      </c>
      <c r="H27" s="784">
        <f t="shared" si="2"/>
        <v>42.732265519319867</v>
      </c>
      <c r="I27" s="783">
        <f t="shared" si="2"/>
        <v>62.85798335868234</v>
      </c>
      <c r="J27" s="784">
        <f t="shared" si="2"/>
        <v>11.746397836555436</v>
      </c>
      <c r="K27" s="784">
        <f t="shared" si="2"/>
        <v>7.4602491938666127</v>
      </c>
      <c r="L27" s="784">
        <f t="shared" si="2"/>
        <v>7.2494274398589393</v>
      </c>
      <c r="M27" s="784">
        <f t="shared" si="2"/>
        <v>7.4886105600895752</v>
      </c>
      <c r="N27" s="784">
        <f t="shared" si="2"/>
        <v>7.7357022822727703</v>
      </c>
      <c r="O27" s="784">
        <f t="shared" si="2"/>
        <v>7.9909645018293451</v>
      </c>
      <c r="P27" s="784">
        <f t="shared" si="2"/>
        <v>8.2546677960942816</v>
      </c>
      <c r="Q27" s="784">
        <f t="shared" si="2"/>
        <v>8.527091712336631</v>
      </c>
      <c r="R27" s="784">
        <f t="shared" si="2"/>
        <v>8.8085250653393974</v>
      </c>
      <c r="S27" s="784">
        <f t="shared" si="2"/>
        <v>9.0992662448566968</v>
      </c>
      <c r="T27" s="784">
        <f t="shared" si="2"/>
        <v>9.3996235332760723</v>
      </c>
      <c r="U27" s="784">
        <f t="shared" si="2"/>
        <v>9.7099154338249765</v>
      </c>
      <c r="V27" s="784">
        <f t="shared" si="2"/>
        <v>10.030471009671494</v>
      </c>
      <c r="W27" s="784">
        <f t="shared" si="2"/>
        <v>10.361630234280961</v>
      </c>
      <c r="X27" s="785">
        <f t="shared" si="2"/>
        <v>10.703744353402225</v>
      </c>
    </row>
    <row r="28" spans="3:38" x14ac:dyDescent="0.2">
      <c r="C28" s="787"/>
      <c r="D28" s="783"/>
      <c r="E28" s="784"/>
      <c r="F28" s="784"/>
      <c r="G28" s="784"/>
      <c r="H28" s="784"/>
      <c r="I28" s="783"/>
      <c r="J28" s="784"/>
      <c r="K28" s="784"/>
      <c r="L28" s="784"/>
      <c r="M28" s="784"/>
      <c r="N28" s="784"/>
      <c r="O28" s="784"/>
      <c r="P28" s="784"/>
      <c r="Q28" s="784"/>
      <c r="R28" s="784"/>
      <c r="S28" s="784"/>
      <c r="T28" s="784"/>
      <c r="U28" s="784"/>
      <c r="V28" s="784"/>
      <c r="W28" s="784"/>
      <c r="X28" s="785"/>
    </row>
    <row r="29" spans="3:38" x14ac:dyDescent="0.2">
      <c r="C29" s="787"/>
      <c r="D29" s="783"/>
      <c r="E29" s="784"/>
      <c r="F29" s="784"/>
      <c r="G29" s="784"/>
      <c r="H29" s="784"/>
      <c r="I29" s="783"/>
      <c r="J29" s="784"/>
      <c r="K29" s="784"/>
      <c r="L29" s="784"/>
      <c r="M29" s="784"/>
      <c r="N29" s="784"/>
      <c r="O29" s="784"/>
      <c r="P29" s="784"/>
      <c r="Q29" s="784"/>
      <c r="R29" s="784"/>
      <c r="S29" s="784"/>
      <c r="T29" s="784"/>
      <c r="U29" s="784"/>
      <c r="V29" s="784"/>
      <c r="W29" s="784"/>
      <c r="X29" s="785"/>
    </row>
    <row r="30" spans="3:38" x14ac:dyDescent="0.2">
      <c r="C30" s="779" t="s">
        <v>414</v>
      </c>
      <c r="D30" s="783"/>
      <c r="E30" s="784"/>
      <c r="F30" s="784"/>
      <c r="G30" s="784"/>
      <c r="H30" s="784"/>
      <c r="I30" s="783"/>
      <c r="J30" s="784"/>
      <c r="K30" s="784"/>
      <c r="L30" s="784"/>
      <c r="M30" s="784"/>
      <c r="N30" s="784"/>
      <c r="O30" s="784"/>
      <c r="P30" s="784"/>
      <c r="Q30" s="784"/>
      <c r="R30" s="784"/>
      <c r="S30" s="784"/>
      <c r="T30" s="784"/>
      <c r="U30" s="784"/>
      <c r="V30" s="784"/>
      <c r="W30" s="784"/>
      <c r="X30" s="785"/>
    </row>
    <row r="31" spans="3:38" x14ac:dyDescent="0.2">
      <c r="C31" s="787"/>
      <c r="D31" s="783"/>
      <c r="E31" s="784"/>
      <c r="F31" s="784"/>
      <c r="G31" s="784"/>
      <c r="H31" s="784"/>
      <c r="I31" s="783"/>
      <c r="J31" s="784"/>
      <c r="K31" s="784"/>
      <c r="L31" s="784"/>
      <c r="M31" s="784"/>
      <c r="N31" s="784"/>
      <c r="O31" s="784"/>
      <c r="P31" s="784"/>
      <c r="Q31" s="784"/>
      <c r="R31" s="784"/>
      <c r="S31" s="784"/>
      <c r="T31" s="784"/>
      <c r="U31" s="784"/>
      <c r="V31" s="784"/>
      <c r="W31" s="784"/>
      <c r="X31" s="785"/>
    </row>
    <row r="32" spans="3:38" x14ac:dyDescent="0.2">
      <c r="C32" s="782" t="s">
        <v>34</v>
      </c>
      <c r="D32" s="783">
        <f>Tanga!D146</f>
        <v>0</v>
      </c>
      <c r="E32" s="784">
        <f>Tanga!E146</f>
        <v>0</v>
      </c>
      <c r="F32" s="784">
        <f>Tanga!F146</f>
        <v>0</v>
      </c>
      <c r="G32" s="784">
        <f>Tanga!G146</f>
        <v>0</v>
      </c>
      <c r="H32" s="784">
        <f>Tanga!H146</f>
        <v>0</v>
      </c>
      <c r="I32" s="783">
        <f>Tanga!I146</f>
        <v>0.94284041608805891</v>
      </c>
      <c r="J32" s="784">
        <f>Tanga!J146</f>
        <v>1.9606384668338397</v>
      </c>
      <c r="K32" s="784">
        <f>Tanga!K146</f>
        <v>2.4743268397486871</v>
      </c>
      <c r="L32" s="784">
        <f>Tanga!L146</f>
        <v>2.8440295796681005</v>
      </c>
      <c r="M32" s="784">
        <f>Tanga!M146</f>
        <v>3.2186160182571255</v>
      </c>
      <c r="N32" s="784">
        <f>Tanga!N146</f>
        <v>3.5981744255887773</v>
      </c>
      <c r="O32" s="784">
        <f>Tanga!O146</f>
        <v>3.9827952647982561</v>
      </c>
      <c r="P32" s="784">
        <f>Tanga!P146</f>
        <v>4.3725712575568849</v>
      </c>
      <c r="Q32" s="784">
        <f>Tanga!Q146</f>
        <v>4.7675974516477186</v>
      </c>
      <c r="R32" s="784">
        <f>Tanga!R146</f>
        <v>5.1679712907119626</v>
      </c>
      <c r="S32" s="784">
        <f>Tanga!S146</f>
        <v>5.5737926862375158</v>
      </c>
      <c r="T32" s="784">
        <f>Tanga!T146</f>
        <v>5.9851640918634788</v>
      </c>
      <c r="U32" s="784">
        <f>Tanga!U146</f>
        <v>6.4021905800767627</v>
      </c>
      <c r="V32" s="784">
        <f>Tanga!V146</f>
        <v>6.8249799213795272</v>
      </c>
      <c r="W32" s="784">
        <f>Tanga!W146</f>
        <v>7.2536426660087949</v>
      </c>
      <c r="X32" s="785">
        <f>Tanga!X146</f>
        <v>7.6882922282922612</v>
      </c>
    </row>
    <row r="33" spans="2:24" x14ac:dyDescent="0.2">
      <c r="C33" s="782" t="s">
        <v>35</v>
      </c>
      <c r="D33" s="783">
        <f>Dodoma!D145</f>
        <v>0</v>
      </c>
      <c r="E33" s="784">
        <f>Dodoma!E145</f>
        <v>0</v>
      </c>
      <c r="F33" s="784">
        <f>Dodoma!F145</f>
        <v>0</v>
      </c>
      <c r="G33" s="784">
        <f>Dodoma!G145</f>
        <v>0</v>
      </c>
      <c r="H33" s="784">
        <f>Dodoma!H145</f>
        <v>0</v>
      </c>
      <c r="I33" s="783">
        <f>Dodoma!I145</f>
        <v>2.7665833991759889</v>
      </c>
      <c r="J33" s="784">
        <f>Dodoma!J145</f>
        <v>5.8302086359140137</v>
      </c>
      <c r="K33" s="784">
        <f>Dodoma!K145</f>
        <v>6.8103486400221698</v>
      </c>
      <c r="L33" s="784">
        <f>Dodoma!L145</f>
        <v>7.1872807459843031</v>
      </c>
      <c r="M33" s="784">
        <f>Dodoma!M145</f>
        <v>7.5728603130658989</v>
      </c>
      <c r="N33" s="784">
        <f>Dodoma!N145</f>
        <v>7.9673359164723463</v>
      </c>
      <c r="O33" s="784">
        <f>Dodoma!O145</f>
        <v>8.3709640037638167</v>
      </c>
      <c r="P33" s="784">
        <f>Dodoma!P145</f>
        <v>8.7840091525756581</v>
      </c>
      <c r="Q33" s="784">
        <f>Dodoma!Q145</f>
        <v>9.2067443368639825</v>
      </c>
      <c r="R33" s="784">
        <f>Dodoma!R145</f>
        <v>9.639451201959492</v>
      </c>
      <c r="S33" s="784">
        <f>Dodoma!S145</f>
        <v>10.082420348721733</v>
      </c>
      <c r="T33" s="784">
        <f>Dodoma!T145</f>
        <v>10.535951627095901</v>
      </c>
      <c r="U33" s="784">
        <f>Dodoma!U145</f>
        <v>11.000354439384104</v>
      </c>
      <c r="V33" s="784">
        <f>Dodoma!V145</f>
        <v>11.47594805355364</v>
      </c>
      <c r="W33" s="784">
        <f>Dodoma!W145</f>
        <v>11.963061926915314</v>
      </c>
      <c r="X33" s="785">
        <f>Dodoma!X145</f>
        <v>12.462036040516029</v>
      </c>
    </row>
    <row r="34" spans="2:24" x14ac:dyDescent="0.2">
      <c r="C34" s="782" t="s">
        <v>36</v>
      </c>
      <c r="D34" s="783">
        <f>Morogoro!D146</f>
        <v>0</v>
      </c>
      <c r="E34" s="784">
        <f>Morogoro!E146</f>
        <v>0</v>
      </c>
      <c r="F34" s="784">
        <f>Morogoro!F146</f>
        <v>0</v>
      </c>
      <c r="G34" s="784">
        <f>Morogoro!G146</f>
        <v>0</v>
      </c>
      <c r="H34" s="784">
        <f>Morogoro!H146</f>
        <v>0</v>
      </c>
      <c r="I34" s="783">
        <f>Morogoro!I146</f>
        <v>2.0598975687750301</v>
      </c>
      <c r="J34" s="784">
        <f>Morogoro!J146</f>
        <v>4.3137492928658698</v>
      </c>
      <c r="K34" s="784">
        <f>Morogoro!K146</f>
        <v>5.2296103670492107</v>
      </c>
      <c r="L34" s="784">
        <f>Morogoro!L146</f>
        <v>5.760131894779879</v>
      </c>
      <c r="M34" s="784">
        <f>Morogoro!M146</f>
        <v>6.2990979331783752</v>
      </c>
      <c r="N34" s="784">
        <f>Morogoro!N146</f>
        <v>6.8466972461372029</v>
      </c>
      <c r="O34" s="784">
        <f>Morogoro!O146</f>
        <v>7.4031239517010476</v>
      </c>
      <c r="P34" s="784">
        <f>Morogoro!P146</f>
        <v>7.9685776908005241</v>
      </c>
      <c r="Q34" s="784">
        <f>Morogoro!Q146</f>
        <v>8.5432638015011264</v>
      </c>
      <c r="R34" s="784">
        <f>Morogoro!R146</f>
        <v>9.1273934989496599</v>
      </c>
      <c r="S34" s="784">
        <f>Morogoro!S146</f>
        <v>9.7211840612066514</v>
      </c>
      <c r="T34" s="784">
        <f>Morogoro!T146</f>
        <v>10.324859021159318</v>
      </c>
      <c r="U34" s="784">
        <f>Morogoro!U146</f>
        <v>10.93864836471619</v>
      </c>
      <c r="V34" s="784">
        <f>Morogoro!V146</f>
        <v>11.562788735491299</v>
      </c>
      <c r="W34" s="784">
        <f>Morogoro!W146</f>
        <v>12.197523646192421</v>
      </c>
      <c r="X34" s="785">
        <f>Morogoro!X146</f>
        <v>12.843103696935348</v>
      </c>
    </row>
    <row r="35" spans="2:24" x14ac:dyDescent="0.2">
      <c r="C35" s="782" t="s">
        <v>37</v>
      </c>
      <c r="D35" s="783">
        <f>Iringa!D146</f>
        <v>0</v>
      </c>
      <c r="E35" s="784">
        <f>Iringa!E146</f>
        <v>0</v>
      </c>
      <c r="F35" s="784">
        <f>Iringa!F146</f>
        <v>0</v>
      </c>
      <c r="G35" s="784">
        <f>Iringa!G146</f>
        <v>0</v>
      </c>
      <c r="H35" s="784">
        <f>Iringa!H146</f>
        <v>0</v>
      </c>
      <c r="I35" s="783">
        <f>Iringa!I146</f>
        <v>0.84522937195152636</v>
      </c>
      <c r="J35" s="784">
        <f>Iringa!J146</f>
        <v>1.7767739512779051</v>
      </c>
      <c r="K35" s="784">
        <f>Iringa!K146</f>
        <v>2.1065488891533599</v>
      </c>
      <c r="L35" s="784">
        <f>Iringa!L146</f>
        <v>2.2624317398146876</v>
      </c>
      <c r="M35" s="784">
        <f>Iringa!M146</f>
        <v>2.4212834413797388</v>
      </c>
      <c r="N35" s="784">
        <f>Iringa!N146</f>
        <v>2.5831805374018066</v>
      </c>
      <c r="O35" s="784">
        <f>Iringa!O146</f>
        <v>2.7482018938628374</v>
      </c>
      <c r="P35" s="784">
        <f>Iringa!P146</f>
        <v>2.9164287741366013</v>
      </c>
      <c r="Q35" s="784">
        <f>Iringa!Q146</f>
        <v>3.0879449164207693</v>
      </c>
      <c r="R35" s="784">
        <f>Iringa!R146</f>
        <v>3.2628366137197355</v>
      </c>
      <c r="S35" s="784">
        <f>Iringa!S146</f>
        <v>3.4411927964627083</v>
      </c>
      <c r="T35" s="784">
        <f>Iringa!T146</f>
        <v>3.6231051178444216</v>
      </c>
      <c r="U35" s="784">
        <f>Iringa!U146</f>
        <v>3.8086680419787022</v>
      </c>
      <c r="V35" s="784">
        <f>Iringa!V146</f>
        <v>3.9979789349581489</v>
      </c>
      <c r="W35" s="784">
        <f>Iringa!W146</f>
        <v>4.191138158916246</v>
      </c>
      <c r="X35" s="785">
        <f>Iringa!X146</f>
        <v>4.3882491691914671</v>
      </c>
    </row>
    <row r="36" spans="2:24" x14ac:dyDescent="0.2">
      <c r="C36" s="782" t="s">
        <v>38</v>
      </c>
      <c r="D36" s="783">
        <f>Mwanza!D146</f>
        <v>0</v>
      </c>
      <c r="E36" s="784">
        <f>Mwanza!E146</f>
        <v>0</v>
      </c>
      <c r="F36" s="784">
        <f>Mwanza!F146</f>
        <v>0</v>
      </c>
      <c r="G36" s="784">
        <f>Mwanza!G146</f>
        <v>0</v>
      </c>
      <c r="H36" s="784">
        <f>Mwanza!H146</f>
        <v>0</v>
      </c>
      <c r="I36" s="783">
        <f>Mwanza!I146</f>
        <v>1.9211985671200842</v>
      </c>
      <c r="J36" s="784">
        <f>Mwanza!J146</f>
        <v>4.0191493654257622</v>
      </c>
      <c r="K36" s="784">
        <f>Mwanza!K146</f>
        <v>4.9016695483946924</v>
      </c>
      <c r="L36" s="784">
        <f>Mwanza!L146</f>
        <v>5.4345062536560551</v>
      </c>
      <c r="M36" s="784">
        <f>Mwanza!M146</f>
        <v>5.9755242281309311</v>
      </c>
      <c r="N36" s="784">
        <f>Mwanza!N146</f>
        <v>6.5249000864502715</v>
      </c>
      <c r="O36" s="784">
        <f>Mwanza!O146</f>
        <v>7.0828153596597438</v>
      </c>
      <c r="P36" s="784">
        <f>Mwanza!P146</f>
        <v>7.6494566490673384</v>
      </c>
      <c r="Q36" s="784">
        <f>Mwanza!Q146</f>
        <v>8.2250157851080008</v>
      </c>
      <c r="R36" s="784">
        <f>Mwanza!R146</f>
        <v>8.8096899913912168</v>
      </c>
      <c r="S36" s="784">
        <f>Mwanza!S146</f>
        <v>9.4036820541026671</v>
      </c>
      <c r="T36" s="784">
        <f>Mwanza!T146</f>
        <v>10.007200496936996</v>
      </c>
      <c r="U36" s="784">
        <f>Mwanza!U146</f>
        <v>10.62045976174447</v>
      </c>
      <c r="V36" s="784">
        <f>Mwanza!V146</f>
        <v>11.243680395080439</v>
      </c>
      <c r="W36" s="784">
        <f>Mwanza!W146</f>
        <v>11.877089240852692</v>
      </c>
      <c r="X36" s="785">
        <f>Mwanza!X146</f>
        <v>12.520919639268399</v>
      </c>
    </row>
    <row r="37" spans="2:24" x14ac:dyDescent="0.2">
      <c r="C37" s="782" t="s">
        <v>39</v>
      </c>
      <c r="D37" s="783">
        <f>Mbeya!D146</f>
        <v>0</v>
      </c>
      <c r="E37" s="784">
        <f>Mbeya!E146</f>
        <v>0</v>
      </c>
      <c r="F37" s="784">
        <f>Mbeya!F146</f>
        <v>0</v>
      </c>
      <c r="G37" s="784">
        <f>Mbeya!G146</f>
        <v>0</v>
      </c>
      <c r="H37" s="784">
        <f>Mbeya!H146</f>
        <v>0</v>
      </c>
      <c r="I37" s="783">
        <f>Mbeya!I146</f>
        <v>0.82454363614148518</v>
      </c>
      <c r="J37" s="784">
        <f>Mbeya!J146</f>
        <v>1.7058613875248185</v>
      </c>
      <c r="K37" s="784">
        <f>Mbeya!K146</f>
        <v>2.2151286860322412</v>
      </c>
      <c r="L37" s="784">
        <f>Mbeya!L146</f>
        <v>2.6190536856335593</v>
      </c>
      <c r="M37" s="784">
        <f>Mbeya!M146</f>
        <v>3.027896742880273</v>
      </c>
      <c r="N37" s="784">
        <f>Mbeya!N146</f>
        <v>3.4417362411270274</v>
      </c>
      <c r="O37" s="784">
        <f>Mbeya!O146</f>
        <v>3.8606523179703327</v>
      </c>
      <c r="P37" s="784">
        <f>Mbeya!P146</f>
        <v>4.2847269150376421</v>
      </c>
      <c r="Q37" s="784">
        <f>Mbeya!Q146</f>
        <v>4.7140438293459148</v>
      </c>
      <c r="R37" s="784">
        <f>Mbeya!R146</f>
        <v>5.148688766280868</v>
      </c>
      <c r="S37" s="784">
        <f>Mbeya!S146</f>
        <v>5.5887493942500219</v>
      </c>
      <c r="T37" s="784">
        <f>Mbeya!T146</f>
        <v>6.0343154010642506</v>
      </c>
      <c r="U37" s="784">
        <f>Mbeya!U146</f>
        <v>6.4854785521043459</v>
      </c>
      <c r="V37" s="784">
        <f>Mbeya!V146</f>
        <v>6.9423327503311363</v>
      </c>
      <c r="W37" s="784">
        <f>Mbeya!W146</f>
        <v>7.4049740981994052</v>
      </c>
      <c r="X37" s="785">
        <f>Mbeya!X146</f>
        <v>7.8735009615380855</v>
      </c>
    </row>
    <row r="38" spans="2:24" x14ac:dyDescent="0.2">
      <c r="C38" s="782" t="s">
        <v>111</v>
      </c>
      <c r="D38" s="783">
        <f>Kigoma!D146</f>
        <v>0</v>
      </c>
      <c r="E38" s="784">
        <f>Kigoma!E146</f>
        <v>0</v>
      </c>
      <c r="F38" s="784">
        <f>Kigoma!F146</f>
        <v>0</v>
      </c>
      <c r="G38" s="784">
        <f>Kigoma!G146</f>
        <v>0</v>
      </c>
      <c r="H38" s="784">
        <f>Kigoma!H146</f>
        <v>0</v>
      </c>
      <c r="I38" s="783">
        <f>Kigoma!I146</f>
        <v>0.13666540251007828</v>
      </c>
      <c r="J38" s="784">
        <f>Kigoma!J146</f>
        <v>0.28883207829986218</v>
      </c>
      <c r="K38" s="784">
        <f>Kigoma!K146</f>
        <v>0.33158885362418511</v>
      </c>
      <c r="L38" s="784">
        <f>Kigoma!L146</f>
        <v>0.34260755123011677</v>
      </c>
      <c r="M38" s="784">
        <f>Kigoma!M146</f>
        <v>0.3539924001574935</v>
      </c>
      <c r="N38" s="784">
        <f>Kigoma!N146</f>
        <v>0.365755567614727</v>
      </c>
      <c r="O38" s="784">
        <f>Kigoma!O146</f>
        <v>0.37790962512656417</v>
      </c>
      <c r="P38" s="784">
        <f>Kigoma!P146</f>
        <v>0.39046756196951993</v>
      </c>
      <c r="Q38" s="784">
        <f>Kigoma!Q146</f>
        <v>0.40344279905376718</v>
      </c>
      <c r="R38" s="784">
        <f>Kigoma!R146</f>
        <v>0.4168492032663238</v>
      </c>
      <c r="S38" s="784">
        <f>Kigoma!S146</f>
        <v>0.4307011022908635</v>
      </c>
      <c r="T38" s="784">
        <f>Kigoma!T146</f>
        <v>0.445013299919989</v>
      </c>
      <c r="U38" s="784">
        <f>Kigoma!U146</f>
        <v>0.45980109187633023</v>
      </c>
      <c r="V38" s="784">
        <f>Kigoma!V146</f>
        <v>0.4750802821593807</v>
      </c>
      <c r="W38" s="784">
        <f>Kigoma!W146</f>
        <v>0.49086719993553662</v>
      </c>
      <c r="X38" s="785">
        <f>Kigoma!X146</f>
        <v>0.50717871698939465</v>
      </c>
    </row>
    <row r="39" spans="2:24" x14ac:dyDescent="0.2">
      <c r="C39" s="787"/>
      <c r="D39" s="783"/>
      <c r="E39" s="784"/>
      <c r="F39" s="784"/>
      <c r="G39" s="784"/>
      <c r="H39" s="784"/>
      <c r="I39" s="783"/>
      <c r="J39" s="784"/>
      <c r="K39" s="784"/>
      <c r="L39" s="784"/>
      <c r="M39" s="784"/>
      <c r="N39" s="784"/>
      <c r="O39" s="784"/>
      <c r="P39" s="784"/>
      <c r="Q39" s="784"/>
      <c r="R39" s="784"/>
      <c r="S39" s="784"/>
      <c r="T39" s="784"/>
      <c r="U39" s="784"/>
      <c r="V39" s="784"/>
      <c r="W39" s="784"/>
      <c r="X39" s="785"/>
    </row>
    <row r="40" spans="2:24" x14ac:dyDescent="0.2">
      <c r="C40" s="787" t="s">
        <v>90</v>
      </c>
      <c r="D40" s="783">
        <f>SUM(D32:D38)</f>
        <v>0</v>
      </c>
      <c r="E40" s="784">
        <f t="shared" ref="E40:X40" si="3">SUM(E32:E38)</f>
        <v>0</v>
      </c>
      <c r="F40" s="784">
        <f t="shared" si="3"/>
        <v>0</v>
      </c>
      <c r="G40" s="784">
        <f t="shared" si="3"/>
        <v>0</v>
      </c>
      <c r="H40" s="784">
        <f t="shared" si="3"/>
        <v>0</v>
      </c>
      <c r="I40" s="783">
        <f t="shared" si="3"/>
        <v>9.4969583617622497</v>
      </c>
      <c r="J40" s="784">
        <f t="shared" si="3"/>
        <v>19.895213178142072</v>
      </c>
      <c r="K40" s="784">
        <f t="shared" si="3"/>
        <v>24.069221824024549</v>
      </c>
      <c r="L40" s="784">
        <f t="shared" si="3"/>
        <v>26.450041450766705</v>
      </c>
      <c r="M40" s="784">
        <f t="shared" si="3"/>
        <v>28.869271077049838</v>
      </c>
      <c r="N40" s="784">
        <f t="shared" si="3"/>
        <v>31.327780020792158</v>
      </c>
      <c r="O40" s="784">
        <f t="shared" si="3"/>
        <v>33.826462416882599</v>
      </c>
      <c r="P40" s="784">
        <f t="shared" si="3"/>
        <v>36.366238001144175</v>
      </c>
      <c r="Q40" s="784">
        <f t="shared" si="3"/>
        <v>38.948052919941276</v>
      </c>
      <c r="R40" s="784">
        <f t="shared" si="3"/>
        <v>41.57288056627926</v>
      </c>
      <c r="S40" s="784">
        <f t="shared" si="3"/>
        <v>44.24172244327216</v>
      </c>
      <c r="T40" s="784">
        <f t="shared" si="3"/>
        <v>46.955609055884352</v>
      </c>
      <c r="U40" s="784">
        <f t="shared" si="3"/>
        <v>49.715600831880906</v>
      </c>
      <c r="V40" s="784">
        <f t="shared" si="3"/>
        <v>52.522789072953572</v>
      </c>
      <c r="W40" s="784">
        <f t="shared" si="3"/>
        <v>55.378296937020409</v>
      </c>
      <c r="X40" s="785">
        <f t="shared" si="3"/>
        <v>58.283280452730985</v>
      </c>
    </row>
    <row r="41" spans="2:24" x14ac:dyDescent="0.2">
      <c r="C41" s="787"/>
      <c r="D41" s="783"/>
      <c r="E41" s="784"/>
      <c r="F41" s="784"/>
      <c r="G41" s="784"/>
      <c r="H41" s="784"/>
      <c r="I41" s="783"/>
      <c r="J41" s="784"/>
      <c r="K41" s="784"/>
      <c r="L41" s="784"/>
      <c r="M41" s="784"/>
      <c r="N41" s="784"/>
      <c r="O41" s="784"/>
      <c r="P41" s="784"/>
      <c r="Q41" s="784"/>
      <c r="R41" s="784"/>
      <c r="S41" s="784"/>
      <c r="T41" s="784"/>
      <c r="U41" s="784"/>
      <c r="V41" s="784"/>
      <c r="W41" s="784"/>
      <c r="X41" s="785"/>
    </row>
    <row r="42" spans="2:24" s="488" customFormat="1" x14ac:dyDescent="0.2">
      <c r="C42" s="779" t="s">
        <v>91</v>
      </c>
      <c r="D42" s="788">
        <f t="shared" ref="D42:X42" si="4">D40-D27</f>
        <v>0</v>
      </c>
      <c r="E42" s="789">
        <f t="shared" si="4"/>
        <v>-2.0255268976884158</v>
      </c>
      <c r="F42" s="789">
        <f t="shared" si="4"/>
        <v>-4.5360895399238714</v>
      </c>
      <c r="G42" s="789">
        <f t="shared" si="4"/>
        <v>-44.463426796421174</v>
      </c>
      <c r="H42" s="789">
        <f t="shared" si="4"/>
        <v>-42.732265519319867</v>
      </c>
      <c r="I42" s="788">
        <f t="shared" si="4"/>
        <v>-53.361024996920094</v>
      </c>
      <c r="J42" s="789">
        <f t="shared" si="4"/>
        <v>8.1488153415866353</v>
      </c>
      <c r="K42" s="789">
        <f t="shared" si="4"/>
        <v>16.608972630157936</v>
      </c>
      <c r="L42" s="789">
        <f t="shared" si="4"/>
        <v>19.200614010907763</v>
      </c>
      <c r="M42" s="789">
        <f t="shared" si="4"/>
        <v>21.380660516960262</v>
      </c>
      <c r="N42" s="789">
        <f t="shared" si="4"/>
        <v>23.592077738519386</v>
      </c>
      <c r="O42" s="789">
        <f t="shared" si="4"/>
        <v>25.835497915053253</v>
      </c>
      <c r="P42" s="789">
        <f t="shared" si="4"/>
        <v>28.111570205049894</v>
      </c>
      <c r="Q42" s="789">
        <f t="shared" si="4"/>
        <v>30.420961207604645</v>
      </c>
      <c r="R42" s="789">
        <f t="shared" si="4"/>
        <v>32.764355500939864</v>
      </c>
      <c r="S42" s="789">
        <f t="shared" si="4"/>
        <v>35.142456198415459</v>
      </c>
      <c r="T42" s="789">
        <f t="shared" si="4"/>
        <v>37.555985522608282</v>
      </c>
      <c r="U42" s="789">
        <f t="shared" si="4"/>
        <v>40.005685398055931</v>
      </c>
      <c r="V42" s="789">
        <f t="shared" si="4"/>
        <v>42.492318063282077</v>
      </c>
      <c r="W42" s="789">
        <f t="shared" si="4"/>
        <v>45.01666670273945</v>
      </c>
      <c r="X42" s="790">
        <f t="shared" si="4"/>
        <v>47.579536099328763</v>
      </c>
    </row>
    <row r="43" spans="2:24" s="791" customFormat="1" ht="13.5" thickBot="1" x14ac:dyDescent="0.25">
      <c r="C43" s="792"/>
      <c r="D43" s="793"/>
      <c r="E43" s="794"/>
      <c r="F43" s="794"/>
      <c r="G43" s="794"/>
      <c r="H43" s="794"/>
      <c r="I43" s="793"/>
      <c r="J43" s="794"/>
      <c r="K43" s="794"/>
      <c r="L43" s="794"/>
      <c r="M43" s="794"/>
      <c r="N43" s="794"/>
      <c r="O43" s="794"/>
      <c r="P43" s="794"/>
      <c r="Q43" s="794"/>
      <c r="R43" s="794"/>
      <c r="S43" s="794"/>
      <c r="T43" s="794"/>
      <c r="U43" s="794"/>
      <c r="V43" s="794"/>
      <c r="W43" s="794"/>
      <c r="X43" s="795"/>
    </row>
    <row r="46" spans="2:24" s="240" customFormat="1" x14ac:dyDescent="0.2">
      <c r="C46" s="240" t="s">
        <v>117</v>
      </c>
      <c r="F46" s="111"/>
      <c r="G46" s="111"/>
      <c r="H46" s="111"/>
      <c r="J46" s="240" t="s">
        <v>120</v>
      </c>
      <c r="M46" s="111"/>
      <c r="N46" s="111"/>
    </row>
    <row r="47" spans="2:24" s="594" customFormat="1" ht="56.25" x14ac:dyDescent="0.2">
      <c r="B47" s="594">
        <f>B60</f>
        <v>1</v>
      </c>
      <c r="C47" s="796" t="s">
        <v>76</v>
      </c>
      <c r="D47" s="797" t="s">
        <v>112</v>
      </c>
      <c r="E47" s="797" t="s">
        <v>113</v>
      </c>
      <c r="F47" s="797" t="s">
        <v>114</v>
      </c>
      <c r="G47" s="324" t="s">
        <v>122</v>
      </c>
      <c r="H47" s="251"/>
      <c r="I47" s="589"/>
      <c r="J47" s="491" t="s">
        <v>76</v>
      </c>
      <c r="K47" s="324" t="s">
        <v>119</v>
      </c>
      <c r="L47" s="324" t="s">
        <v>118</v>
      </c>
      <c r="M47" s="324" t="s">
        <v>152</v>
      </c>
      <c r="N47" s="324" t="s">
        <v>121</v>
      </c>
      <c r="O47" s="589"/>
    </row>
    <row r="48" spans="2:24" s="572" customFormat="1" x14ac:dyDescent="0.2">
      <c r="C48" s="13" t="s">
        <v>34</v>
      </c>
      <c r="D48" s="798">
        <f>'ERR &amp; Sensitivity Analysis'!G14*3592</f>
        <v>1044.1944000000001</v>
      </c>
      <c r="E48" s="798">
        <f>Tanga!S$69</f>
        <v>490.07808272578785</v>
      </c>
      <c r="F48" s="798">
        <f>Tanga!X$69</f>
        <v>5644</v>
      </c>
      <c r="G48" s="799">
        <f>Tanga!X101*1000</f>
        <v>3912.7961736542447</v>
      </c>
      <c r="H48" s="800"/>
      <c r="I48" s="801"/>
      <c r="J48" s="517" t="s">
        <v>34</v>
      </c>
      <c r="K48" s="802">
        <f>Tanga!D$110</f>
        <v>21.5</v>
      </c>
      <c r="L48" s="802">
        <f>Tanga!D$108</f>
        <v>60</v>
      </c>
      <c r="M48" s="803">
        <f>Tanga!X$115</f>
        <v>17.876904091711154</v>
      </c>
      <c r="N48" s="802">
        <f>Tanga!D$109</f>
        <v>245.71799999999999</v>
      </c>
    </row>
    <row r="49" spans="2:14" s="572" customFormat="1" x14ac:dyDescent="0.2">
      <c r="C49" s="13" t="s">
        <v>35</v>
      </c>
      <c r="D49" s="798">
        <f>'ERR &amp; Sensitivity Analysis'!G14*12162</f>
        <v>3535.4934000000003</v>
      </c>
      <c r="E49" s="798">
        <f>Dodoma!S$68</f>
        <v>2006.6078400526603</v>
      </c>
      <c r="F49" s="798">
        <f>Dodoma!X$68</f>
        <v>11410</v>
      </c>
      <c r="G49" s="799">
        <f>Dodoma!X100*1000</f>
        <v>16194.021986101965</v>
      </c>
      <c r="H49" s="800"/>
      <c r="I49" s="801"/>
      <c r="J49" s="517" t="s">
        <v>35</v>
      </c>
      <c r="K49" s="802">
        <f>Dodoma!D$109</f>
        <v>11.4</v>
      </c>
      <c r="L49" s="802">
        <f>Dodoma!D$107</f>
        <v>24.55</v>
      </c>
      <c r="M49" s="803">
        <f>Dodoma!X$114</f>
        <v>9.4789165881631305</v>
      </c>
      <c r="N49" s="802">
        <f>Dodoma!D$108</f>
        <v>100.53961500000001</v>
      </c>
    </row>
    <row r="50" spans="2:14" s="572" customFormat="1" x14ac:dyDescent="0.2">
      <c r="C50" s="13" t="s">
        <v>36</v>
      </c>
      <c r="D50" s="798">
        <f>'ERR &amp; Sensitivity Analysis'!G14*6753</f>
        <v>1963.0971000000002</v>
      </c>
      <c r="E50" s="798">
        <f>Morogoro!S$69</f>
        <v>1248.9495533470431</v>
      </c>
      <c r="F50" s="798">
        <f>Morogoro!X$69</f>
        <v>10650</v>
      </c>
      <c r="G50" s="799">
        <f>Morogoro!X101*1000</f>
        <v>10538.084275300556</v>
      </c>
      <c r="H50" s="800"/>
      <c r="I50" s="801"/>
      <c r="J50" s="517" t="s">
        <v>36</v>
      </c>
      <c r="K50" s="802">
        <f>Morogoro!D$110</f>
        <v>27</v>
      </c>
      <c r="L50" s="802">
        <f>Morogoro!D$108</f>
        <v>31.6</v>
      </c>
      <c r="M50" s="803">
        <f>Morogoro!X$115</f>
        <v>22.450065603544317</v>
      </c>
      <c r="N50" s="802">
        <f>Morogoro!D$109</f>
        <v>129.41148000000001</v>
      </c>
    </row>
    <row r="51" spans="2:14" s="572" customFormat="1" x14ac:dyDescent="0.2">
      <c r="C51" s="13" t="s">
        <v>37</v>
      </c>
      <c r="D51" s="798">
        <f>'ERR &amp; Sensitivity Analysis'!G14*3423</f>
        <v>995.06610000000001</v>
      </c>
      <c r="E51" s="798">
        <f>Iringa!S$69</f>
        <v>536.17610679144514</v>
      </c>
      <c r="F51" s="798">
        <f>Iringa!X$69</f>
        <v>6500</v>
      </c>
      <c r="G51" s="799">
        <f>Iringa!X101*1000</f>
        <v>4800.5053090037864</v>
      </c>
      <c r="H51" s="800"/>
      <c r="I51" s="801"/>
      <c r="J51" s="517" t="s">
        <v>37</v>
      </c>
      <c r="K51" s="802">
        <f>Iringa!D$110</f>
        <v>6.5</v>
      </c>
      <c r="L51" s="802">
        <f>Iringa!D$108</f>
        <v>5</v>
      </c>
      <c r="M51" s="803">
        <f>Iringa!X$115</f>
        <v>5.4046454230754719</v>
      </c>
      <c r="N51" s="802">
        <f>Iringa!D$109</f>
        <v>20.476500000000001</v>
      </c>
    </row>
    <row r="52" spans="2:14" s="572" customFormat="1" x14ac:dyDescent="0.2">
      <c r="C52" s="13" t="s">
        <v>38</v>
      </c>
      <c r="D52" s="798">
        <f>'ERR &amp; Sensitivity Analysis'!G14*7389</f>
        <v>2147.9823000000001</v>
      </c>
      <c r="E52" s="798">
        <f>Mwanza!S$69</f>
        <v>1161.5914786973276</v>
      </c>
      <c r="F52" s="798">
        <f>Mwanza!X$69</f>
        <v>13500</v>
      </c>
      <c r="G52" s="799">
        <f>Mwanza!X101*1000</f>
        <v>9425.1316699900726</v>
      </c>
      <c r="H52" s="800"/>
      <c r="I52" s="801"/>
      <c r="J52" s="517" t="s">
        <v>38</v>
      </c>
      <c r="K52" s="802">
        <f>Mwanza!D$110</f>
        <v>28</v>
      </c>
      <c r="L52" s="802">
        <f>Mwanza!D$108</f>
        <v>20</v>
      </c>
      <c r="M52" s="803">
        <f>Mwanza!X$115</f>
        <v>23.281549514786661</v>
      </c>
      <c r="N52" s="802">
        <f>Mwanza!D$109</f>
        <v>81.906000000000006</v>
      </c>
    </row>
    <row r="53" spans="2:14" s="572" customFormat="1" x14ac:dyDescent="0.2">
      <c r="C53" s="13" t="s">
        <v>39</v>
      </c>
      <c r="D53" s="798">
        <f>'ERR &amp; Sensitivity Analysis'!G14*2326</f>
        <v>676.16820000000007</v>
      </c>
      <c r="E53" s="798">
        <f>Mbeya!S$69</f>
        <v>352.40827131582984</v>
      </c>
      <c r="F53" s="798">
        <f>Mbeya!X$69</f>
        <v>3415</v>
      </c>
      <c r="G53" s="799">
        <f>Mbeya!X101*1000</f>
        <v>2935.2685777359575</v>
      </c>
      <c r="H53" s="800"/>
      <c r="I53" s="801"/>
      <c r="J53" s="517" t="s">
        <v>39</v>
      </c>
      <c r="K53" s="802">
        <f>Mbeya!D$110</f>
        <v>25</v>
      </c>
      <c r="L53" s="802">
        <f>Mbeya!D$108</f>
        <v>15</v>
      </c>
      <c r="M53" s="803">
        <f>Mbeya!X$115</f>
        <v>20.787097781059487</v>
      </c>
      <c r="N53" s="802">
        <f>Mbeya!D$109</f>
        <v>61.429499999999997</v>
      </c>
    </row>
    <row r="54" spans="2:14" s="572" customFormat="1" x14ac:dyDescent="0.2">
      <c r="C54" s="276" t="s">
        <v>115</v>
      </c>
      <c r="D54" s="798">
        <f>SUM(D48:D53)</f>
        <v>10362.0015</v>
      </c>
      <c r="E54" s="798">
        <f>SUM(E48:E53)</f>
        <v>5795.8113329300941</v>
      </c>
      <c r="F54" s="798">
        <f>SUM(F48:F53)</f>
        <v>51119</v>
      </c>
      <c r="G54" s="799">
        <f>SUM(G48:G53)</f>
        <v>47805.807991786583</v>
      </c>
      <c r="H54" s="804"/>
      <c r="I54" s="801"/>
      <c r="J54" s="490" t="s">
        <v>123</v>
      </c>
      <c r="K54" s="802">
        <f>SUM(K48:K53)</f>
        <v>119.4</v>
      </c>
      <c r="L54" s="802">
        <f>SUM(L48:L53)</f>
        <v>156.15</v>
      </c>
      <c r="M54" s="802">
        <f>SUM(M48:M53)</f>
        <v>99.279179002340214</v>
      </c>
      <c r="N54" s="802">
        <f>SUM(N48:N53)</f>
        <v>639.48109499999987</v>
      </c>
    </row>
    <row r="55" spans="2:14" s="572" customFormat="1" x14ac:dyDescent="0.2">
      <c r="C55" s="13" t="s">
        <v>111</v>
      </c>
      <c r="D55" s="798">
        <f>'ERR &amp; Sensitivity Analysis'!G14*1487</f>
        <v>432.27090000000004</v>
      </c>
      <c r="E55" s="798">
        <f>Kigoma!S$69</f>
        <v>109.66729809268195</v>
      </c>
      <c r="F55" s="798">
        <f>Kigoma!X$69</f>
        <v>1600</v>
      </c>
      <c r="G55" s="799">
        <f>Kigoma!X101*1000</f>
        <v>836.81461475018159</v>
      </c>
      <c r="H55" s="800"/>
      <c r="I55" s="801"/>
      <c r="J55" s="801"/>
      <c r="K55" s="801"/>
    </row>
    <row r="56" spans="2:14" s="572" customFormat="1" x14ac:dyDescent="0.2">
      <c r="C56" s="276" t="s">
        <v>116</v>
      </c>
      <c r="D56" s="798">
        <f>selected_cap+D55</f>
        <v>10794.2724</v>
      </c>
      <c r="E56" s="798">
        <f>E54+E55</f>
        <v>5905.4786310227764</v>
      </c>
      <c r="F56" s="798">
        <f>F54+F55</f>
        <v>52719</v>
      </c>
      <c r="G56" s="799">
        <f>G54+G55</f>
        <v>48642.622606536766</v>
      </c>
      <c r="H56" s="804"/>
      <c r="I56" s="801"/>
      <c r="J56" s="801"/>
      <c r="K56" s="801"/>
    </row>
    <row r="59" spans="2:14" x14ac:dyDescent="0.2">
      <c r="C59" s="805" t="s">
        <v>585</v>
      </c>
    </row>
    <row r="60" spans="2:14" x14ac:dyDescent="0.2">
      <c r="B60" s="765">
        <v>1</v>
      </c>
      <c r="C60" s="668" t="s">
        <v>594</v>
      </c>
    </row>
  </sheetData>
  <mergeCells count="1">
    <mergeCell ref="C6:K6"/>
  </mergeCells>
  <phoneticPr fontId="2" type="noConversion"/>
  <pageMargins left="0.75" right="0.75" top="1" bottom="1" header="0.5" footer="0.5"/>
  <pageSetup paperSize="9" scale="17"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156"/>
  <sheetViews>
    <sheetView showGridLines="0" zoomScale="70" zoomScaleNormal="70" workbookViewId="0"/>
  </sheetViews>
  <sheetFormatPr defaultColWidth="9.140625" defaultRowHeight="12.75" x14ac:dyDescent="0.2"/>
  <cols>
    <col min="1" max="1" width="4.140625" style="543" customWidth="1"/>
    <col min="2" max="2" width="5" style="543" customWidth="1"/>
    <col min="3" max="3" width="49.5703125" style="543" customWidth="1"/>
    <col min="4" max="4" width="12.7109375" style="543" customWidth="1"/>
    <col min="5" max="5" width="13.7109375" style="543" customWidth="1"/>
    <col min="6" max="7" width="13.28515625" style="543" customWidth="1"/>
    <col min="8" max="9" width="12.85546875" style="543" customWidth="1"/>
    <col min="10" max="10" width="12.28515625" style="543" customWidth="1"/>
    <col min="11" max="12" width="12.28515625" style="543" bestFit="1" customWidth="1"/>
    <col min="13" max="13" width="12.85546875" style="543" customWidth="1"/>
    <col min="14" max="15" width="12.28515625" style="543" bestFit="1" customWidth="1"/>
    <col min="16" max="16" width="13" style="543" customWidth="1"/>
    <col min="17" max="17" width="13.42578125" style="543" bestFit="1" customWidth="1"/>
    <col min="18" max="18" width="12.28515625" style="543" bestFit="1" customWidth="1"/>
    <col min="19" max="19" width="15" style="543" customWidth="1"/>
    <col min="20" max="20" width="12.28515625" style="543" customWidth="1"/>
    <col min="21" max="21" width="12.28515625" style="543" bestFit="1" customWidth="1"/>
    <col min="22" max="22" width="13.28515625" style="543" customWidth="1"/>
    <col min="23" max="24" width="12.28515625" style="543" bestFit="1" customWidth="1"/>
    <col min="25" max="25" width="10.7109375" style="543" bestFit="1" customWidth="1"/>
    <col min="26" max="26" width="11.42578125" style="543" bestFit="1" customWidth="1"/>
    <col min="27" max="27" width="12.28515625" style="543" bestFit="1" customWidth="1"/>
    <col min="28" max="28" width="12.140625" style="543" bestFit="1" customWidth="1"/>
    <col min="29" max="29" width="10.7109375" style="543" bestFit="1" customWidth="1"/>
    <col min="30" max="16384" width="9.140625" style="543"/>
  </cols>
  <sheetData>
    <row r="1" spans="1:28" s="621" customFormat="1" ht="20.25" x14ac:dyDescent="0.3">
      <c r="B1" s="567" t="s">
        <v>370</v>
      </c>
      <c r="C1" s="620"/>
      <c r="I1" s="568" t="s">
        <v>668</v>
      </c>
    </row>
    <row r="2" spans="1:28" s="622" customFormat="1" ht="18" x14ac:dyDescent="0.25">
      <c r="A2" s="620"/>
      <c r="B2" s="570" t="s">
        <v>371</v>
      </c>
      <c r="D2" s="620"/>
      <c r="E2" s="620"/>
      <c r="F2" s="620"/>
      <c r="G2" s="623"/>
    </row>
    <row r="3" spans="1:28" ht="13.5" thickBot="1" x14ac:dyDescent="0.25"/>
    <row r="4" spans="1:28" x14ac:dyDescent="0.2">
      <c r="C4" s="941" t="s">
        <v>137</v>
      </c>
      <c r="D4" s="942"/>
      <c r="E4" s="519"/>
      <c r="F4" s="520"/>
      <c r="G4" s="542"/>
      <c r="H4" s="542"/>
      <c r="I4" s="542"/>
      <c r="J4" s="542"/>
      <c r="K4" s="542"/>
    </row>
    <row r="5" spans="1:28" x14ac:dyDescent="0.2">
      <c r="C5" s="561"/>
      <c r="D5" s="562"/>
      <c r="E5" s="563"/>
      <c r="F5" s="564"/>
      <c r="G5" s="691"/>
      <c r="H5" s="690"/>
      <c r="I5" s="690"/>
      <c r="J5" s="690"/>
      <c r="K5" s="542"/>
    </row>
    <row r="6" spans="1:28" x14ac:dyDescent="0.2">
      <c r="C6" s="688" t="s">
        <v>138</v>
      </c>
      <c r="D6" s="689"/>
      <c r="E6" s="542"/>
      <c r="F6" s="549"/>
      <c r="G6" s="542"/>
      <c r="H6" s="542"/>
      <c r="I6" s="542"/>
      <c r="J6" s="542"/>
      <c r="K6" s="542"/>
    </row>
    <row r="7" spans="1:28" x14ac:dyDescent="0.2">
      <c r="C7" s="943" t="s">
        <v>336</v>
      </c>
      <c r="D7" s="944"/>
      <c r="E7" s="761">
        <f>IRR(E147:X147,-0.9)</f>
        <v>8.960781241865079E-2</v>
      </c>
      <c r="F7" s="549"/>
      <c r="G7" s="542"/>
      <c r="H7" s="542"/>
      <c r="I7" s="542"/>
      <c r="J7" s="542"/>
      <c r="K7" s="542"/>
    </row>
    <row r="8" spans="1:28" x14ac:dyDescent="0.2">
      <c r="C8" s="688" t="s">
        <v>373</v>
      </c>
      <c r="D8" s="236"/>
      <c r="E8" s="692"/>
      <c r="F8" s="549"/>
      <c r="G8" s="542"/>
      <c r="H8" s="542"/>
      <c r="I8" s="542"/>
      <c r="J8" s="542"/>
      <c r="K8" s="542"/>
      <c r="AB8" s="542"/>
    </row>
    <row r="9" spans="1:28" x14ac:dyDescent="0.2">
      <c r="C9" s="693" t="s">
        <v>128</v>
      </c>
      <c r="D9" s="236"/>
      <c r="E9" s="694">
        <f>NPV(0.1,E147:X147)</f>
        <v>-1.5051991879119675</v>
      </c>
      <c r="F9" s="549"/>
      <c r="G9" s="542"/>
      <c r="H9" s="542"/>
      <c r="I9" s="542"/>
      <c r="J9" s="542"/>
      <c r="K9" s="542"/>
      <c r="AB9" s="542"/>
    </row>
    <row r="10" spans="1:28" x14ac:dyDescent="0.2">
      <c r="C10" s="693" t="s">
        <v>367</v>
      </c>
      <c r="D10" s="236"/>
      <c r="E10" s="695">
        <f>NPV(0.1,E63:I63)</f>
        <v>17.428641327383254</v>
      </c>
      <c r="F10" s="549"/>
      <c r="G10" s="542"/>
      <c r="H10" s="542"/>
      <c r="I10" s="542"/>
      <c r="J10" s="542"/>
      <c r="K10" s="542"/>
      <c r="AB10" s="542"/>
    </row>
    <row r="11" spans="1:28" x14ac:dyDescent="0.2">
      <c r="C11" s="693" t="s">
        <v>384</v>
      </c>
      <c r="D11" s="236"/>
      <c r="E11" s="694">
        <f>E9+E10</f>
        <v>15.923442139471286</v>
      </c>
      <c r="F11" s="696"/>
      <c r="G11" s="542"/>
      <c r="H11" s="542"/>
      <c r="I11" s="542"/>
      <c r="J11" s="542"/>
      <c r="K11" s="542"/>
    </row>
    <row r="12" spans="1:28" x14ac:dyDescent="0.2">
      <c r="C12" s="693" t="s">
        <v>368</v>
      </c>
      <c r="D12" s="236"/>
      <c r="E12" s="694">
        <f>NPV(0.1,E62:X62)</f>
        <v>21.537056048622251</v>
      </c>
      <c r="F12" s="549"/>
      <c r="G12" s="542"/>
      <c r="H12" s="542"/>
      <c r="I12" s="542"/>
      <c r="J12" s="542"/>
      <c r="K12" s="542"/>
    </row>
    <row r="13" spans="1:28" x14ac:dyDescent="0.2">
      <c r="C13" s="693" t="s">
        <v>369</v>
      </c>
      <c r="D13" s="236"/>
      <c r="E13" s="694">
        <f>NPV(0.1,E146:X146)</f>
        <v>20.031856860710281</v>
      </c>
      <c r="F13" s="549"/>
      <c r="G13" s="542"/>
      <c r="H13" s="542"/>
      <c r="I13" s="542"/>
      <c r="J13" s="542"/>
      <c r="K13" s="542"/>
    </row>
    <row r="14" spans="1:28" ht="13.5" thickBot="1" x14ac:dyDescent="0.25">
      <c r="C14" s="697" t="s">
        <v>136</v>
      </c>
      <c r="D14" s="698"/>
      <c r="E14" s="699">
        <f>E13/E12</f>
        <v>0.93011119140360599</v>
      </c>
      <c r="F14" s="700"/>
      <c r="G14" s="542"/>
      <c r="H14" s="542"/>
      <c r="I14" s="542"/>
      <c r="J14" s="542"/>
      <c r="K14" s="542"/>
    </row>
    <row r="15" spans="1:28" x14ac:dyDescent="0.2">
      <c r="F15" s="542"/>
      <c r="G15" s="542"/>
      <c r="H15" s="542"/>
      <c r="I15" s="542"/>
    </row>
    <row r="16" spans="1:28" ht="13.5" thickBot="1" x14ac:dyDescent="0.25">
      <c r="F16" s="542"/>
      <c r="G16" s="542"/>
      <c r="H16" s="542"/>
      <c r="I16" s="542"/>
    </row>
    <row r="17" spans="3:25"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25" x14ac:dyDescent="0.2">
      <c r="C18" s="565" t="s">
        <v>616</v>
      </c>
      <c r="D18" s="524" t="s">
        <v>130</v>
      </c>
      <c r="E18" s="525"/>
      <c r="F18" s="526"/>
      <c r="G18" s="526"/>
      <c r="H18" s="526"/>
      <c r="I18" s="527"/>
      <c r="J18" s="526"/>
      <c r="K18" s="526"/>
      <c r="L18" s="526"/>
      <c r="M18" s="526"/>
      <c r="N18" s="526"/>
      <c r="O18" s="526"/>
      <c r="P18" s="526"/>
      <c r="Q18" s="526"/>
      <c r="R18" s="526"/>
      <c r="S18" s="526"/>
      <c r="T18" s="526"/>
      <c r="U18" s="526"/>
      <c r="V18" s="526"/>
      <c r="W18" s="526"/>
      <c r="X18" s="526"/>
      <c r="Y18" s="528"/>
    </row>
    <row r="19" spans="3:25" x14ac:dyDescent="0.2">
      <c r="C19" s="703"/>
      <c r="D19" s="704"/>
      <c r="E19" s="542"/>
      <c r="F19" s="542"/>
      <c r="G19" s="542"/>
      <c r="H19" s="542"/>
      <c r="I19" s="542"/>
      <c r="J19" s="542"/>
      <c r="K19" s="542"/>
      <c r="L19" s="542"/>
      <c r="M19" s="542"/>
      <c r="N19" s="542"/>
      <c r="O19" s="542"/>
      <c r="P19" s="542"/>
      <c r="Q19" s="542"/>
      <c r="R19" s="542"/>
      <c r="S19" s="542"/>
      <c r="T19" s="542"/>
      <c r="U19" s="542"/>
      <c r="V19" s="542"/>
      <c r="W19" s="542"/>
      <c r="X19" s="542"/>
      <c r="Y19" s="549"/>
    </row>
    <row r="20" spans="3:25" s="240"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25" x14ac:dyDescent="0.2">
      <c r="C21" s="706" t="s">
        <v>337</v>
      </c>
      <c r="D21" s="542">
        <v>-4</v>
      </c>
      <c r="E21" s="542">
        <v>-3</v>
      </c>
      <c r="F21" s="542">
        <v>-2</v>
      </c>
      <c r="G21" s="542">
        <v>-1</v>
      </c>
      <c r="H21" s="542">
        <v>0</v>
      </c>
      <c r="I21" s="542">
        <v>1</v>
      </c>
      <c r="J21" s="542">
        <f t="shared" ref="G21:X22" si="0">I21+1</f>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25" x14ac:dyDescent="0.2">
      <c r="C22" s="706" t="s">
        <v>339</v>
      </c>
      <c r="D22" s="704">
        <v>2008</v>
      </c>
      <c r="E22" s="704">
        <f>D22+1</f>
        <v>2009</v>
      </c>
      <c r="F22" s="704">
        <f>E22+1</f>
        <v>2010</v>
      </c>
      <c r="G22" s="704">
        <f t="shared" si="0"/>
        <v>2011</v>
      </c>
      <c r="H22" s="704">
        <f t="shared" si="0"/>
        <v>2012</v>
      </c>
      <c r="I22" s="704">
        <f t="shared" si="0"/>
        <v>2013</v>
      </c>
      <c r="J22" s="704">
        <f t="shared" si="0"/>
        <v>2014</v>
      </c>
      <c r="K22" s="704">
        <f t="shared" si="0"/>
        <v>2015</v>
      </c>
      <c r="L22" s="704">
        <f t="shared" si="0"/>
        <v>2016</v>
      </c>
      <c r="M22" s="704">
        <f t="shared" si="0"/>
        <v>2017</v>
      </c>
      <c r="N22" s="704">
        <f t="shared" si="0"/>
        <v>2018</v>
      </c>
      <c r="O22" s="704">
        <f t="shared" si="0"/>
        <v>2019</v>
      </c>
      <c r="P22" s="704">
        <f t="shared" si="0"/>
        <v>2020</v>
      </c>
      <c r="Q22" s="704">
        <f t="shared" si="0"/>
        <v>2021</v>
      </c>
      <c r="R22" s="704">
        <f t="shared" si="0"/>
        <v>2022</v>
      </c>
      <c r="S22" s="704">
        <f t="shared" si="0"/>
        <v>2023</v>
      </c>
      <c r="T22" s="704">
        <f t="shared" si="0"/>
        <v>2024</v>
      </c>
      <c r="U22" s="704">
        <f t="shared" si="0"/>
        <v>2025</v>
      </c>
      <c r="V22" s="704">
        <f t="shared" si="0"/>
        <v>2026</v>
      </c>
      <c r="W22" s="704">
        <f t="shared" si="0"/>
        <v>2027</v>
      </c>
      <c r="X22" s="704">
        <f t="shared" si="0"/>
        <v>2028</v>
      </c>
      <c r="Y22" s="549"/>
    </row>
    <row r="23" spans="3:25"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549"/>
    </row>
    <row r="24" spans="3:25"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K24" s="542"/>
      <c r="L24" s="542"/>
      <c r="M24" s="542"/>
      <c r="N24" s="542"/>
      <c r="O24" s="542"/>
      <c r="P24" s="557"/>
      <c r="Q24" s="542"/>
      <c r="R24" s="542"/>
      <c r="S24" s="542"/>
      <c r="T24" s="542"/>
      <c r="U24" s="542"/>
      <c r="V24" s="542"/>
      <c r="W24" s="542"/>
      <c r="X24" s="542"/>
      <c r="Y24" s="549"/>
    </row>
    <row r="25" spans="3:25" x14ac:dyDescent="0.2">
      <c r="C25" s="703"/>
      <c r="D25" s="542"/>
      <c r="E25" s="542"/>
      <c r="F25" s="542"/>
      <c r="G25" s="542"/>
      <c r="H25" s="542"/>
      <c r="I25" s="542"/>
      <c r="J25" s="542"/>
      <c r="K25" s="542"/>
      <c r="L25" s="542"/>
      <c r="M25" s="542"/>
      <c r="N25" s="542"/>
      <c r="O25" s="542"/>
      <c r="P25" s="542"/>
      <c r="Q25" s="542"/>
      <c r="R25" s="542"/>
      <c r="S25" s="542"/>
      <c r="T25" s="542"/>
      <c r="U25" s="542"/>
      <c r="V25" s="542"/>
      <c r="W25" s="542"/>
      <c r="X25" s="542"/>
      <c r="Y25" s="549"/>
    </row>
    <row r="26" spans="3:25" x14ac:dyDescent="0.2">
      <c r="C26" s="708" t="s">
        <v>55</v>
      </c>
      <c r="D26" s="542"/>
      <c r="E26" s="542"/>
      <c r="F26" s="542"/>
      <c r="G26" s="542"/>
      <c r="H26" s="542"/>
      <c r="I26" s="542"/>
      <c r="J26" s="542"/>
      <c r="K26" s="542"/>
      <c r="L26" s="542"/>
      <c r="M26" s="542"/>
      <c r="N26" s="542"/>
      <c r="O26" s="542"/>
      <c r="P26" s="542"/>
      <c r="Q26" s="542"/>
      <c r="R26" s="542"/>
      <c r="S26" s="542"/>
      <c r="T26" s="542"/>
      <c r="U26" s="542"/>
      <c r="V26" s="542"/>
      <c r="W26" s="542"/>
      <c r="X26" s="542"/>
      <c r="Y26" s="549"/>
    </row>
    <row r="27" spans="3:25"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K27" s="542"/>
      <c r="L27" s="542"/>
      <c r="M27" s="542"/>
      <c r="N27" s="542"/>
      <c r="O27" s="542"/>
      <c r="P27" s="542"/>
      <c r="Q27" s="542"/>
      <c r="R27" s="542"/>
      <c r="S27" s="542"/>
      <c r="T27" s="542"/>
      <c r="U27" s="542"/>
      <c r="V27" s="542"/>
      <c r="W27" s="542"/>
      <c r="X27" s="542"/>
      <c r="Y27" s="549"/>
    </row>
    <row r="28" spans="3:25" x14ac:dyDescent="0.2">
      <c r="C28" s="709" t="s">
        <v>57</v>
      </c>
      <c r="D28" s="542">
        <v>0</v>
      </c>
      <c r="E28" s="710">
        <f t="shared" ref="E28:J28" si="1">E27*$AA$69/E24</f>
        <v>0.10294883199727652</v>
      </c>
      <c r="F28" s="710">
        <f t="shared" si="1"/>
        <v>0.58037404038464635</v>
      </c>
      <c r="G28" s="710">
        <f t="shared" si="1"/>
        <v>5.5700121703027587</v>
      </c>
      <c r="H28" s="710">
        <f t="shared" si="1"/>
        <v>5.2319166195444566</v>
      </c>
      <c r="I28" s="710">
        <f t="shared" si="1"/>
        <v>6.6273084463267864</v>
      </c>
      <c r="J28" s="710">
        <f t="shared" si="1"/>
        <v>0.60513162376731855</v>
      </c>
      <c r="K28" s="542"/>
      <c r="L28" s="542"/>
      <c r="M28" s="542"/>
      <c r="N28" s="542"/>
      <c r="O28" s="542"/>
      <c r="P28" s="542"/>
      <c r="Q28" s="542"/>
      <c r="R28" s="542"/>
      <c r="S28" s="542"/>
      <c r="T28" s="542"/>
      <c r="U28" s="542"/>
      <c r="V28" s="542"/>
      <c r="W28" s="542"/>
      <c r="X28" s="542"/>
      <c r="Y28" s="549"/>
    </row>
    <row r="29" spans="3:25"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549"/>
    </row>
    <row r="30" spans="3:25" x14ac:dyDescent="0.2">
      <c r="C30" s="709"/>
      <c r="D30" s="711"/>
      <c r="E30" s="542"/>
      <c r="F30" s="711"/>
      <c r="G30" s="711"/>
      <c r="H30" s="711"/>
      <c r="I30" s="711"/>
      <c r="J30" s="711"/>
      <c r="K30" s="711"/>
      <c r="L30" s="711"/>
      <c r="M30" s="711"/>
      <c r="N30" s="711"/>
      <c r="O30" s="711"/>
      <c r="P30" s="711"/>
      <c r="Q30" s="711"/>
      <c r="R30" s="711"/>
      <c r="S30" s="711"/>
      <c r="T30" s="711"/>
      <c r="U30" s="711"/>
      <c r="V30" s="711"/>
      <c r="W30" s="711"/>
      <c r="X30" s="711"/>
      <c r="Y30" s="549"/>
    </row>
    <row r="31" spans="3:25" x14ac:dyDescent="0.2">
      <c r="C31" s="708" t="s">
        <v>360</v>
      </c>
      <c r="D31" s="711">
        <v>0</v>
      </c>
      <c r="E31" s="711">
        <f>E$27*Assumptions!$F$19/10^6</f>
        <v>8.2694672208398698E-3</v>
      </c>
      <c r="F31" s="711">
        <f>F$27*Assumptions!$F$19/10^6</f>
        <v>5.1684170130249195E-2</v>
      </c>
      <c r="G31" s="711">
        <f>G$27*Assumptions!$F$19/10^6</f>
        <v>0.54991957018585147</v>
      </c>
      <c r="H31" s="711">
        <f>H$27*Assumptions!$F$19/10^6</f>
        <v>0.57266060504316108</v>
      </c>
      <c r="I31" s="711">
        <f>I$27*Assumptions!$F$19/10^6</f>
        <v>0.8042056872266774</v>
      </c>
      <c r="J31" s="711"/>
      <c r="K31" s="711"/>
      <c r="L31" s="711"/>
      <c r="M31" s="711"/>
      <c r="N31" s="711"/>
      <c r="O31" s="711"/>
      <c r="P31" s="711"/>
      <c r="Q31" s="711"/>
      <c r="R31" s="711"/>
      <c r="S31" s="711"/>
      <c r="T31" s="711"/>
      <c r="U31" s="711"/>
      <c r="V31" s="711"/>
      <c r="W31" s="711"/>
      <c r="X31" s="711"/>
      <c r="Y31" s="549"/>
    </row>
    <row r="32" spans="3:25" x14ac:dyDescent="0.2">
      <c r="C32" s="708" t="s">
        <v>361</v>
      </c>
      <c r="D32" s="711">
        <v>0</v>
      </c>
      <c r="E32" s="711">
        <f>E$27*Assumptions!$G$19/E24/10^6</f>
        <v>1.0167065211755789E-2</v>
      </c>
      <c r="F32" s="711">
        <f>F$27*Assumptions!$G$19/F24/10^6</f>
        <v>5.7316830131273255E-2</v>
      </c>
      <c r="G32" s="711">
        <f>G$27*Assumptions!$G$19/G24/10^6</f>
        <v>0.55008566748226617</v>
      </c>
      <c r="H32" s="711">
        <f>H$27*Assumptions!$G$19/H24/10^6</f>
        <v>0.51669588106433895</v>
      </c>
      <c r="I32" s="711">
        <f>I$27*Assumptions!$G$19/I24/10^6</f>
        <v>0.65450258973318809</v>
      </c>
      <c r="J32" s="711"/>
      <c r="K32" s="711"/>
      <c r="L32" s="711"/>
      <c r="M32" s="711"/>
      <c r="N32" s="711"/>
      <c r="O32" s="711"/>
      <c r="P32" s="711"/>
      <c r="Q32" s="711"/>
      <c r="R32" s="711"/>
      <c r="S32" s="711"/>
      <c r="T32" s="711"/>
      <c r="U32" s="711"/>
      <c r="V32" s="711"/>
      <c r="W32" s="711"/>
      <c r="X32" s="711"/>
      <c r="Y32" s="549"/>
    </row>
    <row r="33" spans="3:25" x14ac:dyDescent="0.2">
      <c r="C33" s="708" t="s">
        <v>362</v>
      </c>
      <c r="D33" s="711">
        <v>0</v>
      </c>
      <c r="E33" s="711">
        <f>(Assumptions!$H$19/E24)/10^6</f>
        <v>0.24033214679425738</v>
      </c>
      <c r="F33" s="711">
        <v>0</v>
      </c>
      <c r="G33" s="711">
        <v>0</v>
      </c>
      <c r="H33" s="711">
        <v>0</v>
      </c>
      <c r="I33" s="711">
        <v>0</v>
      </c>
      <c r="J33" s="711"/>
      <c r="K33" s="711"/>
      <c r="L33" s="711"/>
      <c r="M33" s="711"/>
      <c r="N33" s="711"/>
      <c r="O33" s="711"/>
      <c r="P33" s="711"/>
      <c r="Q33" s="711"/>
      <c r="R33" s="711"/>
      <c r="S33" s="711"/>
      <c r="T33" s="711"/>
      <c r="U33" s="711"/>
      <c r="V33" s="711"/>
      <c r="W33" s="711"/>
      <c r="X33" s="711"/>
      <c r="Y33" s="549"/>
    </row>
    <row r="34" spans="3:25"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549"/>
    </row>
    <row r="35" spans="3:25" x14ac:dyDescent="0.2">
      <c r="C35" s="708" t="s">
        <v>31</v>
      </c>
      <c r="D35" s="553"/>
      <c r="E35" s="553"/>
      <c r="F35" s="542"/>
      <c r="G35" s="542"/>
      <c r="H35" s="542"/>
      <c r="I35" s="542"/>
      <c r="J35" s="542"/>
      <c r="K35" s="542"/>
      <c r="L35" s="542"/>
      <c r="M35" s="542"/>
      <c r="N35" s="542"/>
      <c r="O35" s="542"/>
      <c r="P35" s="542"/>
      <c r="Q35" s="542"/>
      <c r="R35" s="542"/>
      <c r="S35" s="542"/>
      <c r="T35" s="542"/>
      <c r="U35" s="542"/>
      <c r="V35" s="542"/>
      <c r="W35" s="542"/>
      <c r="X35" s="542"/>
      <c r="Y35" s="549"/>
    </row>
    <row r="36" spans="3:25" x14ac:dyDescent="0.2">
      <c r="C36" s="709" t="s">
        <v>10</v>
      </c>
      <c r="D36" s="553">
        <f>Assumptions!F48</f>
        <v>655.42500000000007</v>
      </c>
      <c r="E36" s="553">
        <f>D36</f>
        <v>655.42500000000007</v>
      </c>
      <c r="F36" s="553">
        <f t="shared" ref="F36:X39" si="2">E36</f>
        <v>655.42500000000007</v>
      </c>
      <c r="G36" s="553">
        <f t="shared" si="2"/>
        <v>655.42500000000007</v>
      </c>
      <c r="H36" s="553">
        <f t="shared" si="2"/>
        <v>655.42500000000007</v>
      </c>
      <c r="I36" s="553">
        <f t="shared" si="2"/>
        <v>655.42500000000007</v>
      </c>
      <c r="J36" s="553">
        <f t="shared" si="2"/>
        <v>655.42500000000007</v>
      </c>
      <c r="K36" s="553">
        <f t="shared" si="2"/>
        <v>655.42500000000007</v>
      </c>
      <c r="L36" s="553">
        <f t="shared" si="2"/>
        <v>655.42500000000007</v>
      </c>
      <c r="M36" s="553">
        <f t="shared" si="2"/>
        <v>655.42500000000007</v>
      </c>
      <c r="N36" s="553">
        <f t="shared" si="2"/>
        <v>655.42500000000007</v>
      </c>
      <c r="O36" s="553">
        <f t="shared" si="2"/>
        <v>655.42500000000007</v>
      </c>
      <c r="P36" s="553">
        <f t="shared" si="2"/>
        <v>655.42500000000007</v>
      </c>
      <c r="Q36" s="553">
        <f t="shared" si="2"/>
        <v>655.42500000000007</v>
      </c>
      <c r="R36" s="553">
        <f t="shared" si="2"/>
        <v>655.42500000000007</v>
      </c>
      <c r="S36" s="553">
        <f t="shared" si="2"/>
        <v>655.42500000000007</v>
      </c>
      <c r="T36" s="553">
        <f t="shared" si="2"/>
        <v>655.42500000000007</v>
      </c>
      <c r="U36" s="553">
        <f t="shared" si="2"/>
        <v>655.42500000000007</v>
      </c>
      <c r="V36" s="553">
        <f t="shared" si="2"/>
        <v>655.42500000000007</v>
      </c>
      <c r="W36" s="553">
        <f t="shared" si="2"/>
        <v>655.42500000000007</v>
      </c>
      <c r="X36" s="553">
        <f t="shared" si="2"/>
        <v>655.42500000000007</v>
      </c>
      <c r="Y36" s="549"/>
    </row>
    <row r="37" spans="3:25" x14ac:dyDescent="0.2">
      <c r="C37" s="709" t="s">
        <v>44</v>
      </c>
      <c r="D37" s="553">
        <f>Assumptions!F49</f>
        <v>296.7</v>
      </c>
      <c r="E37" s="553">
        <f>D37</f>
        <v>296.7</v>
      </c>
      <c r="F37" s="553">
        <f t="shared" si="2"/>
        <v>296.7</v>
      </c>
      <c r="G37" s="553">
        <f t="shared" si="2"/>
        <v>296.7</v>
      </c>
      <c r="H37" s="553">
        <f t="shared" si="2"/>
        <v>296.7</v>
      </c>
      <c r="I37" s="553">
        <f t="shared" si="2"/>
        <v>296.7</v>
      </c>
      <c r="J37" s="553">
        <f t="shared" si="2"/>
        <v>296.7</v>
      </c>
      <c r="K37" s="553">
        <f t="shared" si="2"/>
        <v>296.7</v>
      </c>
      <c r="L37" s="553">
        <f t="shared" si="2"/>
        <v>296.7</v>
      </c>
      <c r="M37" s="553">
        <f t="shared" si="2"/>
        <v>296.7</v>
      </c>
      <c r="N37" s="553">
        <f t="shared" si="2"/>
        <v>296.7</v>
      </c>
      <c r="O37" s="553">
        <f t="shared" si="2"/>
        <v>296.7</v>
      </c>
      <c r="P37" s="553">
        <f t="shared" si="2"/>
        <v>296.7</v>
      </c>
      <c r="Q37" s="553">
        <f t="shared" si="2"/>
        <v>296.7</v>
      </c>
      <c r="R37" s="553">
        <f t="shared" si="2"/>
        <v>296.7</v>
      </c>
      <c r="S37" s="553">
        <f t="shared" si="2"/>
        <v>296.7</v>
      </c>
      <c r="T37" s="553">
        <f t="shared" si="2"/>
        <v>296.7</v>
      </c>
      <c r="U37" s="553">
        <f t="shared" si="2"/>
        <v>296.7</v>
      </c>
      <c r="V37" s="553">
        <f t="shared" si="2"/>
        <v>296.7</v>
      </c>
      <c r="W37" s="553">
        <f t="shared" si="2"/>
        <v>296.7</v>
      </c>
      <c r="X37" s="553">
        <f t="shared" si="2"/>
        <v>296.7</v>
      </c>
      <c r="Y37" s="549"/>
    </row>
    <row r="38" spans="3:25" x14ac:dyDescent="0.2">
      <c r="C38" s="709" t="s">
        <v>45</v>
      </c>
      <c r="D38" s="553">
        <f>Assumptions!F50</f>
        <v>407.25</v>
      </c>
      <c r="E38" s="553">
        <f>D38</f>
        <v>407.25</v>
      </c>
      <c r="F38" s="553">
        <f t="shared" si="2"/>
        <v>407.25</v>
      </c>
      <c r="G38" s="553">
        <f t="shared" si="2"/>
        <v>407.25</v>
      </c>
      <c r="H38" s="553">
        <f t="shared" si="2"/>
        <v>407.25</v>
      </c>
      <c r="I38" s="553">
        <f t="shared" si="2"/>
        <v>407.25</v>
      </c>
      <c r="J38" s="553">
        <f t="shared" si="2"/>
        <v>407.25</v>
      </c>
      <c r="K38" s="553">
        <f t="shared" si="2"/>
        <v>407.25</v>
      </c>
      <c r="L38" s="553">
        <f t="shared" si="2"/>
        <v>407.25</v>
      </c>
      <c r="M38" s="553">
        <f t="shared" si="2"/>
        <v>407.25</v>
      </c>
      <c r="N38" s="553">
        <f t="shared" si="2"/>
        <v>407.25</v>
      </c>
      <c r="O38" s="553">
        <f t="shared" si="2"/>
        <v>407.25</v>
      </c>
      <c r="P38" s="553">
        <f t="shared" si="2"/>
        <v>407.25</v>
      </c>
      <c r="Q38" s="553">
        <f t="shared" si="2"/>
        <v>407.25</v>
      </c>
      <c r="R38" s="553">
        <f t="shared" si="2"/>
        <v>407.25</v>
      </c>
      <c r="S38" s="553">
        <f t="shared" si="2"/>
        <v>407.25</v>
      </c>
      <c r="T38" s="553">
        <f t="shared" si="2"/>
        <v>407.25</v>
      </c>
      <c r="U38" s="553">
        <f t="shared" si="2"/>
        <v>407.25</v>
      </c>
      <c r="V38" s="553">
        <f t="shared" si="2"/>
        <v>407.25</v>
      </c>
      <c r="W38" s="553">
        <f t="shared" si="2"/>
        <v>407.25</v>
      </c>
      <c r="X38" s="553">
        <f t="shared" si="2"/>
        <v>407.25</v>
      </c>
      <c r="Y38" s="549"/>
    </row>
    <row r="39" spans="3:25" x14ac:dyDescent="0.2">
      <c r="C39" s="712" t="s">
        <v>167</v>
      </c>
      <c r="D39" s="553">
        <f>Assumptions!F51</f>
        <v>400</v>
      </c>
      <c r="E39" s="553">
        <f>D39</f>
        <v>400</v>
      </c>
      <c r="F39" s="553">
        <f t="shared" si="2"/>
        <v>400</v>
      </c>
      <c r="G39" s="553">
        <f t="shared" si="2"/>
        <v>400</v>
      </c>
      <c r="H39" s="553">
        <f t="shared" si="2"/>
        <v>400</v>
      </c>
      <c r="I39" s="553">
        <f t="shared" si="2"/>
        <v>400</v>
      </c>
      <c r="J39" s="553">
        <f t="shared" si="2"/>
        <v>400</v>
      </c>
      <c r="K39" s="553">
        <f t="shared" si="2"/>
        <v>400</v>
      </c>
      <c r="L39" s="553">
        <f t="shared" si="2"/>
        <v>400</v>
      </c>
      <c r="M39" s="553">
        <f t="shared" si="2"/>
        <v>400</v>
      </c>
      <c r="N39" s="553">
        <f t="shared" si="2"/>
        <v>400</v>
      </c>
      <c r="O39" s="553">
        <f t="shared" si="2"/>
        <v>400</v>
      </c>
      <c r="P39" s="553">
        <f t="shared" si="2"/>
        <v>400</v>
      </c>
      <c r="Q39" s="553">
        <f t="shared" si="2"/>
        <v>400</v>
      </c>
      <c r="R39" s="553">
        <f t="shared" si="2"/>
        <v>400</v>
      </c>
      <c r="S39" s="553">
        <f t="shared" si="2"/>
        <v>400</v>
      </c>
      <c r="T39" s="553">
        <f t="shared" si="2"/>
        <v>400</v>
      </c>
      <c r="U39" s="553">
        <f t="shared" si="2"/>
        <v>400</v>
      </c>
      <c r="V39" s="553">
        <f t="shared" si="2"/>
        <v>400</v>
      </c>
      <c r="W39" s="553">
        <f t="shared" si="2"/>
        <v>400</v>
      </c>
      <c r="X39" s="553">
        <f t="shared" si="2"/>
        <v>400</v>
      </c>
      <c r="Y39" s="549"/>
    </row>
    <row r="40" spans="3:25"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549"/>
    </row>
    <row r="41" spans="3:25" x14ac:dyDescent="0.2">
      <c r="C41" s="708" t="s">
        <v>28</v>
      </c>
      <c r="D41" s="553"/>
      <c r="E41" s="553"/>
      <c r="F41" s="553"/>
      <c r="G41" s="553"/>
      <c r="H41" s="553"/>
      <c r="I41" s="553"/>
      <c r="J41" s="542"/>
      <c r="K41" s="542"/>
      <c r="L41" s="542"/>
      <c r="M41" s="542"/>
      <c r="N41" s="542"/>
      <c r="O41" s="542"/>
      <c r="P41" s="542"/>
      <c r="Q41" s="542"/>
      <c r="R41" s="542"/>
      <c r="S41" s="542"/>
      <c r="T41" s="542"/>
      <c r="U41" s="542"/>
      <c r="V41" s="542"/>
      <c r="W41" s="542"/>
      <c r="X41" s="542"/>
      <c r="Y41" s="549"/>
    </row>
    <row r="42" spans="3:25" x14ac:dyDescent="0.2">
      <c r="C42" s="709" t="s">
        <v>10</v>
      </c>
      <c r="D42" s="553">
        <f>D77*D36*0.001</f>
        <v>0</v>
      </c>
      <c r="E42" s="553">
        <f t="shared" ref="E42:X42" si="3">(E77-D77)*E36*0.001</f>
        <v>0</v>
      </c>
      <c r="F42" s="553">
        <f t="shared" si="3"/>
        <v>0</v>
      </c>
      <c r="G42" s="553">
        <f t="shared" si="3"/>
        <v>0</v>
      </c>
      <c r="H42" s="553">
        <f t="shared" si="3"/>
        <v>0</v>
      </c>
      <c r="I42" s="553">
        <f t="shared" si="3"/>
        <v>23.011552278000003</v>
      </c>
      <c r="J42" s="553">
        <f t="shared" si="3"/>
        <v>25.140120863714991</v>
      </c>
      <c r="K42" s="553">
        <f t="shared" si="3"/>
        <v>6.5807286627010448</v>
      </c>
      <c r="L42" s="553">
        <f t="shared" si="3"/>
        <v>1.2588452415015687</v>
      </c>
      <c r="M42" s="553">
        <f t="shared" si="3"/>
        <v>1.2877986820560972</v>
      </c>
      <c r="N42" s="553">
        <f t="shared" si="3"/>
        <v>1.317418051743396</v>
      </c>
      <c r="O42" s="553">
        <f t="shared" si="3"/>
        <v>1.3477186669334744</v>
      </c>
      <c r="P42" s="553">
        <f t="shared" si="3"/>
        <v>1.3787161962729626</v>
      </c>
      <c r="Q42" s="553">
        <f t="shared" si="3"/>
        <v>1.4104266687872307</v>
      </c>
      <c r="R42" s="553">
        <f t="shared" si="3"/>
        <v>1.4428664821693482</v>
      </c>
      <c r="S42" s="553">
        <f t="shared" si="3"/>
        <v>1.4760524112592379</v>
      </c>
      <c r="T42" s="553">
        <f t="shared" si="3"/>
        <v>1.5100016167181953</v>
      </c>
      <c r="U42" s="553">
        <f t="shared" si="3"/>
        <v>1.5447316539027209</v>
      </c>
      <c r="V42" s="553">
        <f t="shared" si="3"/>
        <v>1.5802604819424815</v>
      </c>
      <c r="W42" s="553">
        <f t="shared" si="3"/>
        <v>1.616606473027141</v>
      </c>
      <c r="X42" s="553">
        <f t="shared" si="3"/>
        <v>1.653788421906784</v>
      </c>
      <c r="Y42" s="549"/>
    </row>
    <row r="43" spans="3:25" x14ac:dyDescent="0.2">
      <c r="C43" s="709" t="s">
        <v>44</v>
      </c>
      <c r="D43" s="553">
        <v>0</v>
      </c>
      <c r="E43" s="553">
        <f t="shared" ref="E43:X43" si="4">(E78-D78)*E37*0.001</f>
        <v>0</v>
      </c>
      <c r="F43" s="553">
        <f t="shared" si="4"/>
        <v>0</v>
      </c>
      <c r="G43" s="553">
        <f t="shared" si="4"/>
        <v>0</v>
      </c>
      <c r="H43" s="553">
        <f t="shared" si="4"/>
        <v>0</v>
      </c>
      <c r="I43" s="553">
        <f t="shared" si="4"/>
        <v>66.775301999999996</v>
      </c>
      <c r="J43" s="553">
        <f t="shared" si="4"/>
        <v>72.952017434999988</v>
      </c>
      <c r="K43" s="553">
        <f t="shared" si="4"/>
        <v>19.096066989449966</v>
      </c>
      <c r="L43" s="553">
        <f t="shared" si="4"/>
        <v>3.6529378877623309</v>
      </c>
      <c r="M43" s="553">
        <f t="shared" si="4"/>
        <v>3.7369554591808702</v>
      </c>
      <c r="N43" s="553">
        <f t="shared" si="4"/>
        <v>3.8229054347420668</v>
      </c>
      <c r="O43" s="553">
        <f t="shared" si="4"/>
        <v>3.9108322597410616</v>
      </c>
      <c r="P43" s="553">
        <f t="shared" si="4"/>
        <v>4.0007814017151198</v>
      </c>
      <c r="Q43" s="553">
        <f t="shared" si="4"/>
        <v>4.0927993739545929</v>
      </c>
      <c r="R43" s="553">
        <f t="shared" si="4"/>
        <v>4.1869337595555391</v>
      </c>
      <c r="S43" s="553">
        <f t="shared" si="4"/>
        <v>4.2832332360253194</v>
      </c>
      <c r="T43" s="553">
        <f t="shared" si="4"/>
        <v>4.3817476004539069</v>
      </c>
      <c r="U43" s="553">
        <f t="shared" si="4"/>
        <v>4.482527795264339</v>
      </c>
      <c r="V43" s="553">
        <f t="shared" si="4"/>
        <v>4.5856259345554342</v>
      </c>
      <c r="W43" s="553">
        <f t="shared" si="4"/>
        <v>4.6910953310501649</v>
      </c>
      <c r="X43" s="553">
        <f t="shared" si="4"/>
        <v>4.7989905236643482</v>
      </c>
      <c r="Y43" s="549"/>
    </row>
    <row r="44" spans="3:25" x14ac:dyDescent="0.2">
      <c r="C44" s="709" t="s">
        <v>45</v>
      </c>
      <c r="D44" s="553">
        <v>0</v>
      </c>
      <c r="E44" s="553">
        <f t="shared" ref="E44:X44" si="5">(E79-D79)*E38*0.001</f>
        <v>0</v>
      </c>
      <c r="F44" s="553">
        <f t="shared" si="5"/>
        <v>0</v>
      </c>
      <c r="G44" s="553">
        <f t="shared" si="5"/>
        <v>0</v>
      </c>
      <c r="H44" s="553">
        <f t="shared" si="5"/>
        <v>0</v>
      </c>
      <c r="I44" s="553">
        <f t="shared" si="5"/>
        <v>85.458734150328027</v>
      </c>
      <c r="J44" s="553">
        <f t="shared" si="5"/>
        <v>93.363667059233322</v>
      </c>
      <c r="K44" s="553">
        <f t="shared" si="5"/>
        <v>24.439061498640026</v>
      </c>
      <c r="L44" s="553">
        <f t="shared" si="5"/>
        <v>4.6750136422886133</v>
      </c>
      <c r="M44" s="553">
        <f t="shared" si="5"/>
        <v>4.7825389560612237</v>
      </c>
      <c r="N44" s="553">
        <f t="shared" si="5"/>
        <v>4.8925373520507138</v>
      </c>
      <c r="O44" s="553">
        <f t="shared" si="5"/>
        <v>5.0050657111477754</v>
      </c>
      <c r="P44" s="553">
        <f t="shared" si="5"/>
        <v>5.1201822225042619</v>
      </c>
      <c r="Q44" s="553">
        <f t="shared" si="5"/>
        <v>5.2379464136217795</v>
      </c>
      <c r="R44" s="553">
        <f t="shared" si="5"/>
        <v>5.3584191811351447</v>
      </c>
      <c r="S44" s="553">
        <f t="shared" si="5"/>
        <v>5.4816628223012422</v>
      </c>
      <c r="T44" s="553">
        <f t="shared" si="5"/>
        <v>5.6077410672141621</v>
      </c>
      <c r="U44" s="553">
        <f t="shared" si="5"/>
        <v>5.7367191117600687</v>
      </c>
      <c r="V44" s="553">
        <f t="shared" si="5"/>
        <v>5.8686636513305732</v>
      </c>
      <c r="W44" s="553">
        <f t="shared" si="5"/>
        <v>6.003642915311115</v>
      </c>
      <c r="X44" s="553">
        <f t="shared" si="5"/>
        <v>6.1417267023633153</v>
      </c>
      <c r="Y44" s="549"/>
    </row>
    <row r="45" spans="3:25" x14ac:dyDescent="0.2">
      <c r="C45" s="712" t="s">
        <v>167</v>
      </c>
      <c r="D45" s="553">
        <v>0</v>
      </c>
      <c r="E45" s="553">
        <f t="shared" ref="E45:X45" si="6">(E81-D81)*E39*0.001</f>
        <v>0</v>
      </c>
      <c r="F45" s="553">
        <f t="shared" si="6"/>
        <v>0</v>
      </c>
      <c r="G45" s="553">
        <f t="shared" si="6"/>
        <v>0</v>
      </c>
      <c r="H45" s="553">
        <f t="shared" si="6"/>
        <v>0</v>
      </c>
      <c r="I45" s="553">
        <f t="shared" si="6"/>
        <v>472.8523999999976</v>
      </c>
      <c r="J45" s="553">
        <f t="shared" si="6"/>
        <v>10.875605200001155</v>
      </c>
      <c r="K45" s="553">
        <f t="shared" si="6"/>
        <v>11.125744119597949</v>
      </c>
      <c r="L45" s="553">
        <f t="shared" si="6"/>
        <v>11.381636234352483</v>
      </c>
      <c r="M45" s="553">
        <f t="shared" si="6"/>
        <v>11.643413867740311</v>
      </c>
      <c r="N45" s="553">
        <f t="shared" si="6"/>
        <v>11.911212386700209</v>
      </c>
      <c r="O45" s="553">
        <f t="shared" si="6"/>
        <v>12.185170271591051</v>
      </c>
      <c r="P45" s="553">
        <f t="shared" si="6"/>
        <v>12.465429187839618</v>
      </c>
      <c r="Q45" s="553">
        <f t="shared" si="6"/>
        <v>12.752134059160017</v>
      </c>
      <c r="R45" s="553">
        <f t="shared" si="6"/>
        <v>13.045433142519324</v>
      </c>
      <c r="S45" s="553">
        <f t="shared" si="6"/>
        <v>13.345478104799986</v>
      </c>
      <c r="T45" s="553">
        <f t="shared" si="6"/>
        <v>13.652424101208453</v>
      </c>
      <c r="U45" s="553">
        <f t="shared" si="6"/>
        <v>13.966429855534807</v>
      </c>
      <c r="V45" s="553">
        <f t="shared" si="6"/>
        <v>14.287657742213923</v>
      </c>
      <c r="W45" s="553">
        <f t="shared" si="6"/>
        <v>14.616273870284203</v>
      </c>
      <c r="X45" s="553">
        <f t="shared" si="6"/>
        <v>14.95244816930499</v>
      </c>
      <c r="Y45" s="549"/>
    </row>
    <row r="46" spans="3:25" x14ac:dyDescent="0.2">
      <c r="C46" s="713" t="s">
        <v>32</v>
      </c>
      <c r="D46" s="554">
        <f>SUM(D42:D44)*0.001</f>
        <v>0</v>
      </c>
      <c r="E46" s="554">
        <f>SUM(E42:E44)*0.001</f>
        <v>0</v>
      </c>
      <c r="F46" s="554">
        <f>SUM(F42:F44)*0.001</f>
        <v>0</v>
      </c>
      <c r="G46" s="554">
        <f>SUM(G42:G44)*0.001</f>
        <v>0</v>
      </c>
      <c r="H46" s="554">
        <f>SUM(H42:H44)*0.001</f>
        <v>0</v>
      </c>
      <c r="I46" s="554">
        <f>SUM(I42:I45)*0.001</f>
        <v>0.64809798842832567</v>
      </c>
      <c r="J46" s="554">
        <f t="shared" ref="J46:X46" si="7">SUM(J42:J45)*0.001</f>
        <v>0.20233141055794945</v>
      </c>
      <c r="K46" s="554">
        <f>SUM(K42:K45)*0.001</f>
        <v>6.1241601270388982E-2</v>
      </c>
      <c r="L46" s="554">
        <f t="shared" si="7"/>
        <v>2.0968433005905E-2</v>
      </c>
      <c r="M46" s="554">
        <f t="shared" si="7"/>
        <v>2.1450706965038504E-2</v>
      </c>
      <c r="N46" s="554">
        <f t="shared" si="7"/>
        <v>2.1944073225236387E-2</v>
      </c>
      <c r="O46" s="554">
        <f t="shared" si="7"/>
        <v>2.2448786909413366E-2</v>
      </c>
      <c r="P46" s="554">
        <f t="shared" si="7"/>
        <v>2.2965109008331965E-2</v>
      </c>
      <c r="Q46" s="554">
        <f t="shared" si="7"/>
        <v>2.3493306515523622E-2</v>
      </c>
      <c r="R46" s="554">
        <f t="shared" si="7"/>
        <v>2.4033652565379357E-2</v>
      </c>
      <c r="S46" s="554">
        <f t="shared" si="7"/>
        <v>2.4586426574385783E-2</v>
      </c>
      <c r="T46" s="554">
        <f t="shared" si="7"/>
        <v>2.515191438559472E-2</v>
      </c>
      <c r="U46" s="554">
        <f t="shared" si="7"/>
        <v>2.5730408416461934E-2</v>
      </c>
      <c r="V46" s="554">
        <f t="shared" si="7"/>
        <v>2.6322207810042415E-2</v>
      </c>
      <c r="W46" s="554">
        <f t="shared" si="7"/>
        <v>2.6927618589672627E-2</v>
      </c>
      <c r="X46" s="554">
        <f t="shared" si="7"/>
        <v>2.7546953817239438E-2</v>
      </c>
      <c r="Y46" s="549"/>
    </row>
    <row r="47" spans="3:25" x14ac:dyDescent="0.2">
      <c r="C47" s="713"/>
      <c r="D47" s="554"/>
      <c r="E47" s="554"/>
      <c r="F47" s="554"/>
      <c r="G47" s="554"/>
      <c r="H47" s="554"/>
      <c r="I47" s="554"/>
      <c r="J47" s="554"/>
      <c r="K47" s="554"/>
      <c r="L47" s="554"/>
      <c r="M47" s="554"/>
      <c r="N47" s="554"/>
      <c r="O47" s="554"/>
      <c r="P47" s="554"/>
      <c r="Q47" s="554"/>
      <c r="R47" s="554"/>
      <c r="S47" s="554"/>
      <c r="T47" s="554"/>
      <c r="U47" s="554"/>
      <c r="V47" s="554"/>
      <c r="W47" s="554"/>
      <c r="X47" s="554"/>
      <c r="Y47" s="549"/>
    </row>
    <row r="48" spans="3:25" x14ac:dyDescent="0.2">
      <c r="C48" s="708" t="s">
        <v>58</v>
      </c>
      <c r="D48" s="542"/>
      <c r="E48" s="542"/>
      <c r="F48" s="542"/>
      <c r="G48" s="542"/>
      <c r="H48" s="542"/>
      <c r="I48" s="542"/>
      <c r="J48" s="542"/>
      <c r="K48" s="542"/>
      <c r="L48" s="542"/>
      <c r="M48" s="542"/>
      <c r="N48" s="542"/>
      <c r="O48" s="542"/>
      <c r="P48" s="542"/>
      <c r="Q48" s="542"/>
      <c r="R48" s="542"/>
      <c r="S48" s="542"/>
      <c r="T48" s="542"/>
      <c r="U48" s="542"/>
      <c r="V48" s="542"/>
      <c r="W48" s="542"/>
      <c r="X48" s="542"/>
      <c r="Y48" s="549"/>
    </row>
    <row r="49" spans="3:25" x14ac:dyDescent="0.2">
      <c r="C49" s="713" t="s">
        <v>59</v>
      </c>
      <c r="D49" s="707">
        <f>LRMC_energy</f>
        <v>0.21552001999999995</v>
      </c>
      <c r="E49" s="707">
        <f>D49</f>
        <v>0.21552001999999995</v>
      </c>
      <c r="F49" s="707">
        <f t="shared" ref="F49:X49" si="8">E49</f>
        <v>0.21552001999999995</v>
      </c>
      <c r="G49" s="707">
        <f t="shared" si="8"/>
        <v>0.21552001999999995</v>
      </c>
      <c r="H49" s="707">
        <f t="shared" si="8"/>
        <v>0.21552001999999995</v>
      </c>
      <c r="I49" s="707">
        <f t="shared" si="8"/>
        <v>0.21552001999999995</v>
      </c>
      <c r="J49" s="707">
        <f t="shared" si="8"/>
        <v>0.21552001999999995</v>
      </c>
      <c r="K49" s="707">
        <f t="shared" si="8"/>
        <v>0.21552001999999995</v>
      </c>
      <c r="L49" s="707">
        <f t="shared" si="8"/>
        <v>0.21552001999999995</v>
      </c>
      <c r="M49" s="707">
        <f t="shared" si="8"/>
        <v>0.21552001999999995</v>
      </c>
      <c r="N49" s="707">
        <f t="shared" si="8"/>
        <v>0.21552001999999995</v>
      </c>
      <c r="O49" s="707">
        <f t="shared" si="8"/>
        <v>0.21552001999999995</v>
      </c>
      <c r="P49" s="707">
        <f t="shared" si="8"/>
        <v>0.21552001999999995</v>
      </c>
      <c r="Q49" s="707">
        <f t="shared" si="8"/>
        <v>0.21552001999999995</v>
      </c>
      <c r="R49" s="707">
        <f t="shared" si="8"/>
        <v>0.21552001999999995</v>
      </c>
      <c r="S49" s="707">
        <f t="shared" si="8"/>
        <v>0.21552001999999995</v>
      </c>
      <c r="T49" s="707">
        <f t="shared" si="8"/>
        <v>0.21552001999999995</v>
      </c>
      <c r="U49" s="707">
        <f t="shared" si="8"/>
        <v>0.21552001999999995</v>
      </c>
      <c r="V49" s="707">
        <f t="shared" si="8"/>
        <v>0.21552001999999995</v>
      </c>
      <c r="W49" s="707">
        <f t="shared" si="8"/>
        <v>0.21552001999999995</v>
      </c>
      <c r="X49" s="707">
        <f t="shared" si="8"/>
        <v>0.21552001999999995</v>
      </c>
      <c r="Y49" s="549"/>
    </row>
    <row r="50" spans="3:25" x14ac:dyDescent="0.2">
      <c r="C50" s="713"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549"/>
    </row>
    <row r="51" spans="3:25" x14ac:dyDescent="0.2">
      <c r="C51" s="713"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549"/>
    </row>
    <row r="52" spans="3:25" x14ac:dyDescent="0.2">
      <c r="C52" s="713" t="s">
        <v>60</v>
      </c>
      <c r="D52" s="558">
        <f t="shared" ref="D52:X52" si="9">IF(D23=1,(D49*D117*(1+D50)*(1+D51)),0)</f>
        <v>0</v>
      </c>
      <c r="E52" s="558">
        <f t="shared" si="9"/>
        <v>0</v>
      </c>
      <c r="F52" s="558">
        <f t="shared" si="9"/>
        <v>0</v>
      </c>
      <c r="G52" s="558">
        <f t="shared" si="9"/>
        <v>0</v>
      </c>
      <c r="H52" s="558">
        <f t="shared" si="9"/>
        <v>0</v>
      </c>
      <c r="I52" s="558">
        <f t="shared" si="9"/>
        <v>0.22723352618368872</v>
      </c>
      <c r="J52" s="558">
        <f t="shared" si="9"/>
        <v>0.4802410150747623</v>
      </c>
      <c r="K52" s="558">
        <f t="shared" si="9"/>
        <v>0.55133269333966284</v>
      </c>
      <c r="L52" s="558">
        <f t="shared" si="9"/>
        <v>0.56965347873934002</v>
      </c>
      <c r="M52" s="558">
        <f t="shared" si="9"/>
        <v>0.58858306383784809</v>
      </c>
      <c r="N52" s="558">
        <f t="shared" si="9"/>
        <v>0.60814167904917993</v>
      </c>
      <c r="O52" s="558">
        <f t="shared" si="9"/>
        <v>0.6283502270439838</v>
      </c>
      <c r="P52" s="558">
        <f t="shared" si="9"/>
        <v>0.64923030508865542</v>
      </c>
      <c r="Q52" s="558">
        <f t="shared" si="9"/>
        <v>0.67080422812675133</v>
      </c>
      <c r="R52" s="558">
        <f t="shared" si="9"/>
        <v>0.69309505262740345</v>
      </c>
      <c r="S52" s="558">
        <f t="shared" si="9"/>
        <v>0.71612660122621175</v>
      </c>
      <c r="T52" s="558">
        <f t="shared" si="9"/>
        <v>0.73992348818495868</v>
      </c>
      <c r="U52" s="558">
        <f t="shared" si="9"/>
        <v>0.7645111456973448</v>
      </c>
      <c r="V52" s="558">
        <f t="shared" si="9"/>
        <v>0.78991585106886775</v>
      </c>
      <c r="W52" s="558">
        <f t="shared" si="9"/>
        <v>0.81616475479988593</v>
      </c>
      <c r="X52" s="558">
        <f t="shared" si="9"/>
        <v>0.8432859096018861</v>
      </c>
      <c r="Y52" s="549"/>
    </row>
    <row r="53" spans="3:25" x14ac:dyDescent="0.2">
      <c r="C53" s="703"/>
      <c r="D53" s="542"/>
      <c r="E53" s="542"/>
      <c r="F53" s="542"/>
      <c r="G53" s="542"/>
      <c r="H53" s="714"/>
      <c r="I53" s="542"/>
      <c r="J53" s="542"/>
      <c r="K53" s="542"/>
      <c r="L53" s="542"/>
      <c r="M53" s="542"/>
      <c r="N53" s="542"/>
      <c r="O53" s="542"/>
      <c r="P53" s="542"/>
      <c r="Q53" s="542"/>
      <c r="R53" s="542"/>
      <c r="S53" s="542"/>
      <c r="T53" s="542"/>
      <c r="U53" s="542"/>
      <c r="V53" s="542"/>
      <c r="W53" s="542"/>
      <c r="X53" s="542"/>
      <c r="Y53" s="549"/>
    </row>
    <row r="54" spans="3:25" x14ac:dyDescent="0.2">
      <c r="C54" s="708" t="s">
        <v>77</v>
      </c>
      <c r="D54" s="553"/>
      <c r="E54" s="553"/>
      <c r="F54" s="542"/>
      <c r="G54" s="542"/>
      <c r="H54" s="542"/>
      <c r="I54" s="542"/>
      <c r="J54" s="542"/>
      <c r="K54" s="542"/>
      <c r="L54" s="542"/>
      <c r="M54" s="542"/>
      <c r="N54" s="542"/>
      <c r="O54" s="542"/>
      <c r="P54" s="542"/>
      <c r="Q54" s="542"/>
      <c r="R54" s="542"/>
      <c r="S54" s="542"/>
      <c r="T54" s="542"/>
      <c r="U54" s="542"/>
      <c r="V54" s="542"/>
      <c r="W54" s="542"/>
      <c r="X54" s="542"/>
      <c r="Y54" s="549"/>
    </row>
    <row r="55" spans="3:25" x14ac:dyDescent="0.2">
      <c r="C55" s="713" t="s">
        <v>352</v>
      </c>
      <c r="D55" s="711">
        <v>0</v>
      </c>
      <c r="E55" s="711">
        <f>Assumptions!I19/E24/10^6</f>
        <v>5.184218572520246E-2</v>
      </c>
      <c r="F55" s="711">
        <v>0</v>
      </c>
      <c r="G55" s="711">
        <v>0</v>
      </c>
      <c r="H55" s="711">
        <v>0</v>
      </c>
      <c r="I55" s="711">
        <v>0</v>
      </c>
      <c r="J55" s="711"/>
      <c r="K55" s="711"/>
      <c r="L55" s="711"/>
      <c r="M55" s="711"/>
      <c r="N55" s="711"/>
      <c r="O55" s="711"/>
      <c r="P55" s="711"/>
      <c r="Q55" s="711"/>
      <c r="R55" s="711"/>
      <c r="S55" s="711"/>
      <c r="T55" s="711"/>
      <c r="U55" s="711"/>
      <c r="V55" s="711"/>
      <c r="W55" s="711"/>
      <c r="X55" s="711"/>
      <c r="Y55" s="549"/>
    </row>
    <row r="56" spans="3:25" x14ac:dyDescent="0.2">
      <c r="C56" s="713" t="s">
        <v>29</v>
      </c>
      <c r="D56" s="711">
        <v>0</v>
      </c>
      <c r="E56" s="711">
        <f>E27*Assumptions!$J$19/E24/10^6</f>
        <v>1.0383500844873743E-2</v>
      </c>
      <c r="F56" s="711">
        <f>F27*Assumptions!$J$19/F24/10^6</f>
        <v>5.8536986012975724E-2</v>
      </c>
      <c r="G56" s="711">
        <f>G27*Assumptions!$J$19/G24/10^6</f>
        <v>0.56179584512261171</v>
      </c>
      <c r="H56" s="711">
        <f>H27*Assumptions!$J$19/H24/10^6</f>
        <v>0.52769525972656017</v>
      </c>
      <c r="I56" s="711">
        <f>I27*Assumptions!$J$19/I24/10^6</f>
        <v>0.66843558607341513</v>
      </c>
      <c r="J56" s="711"/>
      <c r="K56" s="711"/>
      <c r="L56" s="711"/>
      <c r="M56" s="711"/>
      <c r="N56" s="711"/>
      <c r="O56" s="711"/>
      <c r="P56" s="711"/>
      <c r="Q56" s="711"/>
      <c r="R56" s="711"/>
      <c r="S56" s="711"/>
      <c r="T56" s="711"/>
      <c r="U56" s="711"/>
      <c r="V56" s="711"/>
      <c r="W56" s="711"/>
      <c r="X56" s="711"/>
      <c r="Y56" s="549"/>
    </row>
    <row r="57" spans="3:25" x14ac:dyDescent="0.2">
      <c r="C57" s="709" t="s">
        <v>79</v>
      </c>
      <c r="D57" s="711">
        <f>SUM(D55:D56)</f>
        <v>0</v>
      </c>
      <c r="E57" s="711">
        <f>SUM(E55:E56)</f>
        <v>6.2225686570076204E-2</v>
      </c>
      <c r="F57" s="711">
        <f t="shared" ref="F57:I57" si="10">SUM(F55:F56)</f>
        <v>5.8536986012975724E-2</v>
      </c>
      <c r="G57" s="711">
        <f t="shared" si="10"/>
        <v>0.56179584512261171</v>
      </c>
      <c r="H57" s="711">
        <f t="shared" si="10"/>
        <v>0.52769525972656017</v>
      </c>
      <c r="I57" s="711">
        <f t="shared" si="10"/>
        <v>0.66843558607341513</v>
      </c>
      <c r="J57" s="711"/>
      <c r="K57" s="711"/>
      <c r="L57" s="711"/>
      <c r="M57" s="711"/>
      <c r="N57" s="711"/>
      <c r="O57" s="711"/>
      <c r="P57" s="711"/>
      <c r="Q57" s="711"/>
      <c r="R57" s="711"/>
      <c r="S57" s="711"/>
      <c r="T57" s="711"/>
      <c r="U57" s="711"/>
      <c r="V57" s="711"/>
      <c r="W57" s="711"/>
      <c r="X57" s="711"/>
      <c r="Y57" s="549"/>
    </row>
    <row r="58" spans="3:25"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549"/>
    </row>
    <row r="59" spans="3:25" x14ac:dyDescent="0.2">
      <c r="C59" s="708" t="s">
        <v>363</v>
      </c>
      <c r="D59" s="711">
        <v>0</v>
      </c>
      <c r="E59" s="711">
        <f>E$27*Assumptions!$K$19/E24/10^6</f>
        <v>4.9974491283417246E-3</v>
      </c>
      <c r="F59" s="711">
        <f>F$27*Assumptions!$K$19/F24/10^6</f>
        <v>2.817311946102647E-2</v>
      </c>
      <c r="G59" s="711">
        <f>G$27*Assumptions!$K$19/G24/10^6</f>
        <v>0.27038531594092013</v>
      </c>
      <c r="H59" s="711">
        <f>H$27*Assumptions!$K$19/H24/10^6</f>
        <v>0.25397313056053633</v>
      </c>
      <c r="I59" s="711">
        <f>I$27*Assumptions!$K$19/I24/10^6</f>
        <v>0.32170968990909699</v>
      </c>
      <c r="J59" s="711"/>
      <c r="K59" s="711"/>
      <c r="L59" s="711"/>
      <c r="M59" s="711"/>
      <c r="N59" s="711"/>
      <c r="O59" s="711"/>
      <c r="P59" s="711"/>
      <c r="Q59" s="711"/>
      <c r="R59" s="711"/>
      <c r="S59" s="711"/>
      <c r="T59" s="711"/>
      <c r="U59" s="711"/>
      <c r="V59" s="711"/>
      <c r="W59" s="711"/>
      <c r="X59" s="711"/>
      <c r="Y59" s="549"/>
    </row>
    <row r="60" spans="3:25" x14ac:dyDescent="0.2">
      <c r="C60" s="708" t="s">
        <v>364</v>
      </c>
      <c r="D60" s="711">
        <v>0</v>
      </c>
      <c r="E60" s="711">
        <f>E$27*Assumptions!$L$19/E24/10^6</f>
        <v>2.2646919475170844E-3</v>
      </c>
      <c r="F60" s="711">
        <f>F$27*Assumptions!$L$19/F24/10^6</f>
        <v>1.2767200854127563E-2</v>
      </c>
      <c r="G60" s="711">
        <f>G$27*Assumptions!$L$19/G24/10^6</f>
        <v>0.12253040141330139</v>
      </c>
      <c r="H60" s="711">
        <f>H$27*Assumptions!$L$19/H24/10^6</f>
        <v>0.11509289817563535</v>
      </c>
      <c r="I60" s="711">
        <f>I$27*Assumptions!$L$19/I24/10^6</f>
        <v>0.14578904666451473</v>
      </c>
      <c r="J60" s="711"/>
      <c r="K60" s="711"/>
      <c r="L60" s="711"/>
      <c r="M60" s="711"/>
      <c r="N60" s="711"/>
      <c r="O60" s="711"/>
      <c r="P60" s="711"/>
      <c r="Q60" s="711"/>
      <c r="R60" s="711"/>
      <c r="S60" s="711"/>
      <c r="T60" s="711"/>
      <c r="U60" s="711"/>
      <c r="V60" s="711"/>
      <c r="W60" s="711"/>
      <c r="X60" s="711"/>
      <c r="Y60" s="549"/>
    </row>
    <row r="61" spans="3:25"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549"/>
    </row>
    <row r="62" spans="3:25" x14ac:dyDescent="0.2">
      <c r="C62" s="716" t="s">
        <v>100</v>
      </c>
      <c r="D62" s="711">
        <f>SUM(D28:D29,D31:D33,D46,D52,D57,D59:D60)*'ERR &amp; Sensitivity Analysis'!$G$9</f>
        <v>0</v>
      </c>
      <c r="E62" s="711">
        <f>SUM(E28:E29,E31:E33,E46,E52,E57,E59:E60)*'ERR &amp; Sensitivity Analysis'!$G$9</f>
        <v>0.43120533887006457</v>
      </c>
      <c r="F62" s="711">
        <f>SUM(F28:F29,F31:F33,F46,F52,F57,F59:F60)*'ERR &amp; Sensitivity Analysis'!$G$9</f>
        <v>0.78885234697429851</v>
      </c>
      <c r="G62" s="711">
        <f>SUM(G28:G29,G31:G33,G46,G52,G57,G59:G60)*'ERR &amp; Sensitivity Analysis'!$G$9</f>
        <v>7.624728970447709</v>
      </c>
      <c r="H62" s="711">
        <f>SUM(H28:H29,H31:H33,H46,H52,H57,H59:H60)*'ERR &amp; Sensitivity Analysis'!$G$9</f>
        <v>7.2180343941146878</v>
      </c>
      <c r="I62" s="711">
        <f>SUM(I28:I29,I31:I33,I46,I52,I57,I59:I60)*'ERR &amp; Sensitivity Analysis'!$G$9</f>
        <v>10.097282560545692</v>
      </c>
      <c r="J62" s="711">
        <f>SUM(J28:J29,J31:J33,J46,J52,J57,J59:J60)*'ERR &amp; Sensitivity Analysis'!$G$9</f>
        <v>1.2877040494000302</v>
      </c>
      <c r="K62" s="711">
        <f>SUM(K28:K29,K31:K33,K46,K52,K57,K59:K60)*'ERR &amp; Sensitivity Analysis'!$G$9</f>
        <v>0.61257429461005186</v>
      </c>
      <c r="L62" s="711">
        <f>SUM(L28:L29,L31:L33,L46,L52,L57,L59:L60)*'ERR &amp; Sensitivity Analysis'!$G$9</f>
        <v>0.59062191174524503</v>
      </c>
      <c r="M62" s="711">
        <f>SUM(M28:M29,M31:M33,M46,M52,M57,M59:M60)*'ERR &amp; Sensitivity Analysis'!$G$9</f>
        <v>0.61003377080288657</v>
      </c>
      <c r="N62" s="711">
        <f>SUM(N28:N29,N31:N33,N46,N52,N57,N59:N60)*'ERR &amp; Sensitivity Analysis'!$G$9</f>
        <v>0.63008575227441632</v>
      </c>
      <c r="O62" s="711">
        <f>SUM(O28:O29,O31:O33,O46,O52,O57,O59:O60)*'ERR &amp; Sensitivity Analysis'!$G$9</f>
        <v>0.65079901395339712</v>
      </c>
      <c r="P62" s="711">
        <f>SUM(P28:P29,P31:P33,P46,P52,P57,P59:P60)*'ERR &amp; Sensitivity Analysis'!$G$9</f>
        <v>0.67219541409698735</v>
      </c>
      <c r="Q62" s="711">
        <f>SUM(Q28:Q29,Q31:Q33,Q46,Q52,Q57,Q59:Q60)*'ERR &amp; Sensitivity Analysis'!$G$9</f>
        <v>0.69429753464227495</v>
      </c>
      <c r="R62" s="711">
        <f>SUM(R28:R29,R31:R33,R46,R52,R57,R59:R60)*'ERR &amp; Sensitivity Analysis'!$G$9</f>
        <v>0.71712870519278282</v>
      </c>
      <c r="S62" s="711">
        <f>SUM(S28:S29,S31:S33,S46,S52,S57,S59:S60)*'ERR &amp; Sensitivity Analysis'!$G$9</f>
        <v>0.74071302780059756</v>
      </c>
      <c r="T62" s="711">
        <f>SUM(T28:T29,T31:T33,T46,T52,T57,T59:T60)*'ERR &amp; Sensitivity Analysis'!$G$9</f>
        <v>0.7650754025705534</v>
      </c>
      <c r="U62" s="711">
        <f>SUM(U28:U29,U31:U33,U46,U52,U57,U59:U60)*'ERR &amp; Sensitivity Analysis'!$G$9</f>
        <v>0.7902415541138067</v>
      </c>
      <c r="V62" s="711">
        <f>SUM(V28:V29,V31:V33,V46,V52,V57,V59:V60)*'ERR &amp; Sensitivity Analysis'!$G$9</f>
        <v>0.81623805887891021</v>
      </c>
      <c r="W62" s="711">
        <f>SUM(W28:W29,W31:W33,W46,W52,W57,W59:W60)*'ERR &amp; Sensitivity Analysis'!$G$9</f>
        <v>0.84309237338955856</v>
      </c>
      <c r="X62" s="711">
        <f>SUM(X28:X29,X31:X33,X46,X52,X57,X59:X60)*'ERR &amp; Sensitivity Analysis'!$G$9</f>
        <v>0.87083286341912558</v>
      </c>
      <c r="Y62" s="549"/>
    </row>
    <row r="63" spans="3:25" x14ac:dyDescent="0.2">
      <c r="C63" s="708" t="s">
        <v>367</v>
      </c>
      <c r="D63" s="711">
        <f>SUM(D28,D31:D33,D57,D59:D60)</f>
        <v>0</v>
      </c>
      <c r="E63" s="711">
        <f>SUM(E28,E31:E33,E57,E59:E60)</f>
        <v>0.43120533887006457</v>
      </c>
      <c r="F63" s="711">
        <f t="shared" ref="F63:I63" si="11">SUM(F28,F31:F33,F57,F59:F60)</f>
        <v>0.78885234697429851</v>
      </c>
      <c r="G63" s="711">
        <f t="shared" si="11"/>
        <v>7.624728970447709</v>
      </c>
      <c r="H63" s="711">
        <f t="shared" si="11"/>
        <v>7.2180343941146878</v>
      </c>
      <c r="I63" s="711">
        <f t="shared" si="11"/>
        <v>9.2219510459336771</v>
      </c>
      <c r="J63" s="711"/>
      <c r="K63" s="711"/>
      <c r="L63" s="711"/>
      <c r="M63" s="711"/>
      <c r="N63" s="711"/>
      <c r="O63" s="711"/>
      <c r="P63" s="711"/>
      <c r="Q63" s="711"/>
      <c r="R63" s="711"/>
      <c r="S63" s="711"/>
      <c r="T63" s="711"/>
      <c r="U63" s="711"/>
      <c r="V63" s="711"/>
      <c r="W63" s="711"/>
      <c r="X63" s="711"/>
      <c r="Y63" s="549"/>
    </row>
    <row r="64" spans="3:25" ht="13.5" thickBot="1" x14ac:dyDescent="0.25">
      <c r="C64" s="540"/>
      <c r="D64" s="717"/>
      <c r="E64" s="717"/>
      <c r="F64" s="717"/>
      <c r="G64" s="717"/>
      <c r="H64" s="717"/>
      <c r="I64" s="717"/>
      <c r="J64" s="717"/>
      <c r="K64" s="717"/>
      <c r="L64" s="717"/>
      <c r="M64" s="717"/>
      <c r="N64" s="717"/>
      <c r="O64" s="717"/>
      <c r="P64" s="717"/>
      <c r="Q64" s="717"/>
      <c r="R64" s="717"/>
      <c r="S64" s="717"/>
      <c r="T64" s="717"/>
      <c r="U64" s="717"/>
      <c r="V64" s="717"/>
      <c r="W64" s="717"/>
      <c r="X64" s="717"/>
      <c r="Y64" s="700"/>
    </row>
    <row r="65" spans="3:29" x14ac:dyDescent="0.2">
      <c r="Q65" s="624"/>
    </row>
    <row r="66" spans="3:29" ht="13.5" thickBot="1" x14ac:dyDescent="0.25">
      <c r="C66" s="542"/>
      <c r="F66" s="542"/>
      <c r="G66" s="542"/>
      <c r="H66" s="542"/>
      <c r="I66" s="542"/>
    </row>
    <row r="67" spans="3:29" ht="28.5" customHeight="1" x14ac:dyDescent="0.2">
      <c r="C67" s="530" t="s">
        <v>614</v>
      </c>
      <c r="D67" s="947" t="s">
        <v>617</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29"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29" x14ac:dyDescent="0.2">
      <c r="C69" s="536"/>
      <c r="D69" s="537">
        <v>78</v>
      </c>
      <c r="E69" s="537">
        <v>500</v>
      </c>
      <c r="F69" s="537">
        <f>E70-E69-D69</f>
        <v>466.19440000000009</v>
      </c>
      <c r="G69" s="538">
        <v>15000</v>
      </c>
      <c r="H69" s="538">
        <v>1968</v>
      </c>
      <c r="I69" s="538">
        <v>1764</v>
      </c>
      <c r="J69" s="539">
        <f>custnopa</f>
        <v>2.3E-2</v>
      </c>
      <c r="K69" s="539">
        <f>Assumptions!D62</f>
        <v>2.3E-2</v>
      </c>
      <c r="L69" s="539">
        <f>Assumptions!E62</f>
        <v>2.3E-2</v>
      </c>
      <c r="M69" s="539">
        <f>unitconspa</f>
        <v>0.01</v>
      </c>
      <c r="N69" s="539">
        <f>Assumptions!D61</f>
        <v>0.01</v>
      </c>
      <c r="O69" s="539">
        <f>Assumptions!E61</f>
        <v>0.01</v>
      </c>
      <c r="P69" s="743">
        <f>G69*D69*0.001</f>
        <v>1170</v>
      </c>
      <c r="Q69" s="743">
        <f>H69*E69*0.001*Assumptions!$C14</f>
        <v>738</v>
      </c>
      <c r="R69" s="743">
        <f>I69*F69*0.001*Assumptions!$C13</f>
        <v>411.18346080000009</v>
      </c>
      <c r="S69" s="538">
        <f>(SUM(P69:R69)/8.76)/T69</f>
        <v>490.07808272578785</v>
      </c>
      <c r="T69" s="684">
        <f>SUMPRODUCT(P69:R69,P70:R70)/SUM(P69:R69)</f>
        <v>0.54021385518497489</v>
      </c>
      <c r="U69" s="118" t="str">
        <f>IF(S69/X69&gt;1,"Constrained"," ")</f>
        <v xml:space="preserve"> </v>
      </c>
      <c r="V69" s="538">
        <v>5644</v>
      </c>
      <c r="W69" s="538">
        <v>1</v>
      </c>
      <c r="X69" s="538">
        <f>V69*W69</f>
        <v>5644</v>
      </c>
      <c r="Y69" s="710">
        <f>Assumptions!C19*10^-6</f>
        <v>5.9013201550330967</v>
      </c>
      <c r="Z69" s="710">
        <f>Assumptions!D19*10^-6</f>
        <v>11.135462483339104</v>
      </c>
      <c r="AA69" s="710">
        <f>SUMPRODUCT(Y69:Z69,AB69:AC69)</f>
        <v>17.036782638372202</v>
      </c>
      <c r="AB69" s="111">
        <f>Assumptions!F8</f>
        <v>1</v>
      </c>
      <c r="AC69" s="550">
        <f>Assumptions!G8</f>
        <v>1</v>
      </c>
    </row>
    <row r="70" spans="3:29" x14ac:dyDescent="0.2">
      <c r="C70" s="703"/>
      <c r="D70" s="748" t="s">
        <v>0</v>
      </c>
      <c r="E70" s="537">
        <f>Summary!D48</f>
        <v>1044.1944000000001</v>
      </c>
      <c r="F70" s="537">
        <f>SUM(D69:F69)</f>
        <v>1044.1944000000001</v>
      </c>
      <c r="G70" s="538"/>
      <c r="H70" s="538"/>
      <c r="I70" s="538"/>
      <c r="J70" s="539"/>
      <c r="K70" s="539"/>
      <c r="L70" s="539"/>
      <c r="M70" s="539"/>
      <c r="N70" s="539"/>
      <c r="O70" s="539"/>
      <c r="P70" s="684">
        <f>Assumptions!F55</f>
        <v>0.65</v>
      </c>
      <c r="Q70" s="684">
        <f>Assumptions!F56</f>
        <v>0.5</v>
      </c>
      <c r="R70" s="684">
        <f>Assumptions!F57</f>
        <v>0.3</v>
      </c>
      <c r="S70" s="744">
        <f>S69/E70</f>
        <v>0.46933605727610472</v>
      </c>
      <c r="T70" s="684"/>
      <c r="U70" s="111"/>
      <c r="V70" s="542"/>
      <c r="W70" s="542"/>
      <c r="X70" s="558">
        <f>X69/S69</f>
        <v>11.516532158729435</v>
      </c>
      <c r="Y70" s="710"/>
      <c r="Z70" s="710"/>
      <c r="AA70" s="710"/>
      <c r="AB70" s="542"/>
      <c r="AC70" s="549"/>
    </row>
    <row r="71" spans="3:29" x14ac:dyDescent="0.2">
      <c r="C71" s="703"/>
      <c r="D71" s="542"/>
      <c r="E71" s="542"/>
      <c r="F71" s="542"/>
      <c r="G71" s="542"/>
      <c r="H71" s="542"/>
      <c r="I71" s="542"/>
      <c r="J71" s="542"/>
      <c r="K71" s="542"/>
      <c r="L71" s="542"/>
      <c r="M71" s="542"/>
      <c r="N71" s="542"/>
      <c r="O71" s="542"/>
      <c r="P71" s="542"/>
      <c r="Q71" s="542" t="s">
        <v>64</v>
      </c>
      <c r="R71" s="538">
        <f>IF(R69=0,0,(SUM(P69:R69)/SUM(D69:F69))*1000)</f>
        <v>2221.0265260951405</v>
      </c>
      <c r="S71" s="542"/>
      <c r="T71" s="542"/>
      <c r="U71" s="542"/>
      <c r="V71" s="542"/>
      <c r="W71" s="542"/>
      <c r="X71" s="542"/>
      <c r="Y71" s="542"/>
      <c r="Z71" s="542"/>
      <c r="AA71" s="542"/>
      <c r="AB71" s="542"/>
      <c r="AC71" s="549"/>
    </row>
    <row r="72" spans="3:29" x14ac:dyDescent="0.2">
      <c r="C72" s="548"/>
      <c r="D72" s="542"/>
      <c r="E72" s="542"/>
      <c r="F72" s="542"/>
      <c r="G72" s="542"/>
      <c r="H72" s="740" t="s">
        <v>175</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542"/>
      <c r="Z72" s="542"/>
      <c r="AA72" s="542"/>
      <c r="AB72" s="542"/>
      <c r="AC72" s="549"/>
    </row>
    <row r="73" spans="3:29" x14ac:dyDescent="0.2">
      <c r="C73" s="548"/>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9"/>
    </row>
    <row r="74" spans="3:29" s="240" customFormat="1" x14ac:dyDescent="0.2">
      <c r="C74" s="548"/>
      <c r="D74" s="111">
        <f t="shared" ref="D74:X74" si="12">D22</f>
        <v>2008</v>
      </c>
      <c r="E74" s="111">
        <f t="shared" si="12"/>
        <v>2009</v>
      </c>
      <c r="F74" s="111">
        <f t="shared" si="12"/>
        <v>2010</v>
      </c>
      <c r="G74" s="111">
        <f t="shared" si="12"/>
        <v>2011</v>
      </c>
      <c r="H74" s="111">
        <f t="shared" si="12"/>
        <v>2012</v>
      </c>
      <c r="I74" s="111">
        <f t="shared" si="12"/>
        <v>2013</v>
      </c>
      <c r="J74" s="111">
        <f t="shared" si="12"/>
        <v>2014</v>
      </c>
      <c r="K74" s="111">
        <f t="shared" si="12"/>
        <v>2015</v>
      </c>
      <c r="L74" s="111">
        <f t="shared" si="12"/>
        <v>2016</v>
      </c>
      <c r="M74" s="111">
        <f t="shared" si="12"/>
        <v>2017</v>
      </c>
      <c r="N74" s="111">
        <f t="shared" si="12"/>
        <v>2018</v>
      </c>
      <c r="O74" s="111">
        <f t="shared" si="12"/>
        <v>2019</v>
      </c>
      <c r="P74" s="111">
        <f t="shared" si="12"/>
        <v>2020</v>
      </c>
      <c r="Q74" s="111">
        <f t="shared" si="12"/>
        <v>2021</v>
      </c>
      <c r="R74" s="111">
        <f t="shared" si="12"/>
        <v>2022</v>
      </c>
      <c r="S74" s="111">
        <f t="shared" si="12"/>
        <v>2023</v>
      </c>
      <c r="T74" s="111">
        <f t="shared" si="12"/>
        <v>2024</v>
      </c>
      <c r="U74" s="111">
        <f t="shared" si="12"/>
        <v>2025</v>
      </c>
      <c r="V74" s="111">
        <f t="shared" si="12"/>
        <v>2026</v>
      </c>
      <c r="W74" s="111">
        <f t="shared" si="12"/>
        <v>2027</v>
      </c>
      <c r="X74" s="111">
        <f t="shared" si="12"/>
        <v>2028</v>
      </c>
      <c r="Y74" s="111"/>
      <c r="Z74" s="111"/>
      <c r="AA74" s="111"/>
      <c r="AB74" s="111"/>
      <c r="AC74" s="550"/>
    </row>
    <row r="75" spans="3:29" x14ac:dyDescent="0.2">
      <c r="C75" s="551" t="s">
        <v>33</v>
      </c>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9"/>
    </row>
    <row r="76" spans="3:29" x14ac:dyDescent="0.2">
      <c r="C76" s="551"/>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9"/>
    </row>
    <row r="77" spans="3:29" x14ac:dyDescent="0.2">
      <c r="C77" s="552" t="s">
        <v>10</v>
      </c>
      <c r="D77" s="553">
        <f>$D$69*(1+$J$69)^D$21*(D$23=1)</f>
        <v>0</v>
      </c>
      <c r="E77" s="553">
        <f>$D$69*(1+$J$69)^E$21*(E$23=1)</f>
        <v>0</v>
      </c>
      <c r="F77" s="553">
        <f>$D$69*(1+$J$69)^F$21*(F$23=1)</f>
        <v>0</v>
      </c>
      <c r="G77" s="553">
        <f>$D$69*(1+$J$69)^G$21*(G$23=1)</f>
        <v>0</v>
      </c>
      <c r="H77" s="542">
        <f>$D$69*(1+$J$69)^H$21*(H$23=1)</f>
        <v>0</v>
      </c>
      <c r="I77" s="553">
        <f t="shared" ref="I77:X77" si="13">IF(H96=0,$D$69*(1+$J$69)^I$21*(I$23)*I72,H77)*$AB$69</f>
        <v>35.109360000000002</v>
      </c>
      <c r="J77" s="553">
        <f t="shared" si="13"/>
        <v>73.466335799999982</v>
      </c>
      <c r="K77" s="553">
        <f t="shared" si="13"/>
        <v>83.506735025999973</v>
      </c>
      <c r="L77" s="553">
        <f t="shared" si="13"/>
        <v>85.427389931597972</v>
      </c>
      <c r="M77" s="553">
        <f t="shared" si="13"/>
        <v>87.392219900024713</v>
      </c>
      <c r="N77" s="553">
        <f t="shared" si="13"/>
        <v>89.402240957725283</v>
      </c>
      <c r="O77" s="553">
        <f t="shared" si="13"/>
        <v>91.458492499752936</v>
      </c>
      <c r="P77" s="553">
        <f t="shared" si="13"/>
        <v>93.562037827247252</v>
      </c>
      <c r="Q77" s="553">
        <f t="shared" si="13"/>
        <v>95.713964697273923</v>
      </c>
      <c r="R77" s="553">
        <f t="shared" si="13"/>
        <v>97.915385885311224</v>
      </c>
      <c r="S77" s="553">
        <f t="shared" si="13"/>
        <v>100.16743976067337</v>
      </c>
      <c r="T77" s="553">
        <f t="shared" si="13"/>
        <v>102.47129087516885</v>
      </c>
      <c r="U77" s="553">
        <f t="shared" si="13"/>
        <v>104.82813056529773</v>
      </c>
      <c r="V77" s="553">
        <f t="shared" si="13"/>
        <v>107.23917756829957</v>
      </c>
      <c r="W77" s="553">
        <f t="shared" si="13"/>
        <v>109.70567865237042</v>
      </c>
      <c r="X77" s="553">
        <f t="shared" si="13"/>
        <v>112.22890926137494</v>
      </c>
      <c r="Y77" s="542"/>
      <c r="Z77" s="542"/>
      <c r="AA77" s="542"/>
      <c r="AB77" s="542"/>
      <c r="AC77" s="549"/>
    </row>
    <row r="78" spans="3:29" x14ac:dyDescent="0.2">
      <c r="C78" s="552" t="s">
        <v>44</v>
      </c>
      <c r="D78" s="553">
        <f>$E$69*(1+$K$69)^D$21*(D$23=1)</f>
        <v>0</v>
      </c>
      <c r="E78" s="553">
        <f>$E$69*(1+$K$69)^E$21*(E$23=1)</f>
        <v>0</v>
      </c>
      <c r="F78" s="553">
        <f>$E$69*(1+$K$69)^F$21*(F$23=1)</f>
        <v>0</v>
      </c>
      <c r="G78" s="553">
        <f>$E$69*(1+$K$69)^G$21*(G$23=1)</f>
        <v>0</v>
      </c>
      <c r="H78" s="542">
        <f>$E$69*(1+$K$69)^H$21*(H$23=1)</f>
        <v>0</v>
      </c>
      <c r="I78" s="553">
        <f t="shared" ref="I78:X78" si="14">IF(H96=0,$E$69*(1+$K$69)^I$21*(I$23)*I72,H78)*$AB$69</f>
        <v>225.05999999999997</v>
      </c>
      <c r="J78" s="553">
        <f t="shared" si="14"/>
        <v>470.93804999999992</v>
      </c>
      <c r="K78" s="553">
        <f t="shared" si="14"/>
        <v>535.29958349999981</v>
      </c>
      <c r="L78" s="553">
        <f t="shared" si="14"/>
        <v>547.61147392049975</v>
      </c>
      <c r="M78" s="553">
        <f t="shared" si="14"/>
        <v>560.2065378206712</v>
      </c>
      <c r="N78" s="553">
        <f t="shared" si="14"/>
        <v>573.09128819054672</v>
      </c>
      <c r="O78" s="553">
        <f t="shared" si="14"/>
        <v>586.27238781892913</v>
      </c>
      <c r="P78" s="553">
        <f t="shared" si="14"/>
        <v>599.75665273876439</v>
      </c>
      <c r="Q78" s="553">
        <f t="shared" si="14"/>
        <v>613.55105575175594</v>
      </c>
      <c r="R78" s="553">
        <f t="shared" si="14"/>
        <v>627.66273003404626</v>
      </c>
      <c r="S78" s="553">
        <f t="shared" si="14"/>
        <v>642.09897282482927</v>
      </c>
      <c r="T78" s="553">
        <f t="shared" si="14"/>
        <v>656.86724919980031</v>
      </c>
      <c r="U78" s="553">
        <f t="shared" si="14"/>
        <v>671.97519593139566</v>
      </c>
      <c r="V78" s="553">
        <f t="shared" si="14"/>
        <v>687.43062543781775</v>
      </c>
      <c r="W78" s="553">
        <f t="shared" si="14"/>
        <v>703.2415298228874</v>
      </c>
      <c r="X78" s="553">
        <f t="shared" si="14"/>
        <v>719.41608500881375</v>
      </c>
      <c r="Y78" s="542"/>
      <c r="Z78" s="542"/>
      <c r="AA78" s="542"/>
      <c r="AB78" s="542"/>
      <c r="AC78" s="549"/>
    </row>
    <row r="79" spans="3:29" x14ac:dyDescent="0.2">
      <c r="C79" s="552" t="s">
        <v>45</v>
      </c>
      <c r="D79" s="553">
        <f>$F$69*(1+$L$69)^D$21*(D$23=1)</f>
        <v>0</v>
      </c>
      <c r="E79" s="553">
        <f>$F$69*(1+$L$69)^E$21*(E$23=1)</f>
        <v>0</v>
      </c>
      <c r="F79" s="553">
        <f>$F$69*(1+$L$69)^F$21*(F$23=1)</f>
        <v>0</v>
      </c>
      <c r="G79" s="553">
        <f>$F$69*(1+$L$69)^G$21*(G$23=1)</f>
        <v>0</v>
      </c>
      <c r="H79" s="542">
        <f>$F$69*(1+$L$69)^H$21*(H$23=1)</f>
        <v>0</v>
      </c>
      <c r="I79" s="553">
        <f t="shared" ref="I79:X79" si="15">IF(H96=0,$F$69*(1+$L$69)^I$21*(I$23)*I72,H79)*$AB$69</f>
        <v>209.84342332800003</v>
      </c>
      <c r="J79" s="553">
        <f t="shared" si="15"/>
        <v>439.09736331383999</v>
      </c>
      <c r="K79" s="553">
        <f t="shared" si="15"/>
        <v>499.10733630006473</v>
      </c>
      <c r="L79" s="553">
        <f t="shared" si="15"/>
        <v>510.58680503496618</v>
      </c>
      <c r="M79" s="553">
        <f t="shared" si="15"/>
        <v>522.33030155077029</v>
      </c>
      <c r="N79" s="553">
        <f t="shared" si="15"/>
        <v>534.34389848643809</v>
      </c>
      <c r="O79" s="553">
        <f t="shared" si="15"/>
        <v>546.633808151626</v>
      </c>
      <c r="P79" s="553">
        <f t="shared" si="15"/>
        <v>559.20638573911344</v>
      </c>
      <c r="Q79" s="553">
        <f t="shared" si="15"/>
        <v>572.0681326111129</v>
      </c>
      <c r="R79" s="553">
        <f t="shared" si="15"/>
        <v>585.22569966116851</v>
      </c>
      <c r="S79" s="553">
        <f t="shared" si="15"/>
        <v>598.68589075337536</v>
      </c>
      <c r="T79" s="553">
        <f t="shared" si="15"/>
        <v>612.45566624070295</v>
      </c>
      <c r="U79" s="553">
        <f t="shared" si="15"/>
        <v>626.54214656423903</v>
      </c>
      <c r="V79" s="553">
        <f t="shared" si="15"/>
        <v>640.9526159352165</v>
      </c>
      <c r="W79" s="553">
        <f t="shared" si="15"/>
        <v>655.6945261017263</v>
      </c>
      <c r="X79" s="553">
        <f t="shared" si="15"/>
        <v>670.77550020206593</v>
      </c>
      <c r="Y79" s="542"/>
      <c r="Z79" s="542"/>
      <c r="AA79" s="542"/>
      <c r="AB79" s="542"/>
      <c r="AC79" s="549"/>
    </row>
    <row r="80" spans="3:29" x14ac:dyDescent="0.2">
      <c r="C80" s="552" t="s">
        <v>163</v>
      </c>
      <c r="D80" s="554"/>
      <c r="E80" s="554"/>
      <c r="F80" s="554"/>
      <c r="G80" s="554"/>
      <c r="H80" s="542"/>
      <c r="I80" s="553">
        <f>SUM(I77:I79)</f>
        <v>470.01278332800001</v>
      </c>
      <c r="J80" s="553">
        <f t="shared" ref="J80:X80" si="16">SUM(J77:J79)</f>
        <v>983.50174911383988</v>
      </c>
      <c r="K80" s="553">
        <f t="shared" si="16"/>
        <v>1117.9136548260644</v>
      </c>
      <c r="L80" s="553">
        <f t="shared" si="16"/>
        <v>1143.625668887064</v>
      </c>
      <c r="M80" s="553">
        <f>SUM(M77:M79)</f>
        <v>1169.929059271466</v>
      </c>
      <c r="N80" s="553">
        <f t="shared" si="16"/>
        <v>1196.8374276347101</v>
      </c>
      <c r="O80" s="553">
        <f t="shared" si="16"/>
        <v>1224.364688470308</v>
      </c>
      <c r="P80" s="553">
        <f t="shared" si="16"/>
        <v>1252.5250763051249</v>
      </c>
      <c r="Q80" s="553">
        <f t="shared" si="16"/>
        <v>1281.3331530601426</v>
      </c>
      <c r="R80" s="553">
        <f t="shared" si="16"/>
        <v>1310.8038155805261</v>
      </c>
      <c r="S80" s="553">
        <f t="shared" si="16"/>
        <v>1340.952303338878</v>
      </c>
      <c r="T80" s="553">
        <f t="shared" si="16"/>
        <v>1371.794206315672</v>
      </c>
      <c r="U80" s="553">
        <f t="shared" si="16"/>
        <v>1403.3454730609324</v>
      </c>
      <c r="V80" s="553">
        <f t="shared" si="16"/>
        <v>1435.6224189413338</v>
      </c>
      <c r="W80" s="553">
        <f t="shared" si="16"/>
        <v>1468.6417345769842</v>
      </c>
      <c r="X80" s="553">
        <f t="shared" si="16"/>
        <v>1502.4204944722546</v>
      </c>
      <c r="Y80" s="542"/>
      <c r="Z80" s="542"/>
      <c r="AA80" s="542"/>
      <c r="AB80" s="542"/>
      <c r="AC80" s="549"/>
    </row>
    <row r="81" spans="2:29" x14ac:dyDescent="0.2">
      <c r="C81" s="552" t="s">
        <v>168</v>
      </c>
      <c r="D81" s="542"/>
      <c r="E81" s="542"/>
      <c r="F81" s="542"/>
      <c r="G81" s="542"/>
      <c r="H81" s="542"/>
      <c r="I81" s="553">
        <f>IF(I104=" ",I112-H112,H81)</f>
        <v>1182.1309999999939</v>
      </c>
      <c r="J81" s="553">
        <f t="shared" ref="J81:K81" si="17">IF(J104=" ",J112-I112,I81)</f>
        <v>1209.3200129999968</v>
      </c>
      <c r="K81" s="553">
        <f t="shared" si="17"/>
        <v>1237.1343732989917</v>
      </c>
      <c r="L81" s="553">
        <f>IF(L104=" ",L112-K112,K81)</f>
        <v>1265.5884638848729</v>
      </c>
      <c r="M81" s="553">
        <f>IF(M104=" ",M112-L112,L81)</f>
        <v>1294.6969985542237</v>
      </c>
      <c r="N81" s="553">
        <f>IF(N104=" ",N112-M112,M81)</f>
        <v>1324.4750295209742</v>
      </c>
      <c r="O81" s="553">
        <f>IF(O104=" ",O112-N112,N81)</f>
        <v>1354.9379551999518</v>
      </c>
      <c r="P81" s="553">
        <f t="shared" ref="P81:X81" si="18">IF(P104=" ",P112-O112,O81)</f>
        <v>1386.1015281695509</v>
      </c>
      <c r="Q81" s="553">
        <f t="shared" si="18"/>
        <v>1417.9818633174509</v>
      </c>
      <c r="R81" s="553">
        <f t="shared" si="18"/>
        <v>1450.5954461737492</v>
      </c>
      <c r="S81" s="553">
        <f t="shared" si="18"/>
        <v>1483.9591414357492</v>
      </c>
      <c r="T81" s="553">
        <f t="shared" si="18"/>
        <v>1518.0902016887703</v>
      </c>
      <c r="U81" s="553">
        <f t="shared" si="18"/>
        <v>1553.0062763276073</v>
      </c>
      <c r="V81" s="553">
        <f t="shared" si="18"/>
        <v>1588.7254206831421</v>
      </c>
      <c r="W81" s="553">
        <f t="shared" si="18"/>
        <v>1625.2661053588527</v>
      </c>
      <c r="X81" s="553">
        <f t="shared" si="18"/>
        <v>1662.6472257821151</v>
      </c>
      <c r="Y81" s="542"/>
      <c r="Z81" s="542"/>
      <c r="AA81" s="542"/>
      <c r="AB81" s="542"/>
      <c r="AC81" s="549"/>
    </row>
    <row r="82" spans="2:29" x14ac:dyDescent="0.2">
      <c r="C82" s="551"/>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9"/>
    </row>
    <row r="83" spans="2:29" x14ac:dyDescent="0.2">
      <c r="B83" s="720"/>
      <c r="C83" s="551" t="s">
        <v>46</v>
      </c>
      <c r="D83" s="542"/>
      <c r="E83" s="542"/>
      <c r="F83" s="542"/>
      <c r="G83" s="542"/>
      <c r="H83" s="542"/>
      <c r="I83" s="542"/>
      <c r="J83" s="553"/>
      <c r="K83" s="553"/>
      <c r="L83" s="553"/>
      <c r="M83" s="553"/>
      <c r="N83" s="553"/>
      <c r="O83" s="553"/>
      <c r="P83" s="553"/>
      <c r="Q83" s="553"/>
      <c r="R83" s="553"/>
      <c r="S83" s="553"/>
      <c r="T83" s="553"/>
      <c r="U83" s="553"/>
      <c r="V83" s="553"/>
      <c r="W83" s="553"/>
      <c r="X83" s="553"/>
      <c r="Y83" s="542"/>
      <c r="Z83" s="542"/>
      <c r="AA83" s="542"/>
      <c r="AB83" s="542"/>
      <c r="AC83" s="549"/>
    </row>
    <row r="84" spans="2:29" x14ac:dyDescent="0.2">
      <c r="B84" s="720"/>
      <c r="C84" s="552" t="s">
        <v>10</v>
      </c>
      <c r="D84" s="553">
        <f t="shared" ref="D84:X84" si="19">$G$69*(1+$M$69)^D$21*(D$23=1)</f>
        <v>0</v>
      </c>
      <c r="E84" s="553">
        <f t="shared" si="19"/>
        <v>0</v>
      </c>
      <c r="F84" s="553">
        <f t="shared" si="19"/>
        <v>0</v>
      </c>
      <c r="G84" s="553">
        <f t="shared" si="19"/>
        <v>0</v>
      </c>
      <c r="H84" s="542">
        <f t="shared" si="19"/>
        <v>0</v>
      </c>
      <c r="I84" s="553">
        <f t="shared" si="19"/>
        <v>15150</v>
      </c>
      <c r="J84" s="553">
        <f t="shared" si="19"/>
        <v>15301.5</v>
      </c>
      <c r="K84" s="553">
        <f t="shared" si="19"/>
        <v>15454.514999999999</v>
      </c>
      <c r="L84" s="553">
        <f t="shared" si="19"/>
        <v>15609.060150000001</v>
      </c>
      <c r="M84" s="553">
        <f t="shared" si="19"/>
        <v>15765.150751499999</v>
      </c>
      <c r="N84" s="553">
        <f t="shared" si="19"/>
        <v>15922.802259015001</v>
      </c>
      <c r="O84" s="553">
        <f t="shared" si="19"/>
        <v>16082.030281605148</v>
      </c>
      <c r="P84" s="553">
        <f t="shared" si="19"/>
        <v>16242.850584421203</v>
      </c>
      <c r="Q84" s="553">
        <f t="shared" si="19"/>
        <v>16405.279090265416</v>
      </c>
      <c r="R84" s="553">
        <f t="shared" si="19"/>
        <v>16569.331881168073</v>
      </c>
      <c r="S84" s="553">
        <f t="shared" si="19"/>
        <v>16735.025199979747</v>
      </c>
      <c r="T84" s="553">
        <f t="shared" si="19"/>
        <v>16902.375451979548</v>
      </c>
      <c r="U84" s="553">
        <f t="shared" si="19"/>
        <v>17071.399206499344</v>
      </c>
      <c r="V84" s="553">
        <f t="shared" si="19"/>
        <v>17242.113198564337</v>
      </c>
      <c r="W84" s="553">
        <f t="shared" si="19"/>
        <v>17414.534330549977</v>
      </c>
      <c r="X84" s="553">
        <f t="shared" si="19"/>
        <v>17588.67967385548</v>
      </c>
      <c r="Y84" s="542"/>
      <c r="Z84" s="542"/>
      <c r="AA84" s="542"/>
      <c r="AB84" s="542"/>
      <c r="AC84" s="549"/>
    </row>
    <row r="85" spans="2:29" x14ac:dyDescent="0.2">
      <c r="C85" s="552" t="s">
        <v>44</v>
      </c>
      <c r="D85" s="553">
        <f>$H$69*(1+$N$69)^D$21*(D$23=1)</f>
        <v>0</v>
      </c>
      <c r="E85" s="553">
        <f>$H$69*(1+$N$69)^E$21*(E$23=1)</f>
        <v>0</v>
      </c>
      <c r="F85" s="553">
        <f>$H$69*(1+$N$69)^F$21*(F$23=1)</f>
        <v>0</v>
      </c>
      <c r="G85" s="553">
        <f>$H$69*(1+$N$69)^G$21*(G$23=1)</f>
        <v>0</v>
      </c>
      <c r="H85" s="542">
        <f>$H$69*(1+$N$69)^H$21*(H$23=1)</f>
        <v>0</v>
      </c>
      <c r="I85" s="553">
        <f>$H$69*(1+$N$69)^I$21*(I$23=1)*Assumptions!$C$14</f>
        <v>1490.76</v>
      </c>
      <c r="J85" s="553">
        <f>$H$69*(1+$N$69)^J$21*(J$23=1)*Assumptions!$C$14</f>
        <v>1505.6676</v>
      </c>
      <c r="K85" s="553">
        <f>$H$69*(1+$N$69)^K$21*(K$23=1)*Assumptions!$C$14</f>
        <v>1520.7242759999999</v>
      </c>
      <c r="L85" s="553">
        <f>$H$69*(1+$N$69)^L$21*(L$23=1)*Assumptions!$C$14</f>
        <v>1535.93151876</v>
      </c>
      <c r="M85" s="553">
        <f>$H$69*(1+$N$69)^M$21*(M$23=1)*Assumptions!$C$14</f>
        <v>1551.2908339475998</v>
      </c>
      <c r="N85" s="553">
        <f>$H$69*(1+$N$69)^N$21*(N$23=1)*Assumptions!$C$14</f>
        <v>1566.8037422870761</v>
      </c>
      <c r="O85" s="553">
        <f>$H$69*(1+$N$69)^O$21*(O$23=1)*Assumptions!$C$14</f>
        <v>1582.4717797099465</v>
      </c>
      <c r="P85" s="553">
        <f>$H$69*(1+$N$69)^P$21*(P$23=1)*Assumptions!$C$14</f>
        <v>1598.2964975070463</v>
      </c>
      <c r="Q85" s="553">
        <f>$H$69*(1+$N$69)^Q$21*(Q$23=1)*Assumptions!$C$14</f>
        <v>1614.2794624821172</v>
      </c>
      <c r="R85" s="553">
        <f>$H$69*(1+$N$69)^R$21*(R$23=1)*Assumptions!$C$14</f>
        <v>1630.4222571069383</v>
      </c>
      <c r="S85" s="553">
        <f>$H$69*(1+$N$69)^S$21*(S$23=1)*Assumptions!$C$14</f>
        <v>1646.7264796780071</v>
      </c>
      <c r="T85" s="553">
        <f>$H$69*(1+$N$69)^T$21*(T$23=1)*Assumptions!$C$14</f>
        <v>1663.1937444747873</v>
      </c>
      <c r="U85" s="553">
        <f>$H$69*(1+$N$69)^U$21*(U$23=1)*Assumptions!$C$14</f>
        <v>1679.8256819195353</v>
      </c>
      <c r="V85" s="553">
        <f>$H$69*(1+$N$69)^V$21*(V$23=1)*Assumptions!$C$14</f>
        <v>1696.6239387387309</v>
      </c>
      <c r="W85" s="553">
        <f>$H$69*(1+$N$69)^W$21*(W$23=1)*Assumptions!$C$14</f>
        <v>1713.5901781261177</v>
      </c>
      <c r="X85" s="553">
        <f>$H$69*(1+$N$69)^X$21*(X$23=1)*Assumptions!$C$14</f>
        <v>1730.7260799073795</v>
      </c>
      <c r="Y85" s="542"/>
      <c r="Z85" s="542"/>
      <c r="AA85" s="542"/>
      <c r="AB85" s="542"/>
      <c r="AC85" s="549"/>
    </row>
    <row r="86" spans="2:29" x14ac:dyDescent="0.2">
      <c r="C86" s="552" t="s">
        <v>45</v>
      </c>
      <c r="D86" s="553">
        <f>$I$69*(1+$O$69)^D$21*(D$23=1)</f>
        <v>0</v>
      </c>
      <c r="E86" s="553">
        <f>$I$69*(1+$O$69)^E$21*(E$23=1)</f>
        <v>0</v>
      </c>
      <c r="F86" s="553">
        <f>$I$69*(1+$O$69)^F$21*(F$23=1)</f>
        <v>0</v>
      </c>
      <c r="G86" s="553">
        <f>$I$69*(1+$O$69)^G$21*(G$23=1)</f>
        <v>0</v>
      </c>
      <c r="H86" s="542">
        <f>$I$69*(1+$O$69)^H$21*(H$23=1)</f>
        <v>0</v>
      </c>
      <c r="I86" s="553">
        <f t="shared" ref="I86:X86" si="20">$I$69*(1+$O$69)^I$21*(I$23=1)*Demand_scalar</f>
        <v>890.82</v>
      </c>
      <c r="J86" s="553">
        <f t="shared" si="20"/>
        <v>899.72820000000002</v>
      </c>
      <c r="K86" s="553">
        <f t="shared" si="20"/>
        <v>908.72548199999994</v>
      </c>
      <c r="L86" s="553">
        <f t="shared" si="20"/>
        <v>917.81273682000005</v>
      </c>
      <c r="M86" s="553">
        <f t="shared" si="20"/>
        <v>926.99086418819991</v>
      </c>
      <c r="N86" s="553">
        <f t="shared" si="20"/>
        <v>936.26077283008215</v>
      </c>
      <c r="O86" s="553">
        <f t="shared" si="20"/>
        <v>945.62338055838268</v>
      </c>
      <c r="P86" s="553">
        <f t="shared" si="20"/>
        <v>955.07961436396681</v>
      </c>
      <c r="Q86" s="553">
        <f t="shared" si="20"/>
        <v>964.63041050760648</v>
      </c>
      <c r="R86" s="553">
        <f t="shared" si="20"/>
        <v>974.27671461268255</v>
      </c>
      <c r="S86" s="553">
        <f t="shared" si="20"/>
        <v>984.01948175880921</v>
      </c>
      <c r="T86" s="553">
        <f t="shared" si="20"/>
        <v>993.85967657639731</v>
      </c>
      <c r="U86" s="553">
        <f t="shared" si="20"/>
        <v>1003.7982733421613</v>
      </c>
      <c r="V86" s="553">
        <f t="shared" si="20"/>
        <v>1013.836256075583</v>
      </c>
      <c r="W86" s="553">
        <f t="shared" si="20"/>
        <v>1023.9746186363386</v>
      </c>
      <c r="X86" s="553">
        <f t="shared" si="20"/>
        <v>1034.2143648227022</v>
      </c>
      <c r="Y86" s="542"/>
      <c r="Z86" s="542"/>
      <c r="AA86" s="542"/>
      <c r="AB86" s="542"/>
      <c r="AC86" s="549"/>
    </row>
    <row r="87" spans="2:29" x14ac:dyDescent="0.2">
      <c r="C87" s="551"/>
      <c r="D87" s="542"/>
      <c r="E87" s="542"/>
      <c r="F87" s="542"/>
      <c r="G87" s="542"/>
      <c r="H87" s="542"/>
      <c r="I87" s="542">
        <f>I85/12</f>
        <v>124.23</v>
      </c>
      <c r="J87" s="542"/>
      <c r="K87" s="542"/>
      <c r="L87" s="542"/>
      <c r="M87" s="542"/>
      <c r="N87" s="542"/>
      <c r="O87" s="542"/>
      <c r="P87" s="542"/>
      <c r="Q87" s="542"/>
      <c r="R87" s="542"/>
      <c r="S87" s="542"/>
      <c r="T87" s="542"/>
      <c r="U87" s="542"/>
      <c r="V87" s="542"/>
      <c r="W87" s="542"/>
      <c r="X87" s="542"/>
      <c r="Y87" s="542"/>
      <c r="Z87" s="542"/>
      <c r="AA87" s="542"/>
      <c r="AB87" s="542"/>
      <c r="AC87" s="549"/>
    </row>
    <row r="88" spans="2:29" x14ac:dyDescent="0.2">
      <c r="C88" s="551" t="s">
        <v>50</v>
      </c>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9"/>
    </row>
    <row r="89" spans="2:29" x14ac:dyDescent="0.2">
      <c r="C89" s="552" t="s">
        <v>10</v>
      </c>
      <c r="D89" s="555">
        <f t="shared" ref="D89:X89" si="21">D77*D84*0.001</f>
        <v>0</v>
      </c>
      <c r="E89" s="555">
        <f t="shared" si="21"/>
        <v>0</v>
      </c>
      <c r="F89" s="555">
        <f t="shared" si="21"/>
        <v>0</v>
      </c>
      <c r="G89" s="555">
        <f t="shared" si="21"/>
        <v>0</v>
      </c>
      <c r="H89" s="542">
        <f t="shared" si="21"/>
        <v>0</v>
      </c>
      <c r="I89" s="555">
        <f>I77*I84*0.001</f>
        <v>531.90680399999997</v>
      </c>
      <c r="J89" s="555">
        <f t="shared" si="21"/>
        <v>1124.1451372436998</v>
      </c>
      <c r="K89" s="555">
        <f t="shared" si="21"/>
        <v>1290.5560890603419</v>
      </c>
      <c r="L89" s="555">
        <f t="shared" si="21"/>
        <v>1333.4412678998174</v>
      </c>
      <c r="M89" s="555">
        <f t="shared" si="21"/>
        <v>1377.751521232128</v>
      </c>
      <c r="N89" s="555">
        <f t="shared" si="21"/>
        <v>1423.5342042826717</v>
      </c>
      <c r="O89" s="555">
        <f t="shared" si="21"/>
        <v>1470.8382458909841</v>
      </c>
      <c r="P89" s="555">
        <f t="shared" si="21"/>
        <v>1519.7142008019418</v>
      </c>
      <c r="Q89" s="555">
        <f t="shared" si="21"/>
        <v>1570.2143036945899</v>
      </c>
      <c r="R89" s="555">
        <f t="shared" si="21"/>
        <v>1622.3925250063617</v>
      </c>
      <c r="S89" s="555">
        <f t="shared" si="21"/>
        <v>1676.3046286123224</v>
      </c>
      <c r="T89" s="555">
        <f t="shared" si="21"/>
        <v>1732.0082314211097</v>
      </c>
      <c r="U89" s="555">
        <f t="shared" si="21"/>
        <v>1789.5628649512332</v>
      </c>
      <c r="V89" s="555">
        <f t="shared" si="21"/>
        <v>1849.0300389535626</v>
      </c>
      <c r="W89" s="555">
        <f t="shared" si="21"/>
        <v>1910.4733071479886</v>
      </c>
      <c r="X89" s="555">
        <f t="shared" si="21"/>
        <v>1973.9583351445167</v>
      </c>
      <c r="Y89" s="542"/>
      <c r="Z89" s="542"/>
      <c r="AA89" s="542"/>
      <c r="AB89" s="542"/>
      <c r="AC89" s="549"/>
    </row>
    <row r="90" spans="2:29" x14ac:dyDescent="0.2">
      <c r="C90" s="552" t="s">
        <v>44</v>
      </c>
      <c r="D90" s="555">
        <f t="shared" ref="D90:X90" si="22">D78*D85*0.001</f>
        <v>0</v>
      </c>
      <c r="E90" s="555">
        <f t="shared" si="22"/>
        <v>0</v>
      </c>
      <c r="F90" s="555">
        <f t="shared" si="22"/>
        <v>0</v>
      </c>
      <c r="G90" s="555">
        <f t="shared" si="22"/>
        <v>0</v>
      </c>
      <c r="H90" s="542">
        <f t="shared" si="22"/>
        <v>0</v>
      </c>
      <c r="I90" s="555">
        <f t="shared" si="22"/>
        <v>335.51044559999997</v>
      </c>
      <c r="J90" s="555">
        <f t="shared" si="22"/>
        <v>709.07616349217983</v>
      </c>
      <c r="K90" s="555">
        <f t="shared" si="22"/>
        <v>814.04307156113873</v>
      </c>
      <c r="L90" s="555">
        <f t="shared" si="22"/>
        <v>841.09372282911534</v>
      </c>
      <c r="M90" s="555">
        <f t="shared" si="22"/>
        <v>869.04326723872657</v>
      </c>
      <c r="N90" s="555">
        <f t="shared" si="22"/>
        <v>897.9215750090699</v>
      </c>
      <c r="O90" s="555">
        <f t="shared" si="22"/>
        <v>927.75950894662071</v>
      </c>
      <c r="P90" s="555">
        <f t="shared" si="22"/>
        <v>958.58895742891696</v>
      </c>
      <c r="Q90" s="555">
        <f t="shared" si="22"/>
        <v>990.4428684842801</v>
      </c>
      <c r="R90" s="555">
        <f t="shared" si="22"/>
        <v>1023.3552850040127</v>
      </c>
      <c r="S90" s="555">
        <f t="shared" si="22"/>
        <v>1057.3613811246955</v>
      </c>
      <c r="T90" s="555">
        <f t="shared" si="22"/>
        <v>1092.4974998194691</v>
      </c>
      <c r="U90" s="555">
        <f t="shared" si="22"/>
        <v>1128.8011917384699</v>
      </c>
      <c r="V90" s="555">
        <f t="shared" si="22"/>
        <v>1166.3112553399396</v>
      </c>
      <c r="W90" s="555">
        <f t="shared" si="22"/>
        <v>1205.0677783548851</v>
      </c>
      <c r="X90" s="555">
        <f t="shared" si="22"/>
        <v>1245.1121806296183</v>
      </c>
      <c r="Y90" s="542"/>
      <c r="Z90" s="542"/>
      <c r="AA90" s="542"/>
      <c r="AB90" s="542"/>
      <c r="AC90" s="549"/>
    </row>
    <row r="91" spans="2:29" x14ac:dyDescent="0.2">
      <c r="C91" s="552" t="s">
        <v>45</v>
      </c>
      <c r="D91" s="555">
        <f t="shared" ref="D91:X91" si="23">D79*D86*0.001</f>
        <v>0</v>
      </c>
      <c r="E91" s="555">
        <f t="shared" si="23"/>
        <v>0</v>
      </c>
      <c r="F91" s="555">
        <f t="shared" si="23"/>
        <v>0</v>
      </c>
      <c r="G91" s="555">
        <f t="shared" si="23"/>
        <v>0</v>
      </c>
      <c r="H91" s="542">
        <f t="shared" si="23"/>
        <v>0</v>
      </c>
      <c r="I91" s="555">
        <f t="shared" si="23"/>
        <v>186.93271836904898</v>
      </c>
      <c r="J91" s="555">
        <f>J79*J86*0.001</f>
        <v>395.06828031910732</v>
      </c>
      <c r="K91" s="555">
        <f t="shared" si="23"/>
        <v>453.55155474901238</v>
      </c>
      <c r="L91" s="555">
        <f t="shared" si="23"/>
        <v>468.62307291332206</v>
      </c>
      <c r="M91" s="555">
        <f t="shared" si="23"/>
        <v>484.19541762623163</v>
      </c>
      <c r="N91" s="555">
        <f t="shared" si="23"/>
        <v>500.28523135395153</v>
      </c>
      <c r="O91" s="555">
        <f t="shared" si="23"/>
        <v>516.90970959184301</v>
      </c>
      <c r="P91" s="555">
        <f t="shared" si="23"/>
        <v>534.08661924158014</v>
      </c>
      <c r="Q91" s="555">
        <f t="shared" si="23"/>
        <v>551.83431759897769</v>
      </c>
      <c r="R91" s="555">
        <f t="shared" si="23"/>
        <v>570.17177197279182</v>
      </c>
      <c r="S91" s="555">
        <f t="shared" si="23"/>
        <v>589.11857995544744</v>
      </c>
      <c r="T91" s="555">
        <f t="shared" si="23"/>
        <v>608.69499036736693</v>
      </c>
      <c r="U91" s="555">
        <f t="shared" si="23"/>
        <v>628.92192489727449</v>
      </c>
      <c r="V91" s="555">
        <f t="shared" si="23"/>
        <v>649.82100046161099</v>
      </c>
      <c r="W91" s="555">
        <f t="shared" si="23"/>
        <v>671.41455230694999</v>
      </c>
      <c r="X91" s="555">
        <f t="shared" si="23"/>
        <v>693.72565788011002</v>
      </c>
      <c r="Y91" s="542"/>
      <c r="Z91" s="542"/>
      <c r="AA91" s="542"/>
      <c r="AB91" s="542"/>
      <c r="AC91" s="549"/>
    </row>
    <row r="92" spans="2:29" x14ac:dyDescent="0.2">
      <c r="C92" s="551"/>
      <c r="D92" s="555"/>
      <c r="E92" s="555"/>
      <c r="F92" s="555"/>
      <c r="G92" s="555"/>
      <c r="H92" s="542"/>
      <c r="I92" s="555"/>
      <c r="J92" s="555"/>
      <c r="K92" s="555"/>
      <c r="L92" s="555"/>
      <c r="M92" s="555"/>
      <c r="N92" s="555"/>
      <c r="O92" s="555"/>
      <c r="P92" s="555"/>
      <c r="Q92" s="555"/>
      <c r="R92" s="555"/>
      <c r="S92" s="555"/>
      <c r="T92" s="555"/>
      <c r="U92" s="555"/>
      <c r="V92" s="555"/>
      <c r="W92" s="555"/>
      <c r="X92" s="555"/>
      <c r="Y92" s="542"/>
      <c r="Z92" s="542"/>
      <c r="AA92" s="542"/>
      <c r="AB92" s="542"/>
      <c r="AC92" s="549"/>
    </row>
    <row r="93" spans="2:29" x14ac:dyDescent="0.2">
      <c r="C93" s="551" t="s">
        <v>47</v>
      </c>
      <c r="D93" s="553">
        <f t="shared" ref="D93:X93" si="24">SUM(D89:D91)</f>
        <v>0</v>
      </c>
      <c r="E93" s="553">
        <f t="shared" si="24"/>
        <v>0</v>
      </c>
      <c r="F93" s="553">
        <f t="shared" si="24"/>
        <v>0</v>
      </c>
      <c r="G93" s="553">
        <f t="shared" si="24"/>
        <v>0</v>
      </c>
      <c r="H93" s="542">
        <f t="shared" si="24"/>
        <v>0</v>
      </c>
      <c r="I93" s="553">
        <f t="shared" si="24"/>
        <v>1054.349967969049</v>
      </c>
      <c r="J93" s="553">
        <f t="shared" si="24"/>
        <v>2228.2895810549871</v>
      </c>
      <c r="K93" s="553">
        <f t="shared" si="24"/>
        <v>2558.1507153704929</v>
      </c>
      <c r="L93" s="553">
        <f t="shared" si="24"/>
        <v>2643.158063642255</v>
      </c>
      <c r="M93" s="553">
        <f t="shared" si="24"/>
        <v>2730.9902060970862</v>
      </c>
      <c r="N93" s="553">
        <f t="shared" si="24"/>
        <v>2821.7410106456932</v>
      </c>
      <c r="O93" s="553">
        <f t="shared" si="24"/>
        <v>2915.5074644294482</v>
      </c>
      <c r="P93" s="553">
        <f t="shared" si="24"/>
        <v>3012.3897774724387</v>
      </c>
      <c r="Q93" s="553">
        <f t="shared" si="24"/>
        <v>3112.4914897778476</v>
      </c>
      <c r="R93" s="553">
        <f t="shared" si="24"/>
        <v>3215.9195819831662</v>
      </c>
      <c r="S93" s="553">
        <f t="shared" si="24"/>
        <v>3322.784589692465</v>
      </c>
      <c r="T93" s="553">
        <f t="shared" si="24"/>
        <v>3433.2007216079455</v>
      </c>
      <c r="U93" s="553">
        <f t="shared" si="24"/>
        <v>3547.2859815869774</v>
      </c>
      <c r="V93" s="553">
        <f t="shared" si="24"/>
        <v>3665.1622947551132</v>
      </c>
      <c r="W93" s="553">
        <f t="shared" si="24"/>
        <v>3786.9556378098241</v>
      </c>
      <c r="X93" s="553">
        <f t="shared" si="24"/>
        <v>3912.7961736542447</v>
      </c>
      <c r="Y93" s="542"/>
      <c r="Z93" s="542"/>
      <c r="AA93" s="542"/>
      <c r="AB93" s="542"/>
      <c r="AC93" s="549"/>
    </row>
    <row r="94" spans="2:29" x14ac:dyDescent="0.2">
      <c r="C94" s="551" t="s">
        <v>52</v>
      </c>
      <c r="D94" s="553"/>
      <c r="E94" s="553"/>
      <c r="F94" s="553"/>
      <c r="G94" s="553">
        <f t="shared" ref="G94:X94" si="25">(G93/8.76)/$T69</f>
        <v>0</v>
      </c>
      <c r="H94" s="542">
        <f t="shared" si="25"/>
        <v>0</v>
      </c>
      <c r="I94" s="553">
        <f t="shared" si="25"/>
        <v>222.79988606249697</v>
      </c>
      <c r="J94" s="553">
        <f t="shared" si="25"/>
        <v>470.87084920163255</v>
      </c>
      <c r="K94" s="553">
        <f t="shared" si="25"/>
        <v>540.57543057844737</v>
      </c>
      <c r="L94" s="553">
        <f t="shared" si="25"/>
        <v>558.53875213656943</v>
      </c>
      <c r="M94" s="553">
        <f t="shared" si="25"/>
        <v>577.09899487006737</v>
      </c>
      <c r="N94" s="553">
        <f t="shared" si="25"/>
        <v>596.27599446959982</v>
      </c>
      <c r="O94" s="553">
        <f t="shared" si="25"/>
        <v>616.09024576582431</v>
      </c>
      <c r="P94" s="553">
        <f t="shared" si="25"/>
        <v>636.56292463262264</v>
      </c>
      <c r="Q94" s="553">
        <f t="shared" si="25"/>
        <v>657.71591061816468</v>
      </c>
      <c r="R94" s="553">
        <f t="shared" si="25"/>
        <v>679.57181032800645</v>
      </c>
      <c r="S94" s="553">
        <f t="shared" si="25"/>
        <v>702.15398158520577</v>
      </c>
      <c r="T94" s="553">
        <f t="shared" si="25"/>
        <v>725.48655839328217</v>
      </c>
      <c r="U94" s="553">
        <f t="shared" si="25"/>
        <v>749.59447672869089</v>
      </c>
      <c r="V94" s="553">
        <f t="shared" si="25"/>
        <v>774.50350119038535</v>
      </c>
      <c r="W94" s="553">
        <f t="shared" si="25"/>
        <v>800.24025253494153</v>
      </c>
      <c r="X94" s="553">
        <f t="shared" si="25"/>
        <v>826.83223612667769</v>
      </c>
      <c r="Y94" s="542"/>
      <c r="Z94" s="542"/>
      <c r="AA94" s="542"/>
      <c r="AB94" s="542"/>
      <c r="AC94" s="549"/>
    </row>
    <row r="95" spans="2:29" x14ac:dyDescent="0.2">
      <c r="C95" s="551" t="s">
        <v>48</v>
      </c>
      <c r="D95" s="553"/>
      <c r="E95" s="553"/>
      <c r="F95" s="553"/>
      <c r="G95" s="555">
        <f t="shared" ref="G95:X95" si="26">IF(G94&lt;$X$69,G93,($X$69/G94)*G93)</f>
        <v>0</v>
      </c>
      <c r="H95" s="542">
        <f t="shared" si="26"/>
        <v>0</v>
      </c>
      <c r="I95" s="555">
        <f>IF(I94&lt;$X$69,I93,($X$69/I94)*I93)</f>
        <v>1054.349967969049</v>
      </c>
      <c r="J95" s="555">
        <f>IF(J94&lt;$X$69,J93,($X$69/J94)*J93)</f>
        <v>2228.2895810549871</v>
      </c>
      <c r="K95" s="555">
        <f t="shared" si="26"/>
        <v>2558.1507153704929</v>
      </c>
      <c r="L95" s="555">
        <f>IF(L94&lt;$X$69,L93,($X$69/L94)*L93)</f>
        <v>2643.158063642255</v>
      </c>
      <c r="M95" s="555">
        <f t="shared" si="26"/>
        <v>2730.9902060970862</v>
      </c>
      <c r="N95" s="555">
        <f t="shared" si="26"/>
        <v>2821.7410106456932</v>
      </c>
      <c r="O95" s="555">
        <f t="shared" si="26"/>
        <v>2915.5074644294482</v>
      </c>
      <c r="P95" s="555">
        <f t="shared" si="26"/>
        <v>3012.3897774724387</v>
      </c>
      <c r="Q95" s="555">
        <f t="shared" si="26"/>
        <v>3112.4914897778476</v>
      </c>
      <c r="R95" s="555">
        <f t="shared" si="26"/>
        <v>3215.9195819831662</v>
      </c>
      <c r="S95" s="555">
        <f t="shared" si="26"/>
        <v>3322.784589692465</v>
      </c>
      <c r="T95" s="555">
        <f t="shared" si="26"/>
        <v>3433.2007216079455</v>
      </c>
      <c r="U95" s="555">
        <f t="shared" si="26"/>
        <v>3547.2859815869774</v>
      </c>
      <c r="V95" s="555">
        <f t="shared" si="26"/>
        <v>3665.1622947551132</v>
      </c>
      <c r="W95" s="555">
        <f t="shared" si="26"/>
        <v>3786.9556378098241</v>
      </c>
      <c r="X95" s="555">
        <f t="shared" si="26"/>
        <v>3912.7961736542447</v>
      </c>
      <c r="Y95" s="542"/>
      <c r="Z95" s="542"/>
      <c r="AA95" s="542"/>
      <c r="AB95" s="542"/>
      <c r="AC95" s="549"/>
    </row>
    <row r="96" spans="2:29" x14ac:dyDescent="0.2">
      <c r="C96" s="551" t="s">
        <v>95</v>
      </c>
      <c r="D96" s="553"/>
      <c r="E96" s="553"/>
      <c r="F96" s="553"/>
      <c r="G96" s="555"/>
      <c r="H96" s="542">
        <v>0</v>
      </c>
      <c r="I96" s="556">
        <f t="shared" ref="I96:X96" si="27">IF(I94&gt;$X$69,I22,0)</f>
        <v>0</v>
      </c>
      <c r="J96" s="556">
        <f t="shared" si="27"/>
        <v>0</v>
      </c>
      <c r="K96" s="556">
        <f t="shared" si="27"/>
        <v>0</v>
      </c>
      <c r="L96" s="556">
        <f t="shared" si="27"/>
        <v>0</v>
      </c>
      <c r="M96" s="556">
        <f t="shared" si="27"/>
        <v>0</v>
      </c>
      <c r="N96" s="556">
        <f t="shared" si="27"/>
        <v>0</v>
      </c>
      <c r="O96" s="556">
        <f t="shared" si="27"/>
        <v>0</v>
      </c>
      <c r="P96" s="556">
        <f t="shared" si="27"/>
        <v>0</v>
      </c>
      <c r="Q96" s="556">
        <f t="shared" si="27"/>
        <v>0</v>
      </c>
      <c r="R96" s="556">
        <f t="shared" si="27"/>
        <v>0</v>
      </c>
      <c r="S96" s="556">
        <f t="shared" si="27"/>
        <v>0</v>
      </c>
      <c r="T96" s="556">
        <f t="shared" si="27"/>
        <v>0</v>
      </c>
      <c r="U96" s="556">
        <f t="shared" si="27"/>
        <v>0</v>
      </c>
      <c r="V96" s="556">
        <f t="shared" si="27"/>
        <v>0</v>
      </c>
      <c r="W96" s="556">
        <f t="shared" si="27"/>
        <v>0</v>
      </c>
      <c r="X96" s="556">
        <f t="shared" si="27"/>
        <v>0</v>
      </c>
      <c r="Y96" s="542"/>
      <c r="Z96" s="542"/>
      <c r="AA96" s="542"/>
      <c r="AB96" s="542"/>
      <c r="AC96" s="549"/>
    </row>
    <row r="97" spans="2:29" x14ac:dyDescent="0.2">
      <c r="B97" s="720"/>
      <c r="C97" s="552" t="s">
        <v>10</v>
      </c>
      <c r="D97" s="553"/>
      <c r="E97" s="553"/>
      <c r="F97" s="553"/>
      <c r="G97" s="553">
        <f>IF(G23=1,(G95/G93)*G89,0)</f>
        <v>0</v>
      </c>
      <c r="H97" s="542">
        <f>IF(H23=1,(H95/H93)*H89,0)</f>
        <v>0</v>
      </c>
      <c r="I97" s="553">
        <f t="shared" ref="I97:X97" si="28">IF($AB$69=1,(I$95/I$93)*I89,0)</f>
        <v>531.90680399999997</v>
      </c>
      <c r="J97" s="553">
        <f t="shared" si="28"/>
        <v>1124.1451372436998</v>
      </c>
      <c r="K97" s="553">
        <f t="shared" si="28"/>
        <v>1290.5560890603419</v>
      </c>
      <c r="L97" s="553">
        <f t="shared" si="28"/>
        <v>1333.4412678998174</v>
      </c>
      <c r="M97" s="553">
        <f t="shared" si="28"/>
        <v>1377.751521232128</v>
      </c>
      <c r="N97" s="553">
        <f t="shared" si="28"/>
        <v>1423.5342042826717</v>
      </c>
      <c r="O97" s="553">
        <f t="shared" si="28"/>
        <v>1470.8382458909841</v>
      </c>
      <c r="P97" s="553">
        <f t="shared" si="28"/>
        <v>1519.7142008019418</v>
      </c>
      <c r="Q97" s="553">
        <f t="shared" si="28"/>
        <v>1570.2143036945899</v>
      </c>
      <c r="R97" s="553">
        <f t="shared" si="28"/>
        <v>1622.3925250063617</v>
      </c>
      <c r="S97" s="553">
        <f t="shared" si="28"/>
        <v>1676.3046286123224</v>
      </c>
      <c r="T97" s="553">
        <f t="shared" si="28"/>
        <v>1732.0082314211097</v>
      </c>
      <c r="U97" s="553">
        <f t="shared" si="28"/>
        <v>1789.5628649512332</v>
      </c>
      <c r="V97" s="553">
        <f t="shared" si="28"/>
        <v>1849.0300389535626</v>
      </c>
      <c r="W97" s="553">
        <f t="shared" si="28"/>
        <v>1910.4733071479886</v>
      </c>
      <c r="X97" s="553">
        <f t="shared" si="28"/>
        <v>1973.9583351445167</v>
      </c>
      <c r="Y97" s="542"/>
      <c r="Z97" s="542"/>
      <c r="AA97" s="542"/>
      <c r="AB97" s="542"/>
      <c r="AC97" s="549"/>
    </row>
    <row r="98" spans="2:29" x14ac:dyDescent="0.2">
      <c r="B98" s="720"/>
      <c r="C98" s="552" t="s">
        <v>44</v>
      </c>
      <c r="D98" s="553"/>
      <c r="E98" s="553"/>
      <c r="F98" s="553"/>
      <c r="G98" s="553">
        <f>IF(G23=1,(G95/G93)*G90,0)</f>
        <v>0</v>
      </c>
      <c r="H98" s="542">
        <f>IF(H23=1,(H95/H93)*H90,0)</f>
        <v>0</v>
      </c>
      <c r="I98" s="553">
        <f t="shared" ref="I98:X98" si="29">IF($AB$69=1,(I$95/I$93)*I90,0)</f>
        <v>335.51044559999997</v>
      </c>
      <c r="J98" s="553">
        <f t="shared" si="29"/>
        <v>709.07616349217983</v>
      </c>
      <c r="K98" s="553">
        <f t="shared" si="29"/>
        <v>814.04307156113873</v>
      </c>
      <c r="L98" s="553">
        <f t="shared" si="29"/>
        <v>841.09372282911534</v>
      </c>
      <c r="M98" s="553">
        <f t="shared" si="29"/>
        <v>869.04326723872657</v>
      </c>
      <c r="N98" s="553">
        <f t="shared" si="29"/>
        <v>897.9215750090699</v>
      </c>
      <c r="O98" s="553">
        <f t="shared" si="29"/>
        <v>927.75950894662071</v>
      </c>
      <c r="P98" s="553">
        <f t="shared" si="29"/>
        <v>958.58895742891696</v>
      </c>
      <c r="Q98" s="553">
        <f t="shared" si="29"/>
        <v>990.4428684842801</v>
      </c>
      <c r="R98" s="553">
        <f t="shared" si="29"/>
        <v>1023.3552850040127</v>
      </c>
      <c r="S98" s="553">
        <f t="shared" si="29"/>
        <v>1057.3613811246955</v>
      </c>
      <c r="T98" s="553">
        <f t="shared" si="29"/>
        <v>1092.4974998194691</v>
      </c>
      <c r="U98" s="553">
        <f t="shared" si="29"/>
        <v>1128.8011917384699</v>
      </c>
      <c r="V98" s="553">
        <f t="shared" si="29"/>
        <v>1166.3112553399396</v>
      </c>
      <c r="W98" s="553">
        <f t="shared" si="29"/>
        <v>1205.0677783548851</v>
      </c>
      <c r="X98" s="553">
        <f t="shared" si="29"/>
        <v>1245.1121806296183</v>
      </c>
      <c r="Y98" s="542"/>
      <c r="Z98" s="542"/>
      <c r="AA98" s="542"/>
      <c r="AB98" s="542"/>
      <c r="AC98" s="549"/>
    </row>
    <row r="99" spans="2:29" x14ac:dyDescent="0.2">
      <c r="B99" s="720"/>
      <c r="C99" s="552" t="s">
        <v>45</v>
      </c>
      <c r="D99" s="553"/>
      <c r="E99" s="553"/>
      <c r="F99" s="553"/>
      <c r="G99" s="553">
        <f>IF(G23=1,(G95/G93)*G91,0)</f>
        <v>0</v>
      </c>
      <c r="H99" s="542">
        <f>IF(H23=1,(H95/H93)*H91,0)</f>
        <v>0</v>
      </c>
      <c r="I99" s="553">
        <f t="shared" ref="I99:X99" si="30">IF($AB$69=1,(I$95/I$93)*I91,0)</f>
        <v>186.93271836904898</v>
      </c>
      <c r="J99" s="553">
        <f t="shared" si="30"/>
        <v>395.06828031910732</v>
      </c>
      <c r="K99" s="553">
        <f t="shared" si="30"/>
        <v>453.55155474901238</v>
      </c>
      <c r="L99" s="553">
        <f t="shared" si="30"/>
        <v>468.62307291332206</v>
      </c>
      <c r="M99" s="553">
        <f t="shared" si="30"/>
        <v>484.19541762623163</v>
      </c>
      <c r="N99" s="553">
        <f t="shared" si="30"/>
        <v>500.28523135395153</v>
      </c>
      <c r="O99" s="553">
        <f t="shared" si="30"/>
        <v>516.90970959184301</v>
      </c>
      <c r="P99" s="553">
        <f t="shared" si="30"/>
        <v>534.08661924158014</v>
      </c>
      <c r="Q99" s="553">
        <f t="shared" si="30"/>
        <v>551.83431759897769</v>
      </c>
      <c r="R99" s="553">
        <f t="shared" si="30"/>
        <v>570.17177197279182</v>
      </c>
      <c r="S99" s="553">
        <f t="shared" si="30"/>
        <v>589.11857995544744</v>
      </c>
      <c r="T99" s="553">
        <f t="shared" si="30"/>
        <v>608.69499036736693</v>
      </c>
      <c r="U99" s="553">
        <f t="shared" si="30"/>
        <v>628.92192489727449</v>
      </c>
      <c r="V99" s="553">
        <f t="shared" si="30"/>
        <v>649.82100046161099</v>
      </c>
      <c r="W99" s="553">
        <f t="shared" si="30"/>
        <v>671.41455230694999</v>
      </c>
      <c r="X99" s="553">
        <f t="shared" si="30"/>
        <v>693.72565788011002</v>
      </c>
      <c r="Y99" s="542"/>
      <c r="Z99" s="542"/>
      <c r="AA99" s="542"/>
      <c r="AB99" s="542"/>
      <c r="AC99" s="549"/>
    </row>
    <row r="100" spans="2:29" x14ac:dyDescent="0.2">
      <c r="B100" s="720"/>
      <c r="C100" s="552"/>
      <c r="D100" s="542"/>
      <c r="E100" s="542"/>
      <c r="F100" s="542"/>
      <c r="G100" s="557"/>
      <c r="H100" s="557"/>
      <c r="I100" s="557"/>
      <c r="J100" s="557"/>
      <c r="K100" s="557"/>
      <c r="L100" s="557"/>
      <c r="M100" s="557"/>
      <c r="N100" s="557"/>
      <c r="O100" s="557"/>
      <c r="P100" s="557"/>
      <c r="Q100" s="557"/>
      <c r="R100" s="557"/>
      <c r="S100" s="557"/>
      <c r="T100" s="557"/>
      <c r="U100" s="557"/>
      <c r="V100" s="557"/>
      <c r="W100" s="557"/>
      <c r="X100" s="557"/>
      <c r="Y100" s="542"/>
      <c r="Z100" s="542"/>
      <c r="AA100" s="542"/>
      <c r="AB100" s="542"/>
      <c r="AC100" s="549"/>
    </row>
    <row r="101" spans="2:29" x14ac:dyDescent="0.2">
      <c r="B101" s="720"/>
      <c r="C101" s="536" t="s">
        <v>65</v>
      </c>
      <c r="D101" s="558">
        <f t="shared" ref="D101:X101" si="31">$AB$69*D$95*0.001</f>
        <v>0</v>
      </c>
      <c r="E101" s="558">
        <f t="shared" si="31"/>
        <v>0</v>
      </c>
      <c r="F101" s="558">
        <f t="shared" si="31"/>
        <v>0</v>
      </c>
      <c r="G101" s="558">
        <f t="shared" si="31"/>
        <v>0</v>
      </c>
      <c r="H101" s="558">
        <f t="shared" si="31"/>
        <v>0</v>
      </c>
      <c r="I101" s="558">
        <f t="shared" si="31"/>
        <v>1.0543499679690489</v>
      </c>
      <c r="J101" s="558">
        <f t="shared" si="31"/>
        <v>2.228289581054987</v>
      </c>
      <c r="K101" s="558">
        <f t="shared" si="31"/>
        <v>2.558150715370493</v>
      </c>
      <c r="L101" s="558">
        <f t="shared" si="31"/>
        <v>2.6431580636422551</v>
      </c>
      <c r="M101" s="558">
        <f t="shared" si="31"/>
        <v>2.7309902060970863</v>
      </c>
      <c r="N101" s="558">
        <f t="shared" si="31"/>
        <v>2.8217410106456935</v>
      </c>
      <c r="O101" s="558">
        <f t="shared" si="31"/>
        <v>2.9155074644294481</v>
      </c>
      <c r="P101" s="558">
        <f t="shared" si="31"/>
        <v>3.0123897774724386</v>
      </c>
      <c r="Q101" s="558">
        <f t="shared" si="31"/>
        <v>3.1124914897778475</v>
      </c>
      <c r="R101" s="558">
        <f t="shared" si="31"/>
        <v>3.2159195819831661</v>
      </c>
      <c r="S101" s="558">
        <f t="shared" si="31"/>
        <v>3.322784589692465</v>
      </c>
      <c r="T101" s="558">
        <f t="shared" si="31"/>
        <v>3.4332007216079456</v>
      </c>
      <c r="U101" s="558">
        <f t="shared" si="31"/>
        <v>3.5472859815869775</v>
      </c>
      <c r="V101" s="558">
        <f t="shared" si="31"/>
        <v>3.6651622947551132</v>
      </c>
      <c r="W101" s="558">
        <f t="shared" si="31"/>
        <v>3.7869556378098244</v>
      </c>
      <c r="X101" s="558">
        <f t="shared" si="31"/>
        <v>3.9127961736542449</v>
      </c>
      <c r="Y101" s="542"/>
      <c r="Z101" s="542"/>
      <c r="AA101" s="542"/>
      <c r="AB101" s="542"/>
      <c r="AC101" s="549"/>
    </row>
    <row r="102" spans="2:29" ht="13.5" thickBot="1" x14ac:dyDescent="0.25">
      <c r="C102" s="540"/>
      <c r="D102" s="724"/>
      <c r="E102" s="724"/>
      <c r="F102" s="724"/>
      <c r="G102" s="724"/>
      <c r="H102" s="749"/>
      <c r="I102" s="749" t="str">
        <f>IF(I96=0," ",I96)</f>
        <v xml:space="preserve"> </v>
      </c>
      <c r="J102" s="749" t="str">
        <f t="shared" ref="J102:X102" si="32">IF(J96=0," ",J96)</f>
        <v xml:space="preserve"> </v>
      </c>
      <c r="K102" s="749" t="str">
        <f t="shared" si="32"/>
        <v xml:space="preserve"> </v>
      </c>
      <c r="L102" s="749" t="str">
        <f t="shared" si="32"/>
        <v xml:space="preserve"> </v>
      </c>
      <c r="M102" s="749" t="str">
        <f t="shared" si="32"/>
        <v xml:space="preserve"> </v>
      </c>
      <c r="N102" s="749" t="str">
        <f t="shared" si="32"/>
        <v xml:space="preserve"> </v>
      </c>
      <c r="O102" s="749" t="str">
        <f t="shared" si="32"/>
        <v xml:space="preserve"> </v>
      </c>
      <c r="P102" s="749" t="str">
        <f t="shared" si="32"/>
        <v xml:space="preserve"> </v>
      </c>
      <c r="Q102" s="749" t="str">
        <f t="shared" si="32"/>
        <v xml:space="preserve"> </v>
      </c>
      <c r="R102" s="749" t="str">
        <f t="shared" si="32"/>
        <v xml:space="preserve"> </v>
      </c>
      <c r="S102" s="749" t="str">
        <f t="shared" si="32"/>
        <v xml:space="preserve"> </v>
      </c>
      <c r="T102" s="749" t="str">
        <f t="shared" si="32"/>
        <v xml:space="preserve"> </v>
      </c>
      <c r="U102" s="749" t="str">
        <f t="shared" si="32"/>
        <v xml:space="preserve"> </v>
      </c>
      <c r="V102" s="749" t="str">
        <f t="shared" si="32"/>
        <v xml:space="preserve"> </v>
      </c>
      <c r="W102" s="749" t="str">
        <f t="shared" si="32"/>
        <v xml:space="preserve"> </v>
      </c>
      <c r="X102" s="749" t="str">
        <f t="shared" si="32"/>
        <v xml:space="preserve"> </v>
      </c>
      <c r="Y102" s="724"/>
      <c r="Z102" s="724"/>
      <c r="AA102" s="724"/>
      <c r="AB102" s="724"/>
      <c r="AC102" s="700"/>
    </row>
    <row r="103" spans="2:29" ht="13.5" thickBot="1" x14ac:dyDescent="0.25">
      <c r="C103" s="542"/>
      <c r="D103" s="542"/>
      <c r="E103" s="542"/>
      <c r="F103" s="542"/>
      <c r="G103" s="557"/>
      <c r="H103" s="557"/>
      <c r="I103" s="557"/>
      <c r="J103" s="557"/>
      <c r="K103" s="557"/>
      <c r="L103" s="557"/>
      <c r="M103" s="557"/>
      <c r="N103" s="557"/>
      <c r="O103" s="557"/>
      <c r="P103" s="557"/>
      <c r="Q103" s="557"/>
      <c r="R103" s="557"/>
      <c r="S103" s="557"/>
      <c r="T103" s="557"/>
      <c r="U103" s="557"/>
      <c r="V103" s="557"/>
      <c r="W103" s="557"/>
      <c r="X103" s="557"/>
      <c r="Y103" s="542"/>
      <c r="Z103" s="542"/>
      <c r="AA103" s="542"/>
      <c r="AB103" s="542"/>
      <c r="AC103" s="542"/>
    </row>
    <row r="104" spans="2:29" x14ac:dyDescent="0.2">
      <c r="C104" s="560"/>
      <c r="D104" s="752">
        <f>IF(D113=$D111,1,0)</f>
        <v>0</v>
      </c>
      <c r="E104" s="752">
        <f>IF(E113=$D111,1,0)</f>
        <v>0</v>
      </c>
      <c r="F104" s="752">
        <f>IF(F113=$D111,1,0)</f>
        <v>0</v>
      </c>
      <c r="G104" s="753" t="s">
        <v>140</v>
      </c>
      <c r="H104" s="754" t="str">
        <f t="shared" ref="H104:X104" si="33">IF(H113=$D111,H22," ")</f>
        <v xml:space="preserve"> </v>
      </c>
      <c r="I104" s="754" t="str">
        <f t="shared" si="33"/>
        <v xml:space="preserve"> </v>
      </c>
      <c r="J104" s="754" t="str">
        <f t="shared" si="33"/>
        <v xml:space="preserve"> </v>
      </c>
      <c r="K104" s="754" t="str">
        <f t="shared" si="33"/>
        <v xml:space="preserve"> </v>
      </c>
      <c r="L104" s="754" t="str">
        <f t="shared" si="33"/>
        <v xml:space="preserve"> </v>
      </c>
      <c r="M104" s="754" t="str">
        <f t="shared" si="33"/>
        <v xml:space="preserve"> </v>
      </c>
      <c r="N104" s="754" t="str">
        <f t="shared" si="33"/>
        <v xml:space="preserve"> </v>
      </c>
      <c r="O104" s="754" t="str">
        <f t="shared" si="33"/>
        <v xml:space="preserve"> </v>
      </c>
      <c r="P104" s="754" t="str">
        <f t="shared" si="33"/>
        <v xml:space="preserve"> </v>
      </c>
      <c r="Q104" s="755" t="str">
        <f t="shared" si="33"/>
        <v xml:space="preserve"> </v>
      </c>
      <c r="R104" s="755" t="str">
        <f t="shared" si="33"/>
        <v xml:space="preserve"> </v>
      </c>
      <c r="S104" s="755" t="str">
        <f t="shared" si="33"/>
        <v xml:space="preserve"> </v>
      </c>
      <c r="T104" s="755" t="str">
        <f t="shared" si="33"/>
        <v xml:space="preserve"> </v>
      </c>
      <c r="U104" s="755" t="str">
        <f t="shared" si="33"/>
        <v xml:space="preserve"> </v>
      </c>
      <c r="V104" s="755" t="str">
        <f t="shared" si="33"/>
        <v xml:space="preserve"> </v>
      </c>
      <c r="W104" s="755" t="str">
        <f t="shared" si="33"/>
        <v xml:space="preserve"> </v>
      </c>
      <c r="X104" s="755" t="str">
        <f t="shared" si="33"/>
        <v xml:space="preserve"> </v>
      </c>
      <c r="Y104" s="532"/>
      <c r="Z104" s="542"/>
      <c r="AA104" s="542"/>
      <c r="AB104" s="542"/>
      <c r="AC104" s="542"/>
    </row>
    <row r="105" spans="2:29"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29" s="240" customFormat="1" x14ac:dyDescent="0.2">
      <c r="C106" s="548"/>
      <c r="D106" s="111">
        <f>D74</f>
        <v>2008</v>
      </c>
      <c r="E106" s="111">
        <f t="shared" ref="E106:X106" si="34">E74</f>
        <v>2009</v>
      </c>
      <c r="F106" s="111">
        <f t="shared" si="34"/>
        <v>2010</v>
      </c>
      <c r="G106" s="111">
        <f t="shared" si="34"/>
        <v>2011</v>
      </c>
      <c r="H106" s="111">
        <f t="shared" si="34"/>
        <v>2012</v>
      </c>
      <c r="I106" s="111">
        <f t="shared" si="34"/>
        <v>2013</v>
      </c>
      <c r="J106" s="111">
        <f t="shared" si="34"/>
        <v>2014</v>
      </c>
      <c r="K106" s="111">
        <f t="shared" si="34"/>
        <v>2015</v>
      </c>
      <c r="L106" s="111">
        <f t="shared" si="34"/>
        <v>2016</v>
      </c>
      <c r="M106" s="111">
        <f t="shared" si="34"/>
        <v>2017</v>
      </c>
      <c r="N106" s="111">
        <f t="shared" si="34"/>
        <v>2018</v>
      </c>
      <c r="O106" s="111">
        <f t="shared" si="34"/>
        <v>2019</v>
      </c>
      <c r="P106" s="111">
        <f t="shared" si="34"/>
        <v>2020</v>
      </c>
      <c r="Q106" s="111">
        <f t="shared" si="34"/>
        <v>2021</v>
      </c>
      <c r="R106" s="111">
        <f t="shared" si="34"/>
        <v>2022</v>
      </c>
      <c r="S106" s="111">
        <f t="shared" si="34"/>
        <v>2023</v>
      </c>
      <c r="T106" s="111">
        <f t="shared" si="34"/>
        <v>2024</v>
      </c>
      <c r="U106" s="111">
        <f t="shared" si="34"/>
        <v>2025</v>
      </c>
      <c r="V106" s="111">
        <f t="shared" si="34"/>
        <v>2026</v>
      </c>
      <c r="W106" s="111">
        <f t="shared" si="34"/>
        <v>2027</v>
      </c>
      <c r="X106" s="111">
        <f t="shared" si="34"/>
        <v>2028</v>
      </c>
      <c r="Y106" s="111"/>
      <c r="Z106" s="111"/>
      <c r="AA106" s="111"/>
      <c r="AB106" s="111"/>
      <c r="AC106" s="550"/>
    </row>
    <row r="107" spans="2:29" s="240" customFormat="1" x14ac:dyDescent="0.2">
      <c r="C107" s="548"/>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row>
    <row r="108" spans="2:29" x14ac:dyDescent="0.2">
      <c r="C108" s="721" t="s">
        <v>67</v>
      </c>
      <c r="D108" s="537">
        <v>60</v>
      </c>
      <c r="E108" s="710">
        <f t="shared" ref="E108:X108" si="35">IF(E$23=1,$D108*$AC69,0)</f>
        <v>0</v>
      </c>
      <c r="F108" s="710">
        <f t="shared" si="35"/>
        <v>0</v>
      </c>
      <c r="G108" s="710">
        <f t="shared" si="35"/>
        <v>0</v>
      </c>
      <c r="H108" s="710">
        <f t="shared" si="35"/>
        <v>0</v>
      </c>
      <c r="I108" s="710">
        <f t="shared" si="35"/>
        <v>60</v>
      </c>
      <c r="J108" s="710">
        <f t="shared" si="35"/>
        <v>60</v>
      </c>
      <c r="K108" s="710">
        <f t="shared" si="35"/>
        <v>60</v>
      </c>
      <c r="L108" s="710">
        <f t="shared" si="35"/>
        <v>60</v>
      </c>
      <c r="M108" s="710">
        <f t="shared" si="35"/>
        <v>60</v>
      </c>
      <c r="N108" s="710">
        <f t="shared" si="35"/>
        <v>60</v>
      </c>
      <c r="O108" s="710">
        <f t="shared" si="35"/>
        <v>60</v>
      </c>
      <c r="P108" s="710">
        <f t="shared" si="35"/>
        <v>60</v>
      </c>
      <c r="Q108" s="710">
        <f t="shared" si="35"/>
        <v>60</v>
      </c>
      <c r="R108" s="710">
        <f t="shared" si="35"/>
        <v>60</v>
      </c>
      <c r="S108" s="710">
        <f t="shared" si="35"/>
        <v>60</v>
      </c>
      <c r="T108" s="710">
        <f t="shared" si="35"/>
        <v>60</v>
      </c>
      <c r="U108" s="710">
        <f t="shared" si="35"/>
        <v>60</v>
      </c>
      <c r="V108" s="710">
        <f t="shared" si="35"/>
        <v>60</v>
      </c>
      <c r="W108" s="710">
        <f t="shared" si="35"/>
        <v>60</v>
      </c>
      <c r="X108" s="710">
        <f t="shared" si="35"/>
        <v>60</v>
      </c>
      <c r="Y108" s="549"/>
      <c r="Z108" s="542"/>
      <c r="AA108" s="542"/>
      <c r="AB108" s="542"/>
      <c r="AC108" s="542"/>
    </row>
    <row r="109" spans="2:29" x14ac:dyDescent="0.2">
      <c r="B109" s="543">
        <f>B152</f>
        <v>1</v>
      </c>
      <c r="C109" s="721" t="s">
        <v>69</v>
      </c>
      <c r="D109" s="722">
        <f>D108*0.85*Assumptions!C57*8.76*$AC69</f>
        <v>245.71799999999999</v>
      </c>
      <c r="E109" s="722">
        <f>D109</f>
        <v>245.71799999999999</v>
      </c>
      <c r="F109" s="722">
        <f t="shared" ref="F109:X109" si="36">E109</f>
        <v>245.71799999999999</v>
      </c>
      <c r="G109" s="722">
        <f t="shared" si="36"/>
        <v>245.71799999999999</v>
      </c>
      <c r="H109" s="722">
        <f t="shared" si="36"/>
        <v>245.71799999999999</v>
      </c>
      <c r="I109" s="722">
        <f t="shared" si="36"/>
        <v>245.71799999999999</v>
      </c>
      <c r="J109" s="722">
        <f t="shared" si="36"/>
        <v>245.71799999999999</v>
      </c>
      <c r="K109" s="722">
        <f t="shared" si="36"/>
        <v>245.71799999999999</v>
      </c>
      <c r="L109" s="722">
        <f t="shared" si="36"/>
        <v>245.71799999999999</v>
      </c>
      <c r="M109" s="722">
        <f t="shared" si="36"/>
        <v>245.71799999999999</v>
      </c>
      <c r="N109" s="722">
        <f t="shared" si="36"/>
        <v>245.71799999999999</v>
      </c>
      <c r="O109" s="722">
        <f t="shared" si="36"/>
        <v>245.71799999999999</v>
      </c>
      <c r="P109" s="722">
        <f t="shared" si="36"/>
        <v>245.71799999999999</v>
      </c>
      <c r="Q109" s="722">
        <f t="shared" si="36"/>
        <v>245.71799999999999</v>
      </c>
      <c r="R109" s="722">
        <f t="shared" si="36"/>
        <v>245.71799999999999</v>
      </c>
      <c r="S109" s="722">
        <f t="shared" si="36"/>
        <v>245.71799999999999</v>
      </c>
      <c r="T109" s="722">
        <f t="shared" si="36"/>
        <v>245.71799999999999</v>
      </c>
      <c r="U109" s="722">
        <f t="shared" si="36"/>
        <v>245.71799999999999</v>
      </c>
      <c r="V109" s="722">
        <f t="shared" si="36"/>
        <v>245.71799999999999</v>
      </c>
      <c r="W109" s="722">
        <f t="shared" si="36"/>
        <v>245.71799999999999</v>
      </c>
      <c r="X109" s="722">
        <f t="shared" si="36"/>
        <v>245.71799999999999</v>
      </c>
      <c r="Y109" s="549"/>
      <c r="Z109" s="542"/>
      <c r="AA109" s="542"/>
      <c r="AB109" s="542"/>
      <c r="AC109" s="542"/>
    </row>
    <row r="110" spans="2:29" x14ac:dyDescent="0.2">
      <c r="B110" s="543">
        <f>B153</f>
        <v>2</v>
      </c>
      <c r="C110" s="721" t="s">
        <v>68</v>
      </c>
      <c r="D110" s="537">
        <v>21.5</v>
      </c>
      <c r="E110" s="710">
        <f t="shared" ref="E110:T110" si="37">IF(E$23=1,$D110,0)</f>
        <v>0</v>
      </c>
      <c r="F110" s="710">
        <f t="shared" si="37"/>
        <v>0</v>
      </c>
      <c r="G110" s="710">
        <f t="shared" si="37"/>
        <v>0</v>
      </c>
      <c r="H110" s="710">
        <f t="shared" si="37"/>
        <v>0</v>
      </c>
      <c r="I110" s="710">
        <f t="shared" si="37"/>
        <v>21.5</v>
      </c>
      <c r="J110" s="710">
        <f t="shared" si="37"/>
        <v>21.5</v>
      </c>
      <c r="K110" s="710">
        <f t="shared" si="37"/>
        <v>21.5</v>
      </c>
      <c r="L110" s="710">
        <f t="shared" si="37"/>
        <v>21.5</v>
      </c>
      <c r="M110" s="710">
        <f t="shared" si="37"/>
        <v>21.5</v>
      </c>
      <c r="N110" s="710">
        <f t="shared" si="37"/>
        <v>21.5</v>
      </c>
      <c r="O110" s="710">
        <f t="shared" si="37"/>
        <v>21.5</v>
      </c>
      <c r="P110" s="710">
        <f t="shared" si="37"/>
        <v>21.5</v>
      </c>
      <c r="Q110" s="710">
        <f t="shared" si="37"/>
        <v>21.5</v>
      </c>
      <c r="R110" s="710">
        <f t="shared" si="37"/>
        <v>21.5</v>
      </c>
      <c r="S110" s="710">
        <f t="shared" si="37"/>
        <v>21.5</v>
      </c>
      <c r="T110" s="710">
        <f t="shared" si="37"/>
        <v>21.5</v>
      </c>
      <c r="U110" s="710">
        <f t="shared" ref="U110:X110" si="38">IF(U$23=1,$D110,0)</f>
        <v>21.5</v>
      </c>
      <c r="V110" s="710">
        <f t="shared" si="38"/>
        <v>21.5</v>
      </c>
      <c r="W110" s="710">
        <f t="shared" si="38"/>
        <v>21.5</v>
      </c>
      <c r="X110" s="710">
        <f t="shared" si="38"/>
        <v>21.5</v>
      </c>
      <c r="Y110" s="549"/>
      <c r="Z110" s="542"/>
      <c r="AA110" s="542"/>
      <c r="AB110" s="542"/>
      <c r="AC110" s="542"/>
    </row>
    <row r="111" spans="2:29" x14ac:dyDescent="0.2">
      <c r="B111" s="543">
        <f>B154</f>
        <v>3</v>
      </c>
      <c r="C111" s="721" t="s">
        <v>72</v>
      </c>
      <c r="D111" s="722">
        <f>D113+D109</f>
        <v>349.30500000000001</v>
      </c>
      <c r="E111" s="710"/>
      <c r="F111" s="710"/>
      <c r="G111" s="710"/>
      <c r="H111" s="710"/>
      <c r="I111" s="710"/>
      <c r="J111" s="710"/>
      <c r="K111" s="710"/>
      <c r="L111" s="710"/>
      <c r="M111" s="710"/>
      <c r="N111" s="710"/>
      <c r="O111" s="710"/>
      <c r="P111" s="710"/>
      <c r="Q111" s="710"/>
      <c r="R111" s="710"/>
      <c r="S111" s="710"/>
      <c r="T111" s="710"/>
      <c r="U111" s="710"/>
      <c r="V111" s="710"/>
      <c r="W111" s="558"/>
      <c r="X111" s="710"/>
      <c r="Y111" s="549"/>
      <c r="Z111" s="542"/>
      <c r="AA111" s="542"/>
      <c r="AB111" s="542"/>
      <c r="AC111" s="542"/>
    </row>
    <row r="112" spans="2:29" x14ac:dyDescent="0.2">
      <c r="C112" s="721" t="s">
        <v>33</v>
      </c>
      <c r="D112" s="710"/>
      <c r="E112" s="710"/>
      <c r="F112" s="710"/>
      <c r="G112" s="710"/>
      <c r="H112" s="538">
        <f>IF(AC69=1,Assumptions!F33,0)</f>
        <v>51397</v>
      </c>
      <c r="I112" s="538">
        <f>IF(I104=" ",H112*(1+Assumptions!$C$56),H112)</f>
        <v>52579.130999999994</v>
      </c>
      <c r="J112" s="538">
        <f>IF(J104=" ",I112*(1+Assumptions!$C$56),I112)</f>
        <v>53788.451012999991</v>
      </c>
      <c r="K112" s="538">
        <f>IF(K104=" ",J112*(1+Assumptions!$C$56),J112)</f>
        <v>55025.585386298982</v>
      </c>
      <c r="L112" s="538">
        <f>IF(L104=" ",K112*(1+Assumptions!$C$56),K112)</f>
        <v>56291.173850183855</v>
      </c>
      <c r="M112" s="538">
        <f>IF(M104=" ",L112*(1+Assumptions!$C$56),L112)</f>
        <v>57585.870848738079</v>
      </c>
      <c r="N112" s="538">
        <f>IF(N104=" ",M112*(1+Assumptions!$C$56),M112)</f>
        <v>58910.345878259053</v>
      </c>
      <c r="O112" s="538">
        <f>IF(O104=" ",N112*(1+Assumptions!$C$56),N112)</f>
        <v>60265.283833459005</v>
      </c>
      <c r="P112" s="538">
        <f>IF(P104=" ",O112*(1+Assumptions!$C$56),O112)</f>
        <v>61651.385361628556</v>
      </c>
      <c r="Q112" s="538">
        <f>IF(Q104=" ",P112*(1+Assumptions!$C$56),P112)</f>
        <v>63069.367224946007</v>
      </c>
      <c r="R112" s="538">
        <f>IF(R104=" ",Q112*(1+Assumptions!$C$56),Q112)</f>
        <v>64519.962671119756</v>
      </c>
      <c r="S112" s="538">
        <f>IF(S104=" ",R112*(1+Assumptions!$C$56),R112)</f>
        <v>66003.921812555505</v>
      </c>
      <c r="T112" s="538">
        <f>IF(T104=" ",S112*(1+Assumptions!$C$56),S112)</f>
        <v>67522.012014244276</v>
      </c>
      <c r="U112" s="538">
        <f>IF(U104=" ",T112*(1+Assumptions!$C$56),T112)</f>
        <v>69075.018290571883</v>
      </c>
      <c r="V112" s="538">
        <f>IF(V104=" ",U112*(1+Assumptions!$C$56),U112)</f>
        <v>70663.743711255025</v>
      </c>
      <c r="W112" s="538">
        <f>IF(W104=" ",V112*(1+Assumptions!$C$56),V112)</f>
        <v>72289.009816613878</v>
      </c>
      <c r="X112" s="538">
        <f>IF(X104=" ",W112*(1+Assumptions!$C$56),W112)</f>
        <v>73951.657042395993</v>
      </c>
      <c r="Y112" s="549"/>
      <c r="Z112" s="542"/>
      <c r="AA112" s="542"/>
      <c r="AB112" s="542"/>
      <c r="AC112" s="542"/>
    </row>
    <row r="113" spans="2:29" x14ac:dyDescent="0.2">
      <c r="B113" s="543">
        <f>B155</f>
        <v>4</v>
      </c>
      <c r="C113" s="721" t="s">
        <v>96</v>
      </c>
      <c r="D113" s="722">
        <f>D110*Assumptions!C57*8760*0.001</f>
        <v>103.58700000000002</v>
      </c>
      <c r="E113" s="722">
        <f t="shared" ref="E113:X113" si="39">IF(E$23=0,D113,MIN((D113*(1+ss_growth)),$D111))</f>
        <v>103.58700000000002</v>
      </c>
      <c r="F113" s="722">
        <f t="shared" si="39"/>
        <v>103.58700000000002</v>
      </c>
      <c r="G113" s="722">
        <f t="shared" si="39"/>
        <v>103.58700000000002</v>
      </c>
      <c r="H113" s="722">
        <f t="shared" si="39"/>
        <v>103.58700000000002</v>
      </c>
      <c r="I113" s="722">
        <f>IF(I$23=0,H113,MIN((H113*(1+ss_growth)),$D111))</f>
        <v>104.62287000000002</v>
      </c>
      <c r="J113" s="722">
        <f t="shared" si="39"/>
        <v>105.66909870000002</v>
      </c>
      <c r="K113" s="722">
        <f t="shared" si="39"/>
        <v>106.72578968700002</v>
      </c>
      <c r="L113" s="722">
        <f t="shared" si="39"/>
        <v>107.79304758387002</v>
      </c>
      <c r="M113" s="722">
        <f t="shared" si="39"/>
        <v>108.87097805970872</v>
      </c>
      <c r="N113" s="722">
        <f t="shared" si="39"/>
        <v>109.9596878403058</v>
      </c>
      <c r="O113" s="722">
        <f t="shared" si="39"/>
        <v>111.05928471870887</v>
      </c>
      <c r="P113" s="722">
        <f t="shared" si="39"/>
        <v>112.16987756589596</v>
      </c>
      <c r="Q113" s="722">
        <f t="shared" si="39"/>
        <v>113.29157634155492</v>
      </c>
      <c r="R113" s="722">
        <f t="shared" si="39"/>
        <v>114.42449210497047</v>
      </c>
      <c r="S113" s="722">
        <f t="shared" si="39"/>
        <v>115.56873702602017</v>
      </c>
      <c r="T113" s="722">
        <f t="shared" si="39"/>
        <v>116.72442439628037</v>
      </c>
      <c r="U113" s="722">
        <f t="shared" si="39"/>
        <v>117.89166864024317</v>
      </c>
      <c r="V113" s="722">
        <f t="shared" si="39"/>
        <v>119.0705853266456</v>
      </c>
      <c r="W113" s="722">
        <f t="shared" si="39"/>
        <v>120.26129117991205</v>
      </c>
      <c r="X113" s="722">
        <f t="shared" si="39"/>
        <v>121.46390409171117</v>
      </c>
      <c r="Y113" s="549"/>
      <c r="Z113" s="542"/>
      <c r="AA113" s="542"/>
      <c r="AB113" s="542"/>
      <c r="AC113" s="542"/>
    </row>
    <row r="114" spans="2:29" x14ac:dyDescent="0.2">
      <c r="C114" s="721" t="s">
        <v>66</v>
      </c>
      <c r="D114" s="710">
        <v>0</v>
      </c>
      <c r="E114" s="710">
        <f t="shared" ref="E114:X114" si="40">E113-$D113</f>
        <v>0</v>
      </c>
      <c r="F114" s="710">
        <f t="shared" si="40"/>
        <v>0</v>
      </c>
      <c r="G114" s="710">
        <f t="shared" si="40"/>
        <v>0</v>
      </c>
      <c r="H114" s="710">
        <f t="shared" si="40"/>
        <v>0</v>
      </c>
      <c r="I114" s="710">
        <f>I113-$D113</f>
        <v>1.0358700000000027</v>
      </c>
      <c r="J114" s="710">
        <f t="shared" si="40"/>
        <v>2.0820987000000031</v>
      </c>
      <c r="K114" s="710">
        <f t="shared" si="40"/>
        <v>3.1387896869999992</v>
      </c>
      <c r="L114" s="710">
        <f t="shared" si="40"/>
        <v>4.2060475838700029</v>
      </c>
      <c r="M114" s="710">
        <f t="shared" si="40"/>
        <v>5.2839780597087014</v>
      </c>
      <c r="N114" s="710">
        <f t="shared" si="40"/>
        <v>6.3726878403057867</v>
      </c>
      <c r="O114" s="710">
        <f t="shared" si="40"/>
        <v>7.472284718708849</v>
      </c>
      <c r="P114" s="710">
        <f t="shared" si="40"/>
        <v>8.5828775658959415</v>
      </c>
      <c r="Q114" s="710">
        <f t="shared" si="40"/>
        <v>9.7045763415548976</v>
      </c>
      <c r="R114" s="710">
        <f t="shared" si="40"/>
        <v>10.837492104970451</v>
      </c>
      <c r="S114" s="710">
        <f t="shared" si="40"/>
        <v>11.981737026020156</v>
      </c>
      <c r="T114" s="710">
        <f t="shared" si="40"/>
        <v>13.137424396280352</v>
      </c>
      <c r="U114" s="710">
        <f t="shared" si="40"/>
        <v>14.30466864024315</v>
      </c>
      <c r="V114" s="710">
        <f t="shared" si="40"/>
        <v>15.483585326645581</v>
      </c>
      <c r="W114" s="710">
        <f t="shared" si="40"/>
        <v>16.674291179912032</v>
      </c>
      <c r="X114" s="710">
        <f t="shared" si="40"/>
        <v>17.876904091711154</v>
      </c>
      <c r="Y114" s="549"/>
      <c r="Z114" s="542"/>
      <c r="AA114" s="542"/>
      <c r="AB114" s="542"/>
      <c r="AC114" s="542"/>
    </row>
    <row r="115" spans="2:29" x14ac:dyDescent="0.2">
      <c r="B115" s="543">
        <f>B156</f>
        <v>5</v>
      </c>
      <c r="C115" s="721" t="s">
        <v>80</v>
      </c>
      <c r="D115" s="710">
        <f>SUM(D114:D114)-(SUM(D114:D114)*(1-D51))</f>
        <v>0</v>
      </c>
      <c r="E115" s="710">
        <f>IF(E23=0,0,SUM(E114:E114))</f>
        <v>0</v>
      </c>
      <c r="F115" s="710">
        <f t="shared" ref="F115:X115" si="41">IF(F23=0,0,((SUM(F114:F114)*(1-F51))))</f>
        <v>0</v>
      </c>
      <c r="G115" s="710">
        <f t="shared" si="41"/>
        <v>0</v>
      </c>
      <c r="H115" s="710">
        <f t="shared" si="41"/>
        <v>0</v>
      </c>
      <c r="I115" s="710">
        <f t="shared" si="41"/>
        <v>1.0358700000000027</v>
      </c>
      <c r="J115" s="710">
        <f t="shared" si="41"/>
        <v>2.0820987000000031</v>
      </c>
      <c r="K115" s="710">
        <f t="shared" si="41"/>
        <v>3.1387896869999992</v>
      </c>
      <c r="L115" s="710">
        <f t="shared" si="41"/>
        <v>4.2060475838700029</v>
      </c>
      <c r="M115" s="710">
        <f t="shared" si="41"/>
        <v>5.2839780597087014</v>
      </c>
      <c r="N115" s="710">
        <f t="shared" si="41"/>
        <v>6.3726878403057867</v>
      </c>
      <c r="O115" s="710">
        <f t="shared" si="41"/>
        <v>7.472284718708849</v>
      </c>
      <c r="P115" s="710">
        <f t="shared" si="41"/>
        <v>8.5828775658959415</v>
      </c>
      <c r="Q115" s="710">
        <f t="shared" si="41"/>
        <v>9.7045763415548976</v>
      </c>
      <c r="R115" s="710">
        <f t="shared" si="41"/>
        <v>10.837492104970451</v>
      </c>
      <c r="S115" s="710">
        <f t="shared" si="41"/>
        <v>11.981737026020156</v>
      </c>
      <c r="T115" s="710">
        <f t="shared" si="41"/>
        <v>13.137424396280352</v>
      </c>
      <c r="U115" s="710">
        <f t="shared" si="41"/>
        <v>14.30466864024315</v>
      </c>
      <c r="V115" s="710">
        <f t="shared" si="41"/>
        <v>15.483585326645581</v>
      </c>
      <c r="W115" s="710">
        <f t="shared" si="41"/>
        <v>16.674291179912032</v>
      </c>
      <c r="X115" s="710">
        <f t="shared" si="41"/>
        <v>17.876904091711154</v>
      </c>
      <c r="Y115" s="549"/>
      <c r="Z115" s="542"/>
      <c r="AA115" s="542"/>
      <c r="AB115" s="542"/>
      <c r="AC115" s="542"/>
    </row>
    <row r="116" spans="2:29" x14ac:dyDescent="0.2">
      <c r="C116" s="552" t="s">
        <v>558</v>
      </c>
      <c r="D116" s="710">
        <f>D115*Assumptions!$C$75</f>
        <v>0</v>
      </c>
      <c r="E116" s="710">
        <f>E115*Assumptions!$C$75</f>
        <v>0</v>
      </c>
      <c r="F116" s="710">
        <f>F115*Assumptions!$C$75</f>
        <v>0</v>
      </c>
      <c r="G116" s="710">
        <f>G115*Assumptions!$C$75</f>
        <v>0</v>
      </c>
      <c r="H116" s="710">
        <f>H115*Assumptions!$C$75</f>
        <v>0</v>
      </c>
      <c r="I116" s="710">
        <f>I115*Assumptions!$C$75</f>
        <v>1.2430440000000034E-2</v>
      </c>
      <c r="J116" s="710">
        <f>J115*Assumptions!$C$75</f>
        <v>2.4985184400000037E-2</v>
      </c>
      <c r="K116" s="710">
        <f>K115*Assumptions!$C$75</f>
        <v>3.766547624399999E-2</v>
      </c>
      <c r="L116" s="710">
        <f>L115*Assumptions!$C$75</f>
        <v>5.0472571006440037E-2</v>
      </c>
      <c r="M116" s="710">
        <f>M115*Assumptions!$C$75</f>
        <v>6.3407736716504418E-2</v>
      </c>
      <c r="N116" s="710">
        <f>N115*Assumptions!$C$75</f>
        <v>7.6472254083669436E-2</v>
      </c>
      <c r="O116" s="710">
        <f>O115*Assumptions!$C$75</f>
        <v>8.9667416624506197E-2</v>
      </c>
      <c r="P116" s="710">
        <f>P115*Assumptions!$C$75</f>
        <v>0.1029945307907513</v>
      </c>
      <c r="Q116" s="710">
        <f>Q115*Assumptions!$C$75</f>
        <v>0.11645491609865877</v>
      </c>
      <c r="R116" s="710">
        <f>R115*Assumptions!$C$75</f>
        <v>0.13004990525964541</v>
      </c>
      <c r="S116" s="710">
        <f>S115*Assumptions!$C$75</f>
        <v>0.14378084431224186</v>
      </c>
      <c r="T116" s="710">
        <f>T115*Assumptions!$C$75</f>
        <v>0.15764909275536423</v>
      </c>
      <c r="U116" s="710">
        <f>U115*Assumptions!$C$75</f>
        <v>0.1716560236829178</v>
      </c>
      <c r="V116" s="710">
        <f>V115*Assumptions!$C$75</f>
        <v>0.18580302391974698</v>
      </c>
      <c r="W116" s="710">
        <f>W115*Assumptions!$C$75</f>
        <v>0.20009149415894439</v>
      </c>
      <c r="X116" s="710">
        <f>X115*Assumptions!$C$75</f>
        <v>0.21452284910053385</v>
      </c>
      <c r="Y116" s="549"/>
      <c r="Z116" s="542"/>
      <c r="AA116" s="542"/>
      <c r="AB116" s="542"/>
      <c r="AC116" s="542"/>
    </row>
    <row r="117" spans="2:29" x14ac:dyDescent="0.2">
      <c r="C117" s="721" t="s">
        <v>81</v>
      </c>
      <c r="D117" s="710">
        <f t="shared" ref="D117:I117" si="42">D101</f>
        <v>0</v>
      </c>
      <c r="E117" s="710">
        <f t="shared" si="42"/>
        <v>0</v>
      </c>
      <c r="F117" s="710">
        <f t="shared" si="42"/>
        <v>0</v>
      </c>
      <c r="G117" s="710">
        <f t="shared" si="42"/>
        <v>0</v>
      </c>
      <c r="H117" s="710">
        <f t="shared" si="42"/>
        <v>0</v>
      </c>
      <c r="I117" s="710">
        <f t="shared" si="42"/>
        <v>1.0543499679690489</v>
      </c>
      <c r="J117" s="710">
        <f>J101</f>
        <v>2.228289581054987</v>
      </c>
      <c r="K117" s="710">
        <f t="shared" ref="K117:X117" si="43">K101</f>
        <v>2.558150715370493</v>
      </c>
      <c r="L117" s="710">
        <f t="shared" si="43"/>
        <v>2.6431580636422551</v>
      </c>
      <c r="M117" s="710">
        <f t="shared" si="43"/>
        <v>2.7309902060970863</v>
      </c>
      <c r="N117" s="710">
        <f t="shared" si="43"/>
        <v>2.8217410106456935</v>
      </c>
      <c r="O117" s="710">
        <f t="shared" si="43"/>
        <v>2.9155074644294481</v>
      </c>
      <c r="P117" s="710">
        <f t="shared" si="43"/>
        <v>3.0123897774724386</v>
      </c>
      <c r="Q117" s="710">
        <f t="shared" si="43"/>
        <v>3.1124914897778475</v>
      </c>
      <c r="R117" s="710">
        <f t="shared" si="43"/>
        <v>3.2159195819831661</v>
      </c>
      <c r="S117" s="710">
        <f t="shared" si="43"/>
        <v>3.322784589692465</v>
      </c>
      <c r="T117" s="710">
        <f t="shared" si="43"/>
        <v>3.4332007216079456</v>
      </c>
      <c r="U117" s="710">
        <f t="shared" si="43"/>
        <v>3.5472859815869775</v>
      </c>
      <c r="V117" s="710">
        <f t="shared" si="43"/>
        <v>3.6651622947551132</v>
      </c>
      <c r="W117" s="710">
        <f t="shared" si="43"/>
        <v>3.7869556378098244</v>
      </c>
      <c r="X117" s="710">
        <f t="shared" si="43"/>
        <v>3.9127961736542449</v>
      </c>
      <c r="Y117" s="549"/>
      <c r="Z117" s="542"/>
      <c r="AA117" s="542"/>
      <c r="AB117" s="542"/>
      <c r="AC117" s="542"/>
    </row>
    <row r="118" spans="2:29" ht="13.5" thickBot="1" x14ac:dyDescent="0.25">
      <c r="C118" s="750" t="s">
        <v>82</v>
      </c>
      <c r="D118" s="751">
        <f>SUM(D117+D115)</f>
        <v>0</v>
      </c>
      <c r="E118" s="751">
        <f>SUM(E117+E115)</f>
        <v>0</v>
      </c>
      <c r="F118" s="751">
        <f>SUM(F117+F115)</f>
        <v>0</v>
      </c>
      <c r="G118" s="751">
        <f>SUM(G117+G115)</f>
        <v>0</v>
      </c>
      <c r="H118" s="751">
        <f>SUM(H117+H114)</f>
        <v>0</v>
      </c>
      <c r="I118" s="751">
        <f>SUM(I117+I114)</f>
        <v>2.0902199679690519</v>
      </c>
      <c r="J118" s="751">
        <f>SUM(J117+J114)</f>
        <v>4.3103882810549905</v>
      </c>
      <c r="K118" s="751">
        <f t="shared" ref="K118:X118" si="44">SUM(K117+K114)</f>
        <v>5.6969404023704922</v>
      </c>
      <c r="L118" s="751">
        <f t="shared" si="44"/>
        <v>6.8492056475122585</v>
      </c>
      <c r="M118" s="751">
        <f t="shared" si="44"/>
        <v>8.0149682658057877</v>
      </c>
      <c r="N118" s="751">
        <f t="shared" si="44"/>
        <v>9.1944288509514802</v>
      </c>
      <c r="O118" s="751">
        <f t="shared" si="44"/>
        <v>10.387792183138297</v>
      </c>
      <c r="P118" s="751">
        <f t="shared" si="44"/>
        <v>11.595267343368381</v>
      </c>
      <c r="Q118" s="751">
        <f t="shared" si="44"/>
        <v>12.817067831332745</v>
      </c>
      <c r="R118" s="751">
        <f t="shared" si="44"/>
        <v>14.053411686953616</v>
      </c>
      <c r="S118" s="751">
        <f t="shared" si="44"/>
        <v>15.30452161571262</v>
      </c>
      <c r="T118" s="751">
        <f t="shared" si="44"/>
        <v>16.570625117888298</v>
      </c>
      <c r="U118" s="751">
        <f t="shared" si="44"/>
        <v>17.851954621830128</v>
      </c>
      <c r="V118" s="751">
        <f t="shared" si="44"/>
        <v>19.148747621400695</v>
      </c>
      <c r="W118" s="751">
        <f t="shared" si="44"/>
        <v>20.461246817721857</v>
      </c>
      <c r="X118" s="751">
        <f t="shared" si="44"/>
        <v>21.789700265365397</v>
      </c>
      <c r="Y118" s="700"/>
      <c r="Z118" s="542"/>
      <c r="AA118" s="542"/>
      <c r="AB118" s="542"/>
      <c r="AC118" s="542"/>
    </row>
    <row r="119" spans="2:29" x14ac:dyDescent="0.2">
      <c r="C119" s="542"/>
      <c r="D119" s="542"/>
      <c r="E119" s="542"/>
      <c r="F119" s="542"/>
      <c r="G119" s="538"/>
      <c r="H119" s="542"/>
      <c r="I119" s="542"/>
      <c r="J119" s="542"/>
      <c r="K119" s="542"/>
      <c r="L119" s="542"/>
      <c r="M119" s="542"/>
      <c r="N119" s="542"/>
      <c r="O119" s="542"/>
      <c r="P119" s="538"/>
      <c r="Q119" s="542"/>
      <c r="R119" s="542"/>
      <c r="S119" s="542"/>
      <c r="T119" s="542"/>
      <c r="U119" s="542"/>
      <c r="V119" s="542"/>
      <c r="W119" s="542"/>
      <c r="X119" s="542"/>
      <c r="Y119" s="542"/>
      <c r="Z119" s="542"/>
      <c r="AA119" s="542"/>
      <c r="AB119" s="542"/>
      <c r="AC119" s="542"/>
    </row>
    <row r="120" spans="2:29" x14ac:dyDescent="0.2">
      <c r="H120" s="725"/>
      <c r="I120" s="632"/>
      <c r="J120" s="632"/>
      <c r="K120" s="632"/>
      <c r="L120" s="632"/>
      <c r="M120" s="632"/>
      <c r="N120" s="632"/>
      <c r="O120" s="726"/>
      <c r="P120" s="726"/>
      <c r="Q120" s="726"/>
      <c r="R120" s="726"/>
      <c r="S120" s="726"/>
      <c r="T120" s="726"/>
      <c r="U120" s="726"/>
      <c r="V120" s="726"/>
      <c r="W120" s="726"/>
      <c r="X120" s="726"/>
    </row>
    <row r="121" spans="2:29" ht="13.5" thickBot="1" x14ac:dyDescent="0.25">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row>
    <row r="122" spans="2:29" x14ac:dyDescent="0.2">
      <c r="C122" s="756"/>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6"/>
    </row>
    <row r="123" spans="2:29" x14ac:dyDescent="0.2">
      <c r="C123" s="757" t="s">
        <v>83</v>
      </c>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7"/>
    </row>
    <row r="124" spans="2:29" s="240" customFormat="1" x14ac:dyDescent="0.2">
      <c r="C124" s="548"/>
      <c r="D124" s="111">
        <v>2008</v>
      </c>
      <c r="E124" s="111">
        <v>2009</v>
      </c>
      <c r="F124" s="111">
        <v>2010</v>
      </c>
      <c r="G124" s="111">
        <v>2011</v>
      </c>
      <c r="H124" s="111">
        <v>2012</v>
      </c>
      <c r="I124" s="111">
        <v>2013</v>
      </c>
      <c r="J124" s="111">
        <v>2014</v>
      </c>
      <c r="K124" s="111">
        <v>2015</v>
      </c>
      <c r="L124" s="111">
        <v>2016</v>
      </c>
      <c r="M124" s="111">
        <v>2017</v>
      </c>
      <c r="N124" s="111">
        <v>2018</v>
      </c>
      <c r="O124" s="111">
        <v>2019</v>
      </c>
      <c r="P124" s="111">
        <v>2020</v>
      </c>
      <c r="Q124" s="111">
        <v>2021</v>
      </c>
      <c r="R124" s="111">
        <v>2022</v>
      </c>
      <c r="S124" s="111">
        <v>2023</v>
      </c>
      <c r="T124" s="111">
        <v>2024</v>
      </c>
      <c r="U124" s="111">
        <v>2025</v>
      </c>
      <c r="V124" s="111">
        <v>2026</v>
      </c>
      <c r="W124" s="111">
        <v>2027</v>
      </c>
      <c r="X124" s="111">
        <v>2028</v>
      </c>
      <c r="Y124" s="550"/>
    </row>
    <row r="125" spans="2:29" x14ac:dyDescent="0.2">
      <c r="C125" s="728" t="s">
        <v>93</v>
      </c>
      <c r="D125" s="553"/>
      <c r="E125" s="553"/>
      <c r="F125" s="553"/>
      <c r="G125" s="553"/>
      <c r="H125" s="553"/>
      <c r="I125" s="553"/>
      <c r="J125" s="542"/>
      <c r="K125" s="542"/>
      <c r="L125" s="542"/>
      <c r="M125" s="542"/>
      <c r="N125" s="542"/>
      <c r="O125" s="542"/>
      <c r="P125" s="542"/>
      <c r="Q125" s="542"/>
      <c r="R125" s="542"/>
      <c r="S125" s="542"/>
      <c r="T125" s="542"/>
      <c r="U125" s="542"/>
      <c r="V125" s="542"/>
      <c r="W125" s="542"/>
      <c r="X125" s="542"/>
      <c r="Y125" s="549"/>
    </row>
    <row r="126" spans="2:29" x14ac:dyDescent="0.2">
      <c r="C126" s="729"/>
      <c r="D126" s="553"/>
      <c r="E126" s="553"/>
      <c r="F126" s="553"/>
      <c r="G126" s="553"/>
      <c r="H126" s="553"/>
      <c r="I126" s="553"/>
      <c r="J126" s="542"/>
      <c r="K126" s="542"/>
      <c r="L126" s="542"/>
      <c r="M126" s="542"/>
      <c r="N126" s="542"/>
      <c r="O126" s="542"/>
      <c r="P126" s="542"/>
      <c r="Q126" s="542"/>
      <c r="R126" s="542"/>
      <c r="S126" s="542"/>
      <c r="T126" s="542"/>
      <c r="U126" s="542"/>
      <c r="V126" s="542"/>
      <c r="W126" s="542"/>
      <c r="X126" s="542"/>
      <c r="Y126" s="549"/>
    </row>
    <row r="127" spans="2:29" x14ac:dyDescent="0.2">
      <c r="C127" s="723" t="s">
        <v>84</v>
      </c>
      <c r="D127" s="542"/>
      <c r="E127" s="542"/>
      <c r="F127" s="542"/>
      <c r="G127" s="542"/>
      <c r="H127" s="542"/>
      <c r="I127" s="542"/>
      <c r="J127" s="542"/>
      <c r="K127" s="542"/>
      <c r="L127" s="542"/>
      <c r="M127" s="542"/>
      <c r="N127" s="542"/>
      <c r="O127" s="542"/>
      <c r="P127" s="542"/>
      <c r="Q127" s="542"/>
      <c r="R127" s="542"/>
      <c r="S127" s="542"/>
      <c r="T127" s="542"/>
      <c r="U127" s="542"/>
      <c r="V127" s="542"/>
      <c r="W127" s="542"/>
      <c r="X127" s="542"/>
      <c r="Y127" s="549"/>
    </row>
    <row r="128" spans="2:29" x14ac:dyDescent="0.2">
      <c r="C128" s="713" t="s">
        <v>10</v>
      </c>
      <c r="D128" s="730">
        <f>Assumptions!C48</f>
        <v>0.57000000000000006</v>
      </c>
      <c r="E128" s="730">
        <f>$D128</f>
        <v>0.57000000000000006</v>
      </c>
      <c r="F128" s="730">
        <f t="shared" ref="F128:X130" si="45">$D128</f>
        <v>0.57000000000000006</v>
      </c>
      <c r="G128" s="730">
        <f t="shared" si="45"/>
        <v>0.57000000000000006</v>
      </c>
      <c r="H128" s="730">
        <f t="shared" si="45"/>
        <v>0.57000000000000006</v>
      </c>
      <c r="I128" s="730">
        <f t="shared" si="45"/>
        <v>0.57000000000000006</v>
      </c>
      <c r="J128" s="730">
        <f t="shared" si="45"/>
        <v>0.57000000000000006</v>
      </c>
      <c r="K128" s="730">
        <f t="shared" si="45"/>
        <v>0.57000000000000006</v>
      </c>
      <c r="L128" s="730">
        <f t="shared" si="45"/>
        <v>0.57000000000000006</v>
      </c>
      <c r="M128" s="730">
        <f t="shared" si="45"/>
        <v>0.57000000000000006</v>
      </c>
      <c r="N128" s="730">
        <f t="shared" si="45"/>
        <v>0.57000000000000006</v>
      </c>
      <c r="O128" s="730">
        <f t="shared" si="45"/>
        <v>0.57000000000000006</v>
      </c>
      <c r="P128" s="730">
        <f t="shared" si="45"/>
        <v>0.57000000000000006</v>
      </c>
      <c r="Q128" s="730">
        <f t="shared" si="45"/>
        <v>0.57000000000000006</v>
      </c>
      <c r="R128" s="730">
        <f t="shared" si="45"/>
        <v>0.57000000000000006</v>
      </c>
      <c r="S128" s="730">
        <f t="shared" si="45"/>
        <v>0.57000000000000006</v>
      </c>
      <c r="T128" s="730">
        <f t="shared" si="45"/>
        <v>0.57000000000000006</v>
      </c>
      <c r="U128" s="730">
        <f t="shared" si="45"/>
        <v>0.57000000000000006</v>
      </c>
      <c r="V128" s="730">
        <f t="shared" si="45"/>
        <v>0.57000000000000006</v>
      </c>
      <c r="W128" s="730">
        <f t="shared" si="45"/>
        <v>0.57000000000000006</v>
      </c>
      <c r="X128" s="730">
        <f t="shared" si="45"/>
        <v>0.57000000000000006</v>
      </c>
      <c r="Y128" s="549"/>
    </row>
    <row r="129" spans="2:25" x14ac:dyDescent="0.2">
      <c r="C129" s="713" t="s">
        <v>44</v>
      </c>
      <c r="D129" s="730">
        <f>Assumptions!C49</f>
        <v>0.59699999999999998</v>
      </c>
      <c r="E129" s="730">
        <f t="shared" ref="E129:T130" si="46">$D129</f>
        <v>0.59699999999999998</v>
      </c>
      <c r="F129" s="730">
        <f t="shared" si="46"/>
        <v>0.59699999999999998</v>
      </c>
      <c r="G129" s="730">
        <f t="shared" si="46"/>
        <v>0.59699999999999998</v>
      </c>
      <c r="H129" s="730">
        <f t="shared" si="46"/>
        <v>0.59699999999999998</v>
      </c>
      <c r="I129" s="730">
        <f t="shared" si="46"/>
        <v>0.59699999999999998</v>
      </c>
      <c r="J129" s="730">
        <f t="shared" si="46"/>
        <v>0.59699999999999998</v>
      </c>
      <c r="K129" s="730">
        <f t="shared" si="46"/>
        <v>0.59699999999999998</v>
      </c>
      <c r="L129" s="730">
        <f t="shared" si="46"/>
        <v>0.59699999999999998</v>
      </c>
      <c r="M129" s="730">
        <f t="shared" si="46"/>
        <v>0.59699999999999998</v>
      </c>
      <c r="N129" s="730">
        <f t="shared" si="46"/>
        <v>0.59699999999999998</v>
      </c>
      <c r="O129" s="730">
        <f t="shared" si="46"/>
        <v>0.59699999999999998</v>
      </c>
      <c r="P129" s="730">
        <f t="shared" si="46"/>
        <v>0.59699999999999998</v>
      </c>
      <c r="Q129" s="730">
        <f t="shared" si="46"/>
        <v>0.59699999999999998</v>
      </c>
      <c r="R129" s="730">
        <f t="shared" si="46"/>
        <v>0.59699999999999998</v>
      </c>
      <c r="S129" s="730">
        <f t="shared" si="46"/>
        <v>0.59699999999999998</v>
      </c>
      <c r="T129" s="730">
        <f t="shared" si="46"/>
        <v>0.59699999999999998</v>
      </c>
      <c r="U129" s="730">
        <f t="shared" si="45"/>
        <v>0.59699999999999998</v>
      </c>
      <c r="V129" s="730">
        <f t="shared" si="45"/>
        <v>0.59699999999999998</v>
      </c>
      <c r="W129" s="730">
        <f t="shared" si="45"/>
        <v>0.59699999999999998</v>
      </c>
      <c r="X129" s="730">
        <f t="shared" si="45"/>
        <v>0.59699999999999998</v>
      </c>
      <c r="Y129" s="549"/>
    </row>
    <row r="130" spans="2:25" x14ac:dyDescent="0.2">
      <c r="C130" s="713" t="s">
        <v>101</v>
      </c>
      <c r="D130" s="730">
        <f>Assumptions!C50</f>
        <v>0.69599999999999995</v>
      </c>
      <c r="E130" s="730">
        <f t="shared" si="46"/>
        <v>0.69599999999999995</v>
      </c>
      <c r="F130" s="730">
        <f t="shared" si="45"/>
        <v>0.69599999999999995</v>
      </c>
      <c r="G130" s="730">
        <f t="shared" si="45"/>
        <v>0.69599999999999995</v>
      </c>
      <c r="H130" s="730">
        <f t="shared" si="45"/>
        <v>0.69599999999999995</v>
      </c>
      <c r="I130" s="730">
        <f t="shared" si="45"/>
        <v>0.69599999999999995</v>
      </c>
      <c r="J130" s="730">
        <f t="shared" si="45"/>
        <v>0.69599999999999995</v>
      </c>
      <c r="K130" s="730">
        <f t="shared" si="45"/>
        <v>0.69599999999999995</v>
      </c>
      <c r="L130" s="730">
        <f t="shared" si="45"/>
        <v>0.69599999999999995</v>
      </c>
      <c r="M130" s="730">
        <f t="shared" si="45"/>
        <v>0.69599999999999995</v>
      </c>
      <c r="N130" s="730">
        <f t="shared" si="45"/>
        <v>0.69599999999999995</v>
      </c>
      <c r="O130" s="730">
        <f t="shared" si="45"/>
        <v>0.69599999999999995</v>
      </c>
      <c r="P130" s="730">
        <f t="shared" si="45"/>
        <v>0.69599999999999995</v>
      </c>
      <c r="Q130" s="730">
        <f t="shared" si="45"/>
        <v>0.69599999999999995</v>
      </c>
      <c r="R130" s="730">
        <f t="shared" si="45"/>
        <v>0.69599999999999995</v>
      </c>
      <c r="S130" s="730">
        <f t="shared" si="45"/>
        <v>0.69599999999999995</v>
      </c>
      <c r="T130" s="730">
        <f t="shared" si="45"/>
        <v>0.69599999999999995</v>
      </c>
      <c r="U130" s="730">
        <f t="shared" si="45"/>
        <v>0.69599999999999995</v>
      </c>
      <c r="V130" s="730">
        <f t="shared" si="45"/>
        <v>0.69599999999999995</v>
      </c>
      <c r="W130" s="730">
        <f t="shared" si="45"/>
        <v>0.69599999999999995</v>
      </c>
      <c r="X130" s="730">
        <f t="shared" si="45"/>
        <v>0.69599999999999995</v>
      </c>
      <c r="Y130" s="549"/>
    </row>
    <row r="131" spans="2:25"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549"/>
    </row>
    <row r="132" spans="2:25"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49"/>
    </row>
    <row r="133" spans="2:25" x14ac:dyDescent="0.2">
      <c r="B133" s="720"/>
      <c r="C133" s="713" t="s">
        <v>10</v>
      </c>
      <c r="D133" s="553">
        <f t="shared" ref="D133:X133" si="47">D97*$AB$69*D128</f>
        <v>0</v>
      </c>
      <c r="E133" s="553">
        <f t="shared" si="47"/>
        <v>0</v>
      </c>
      <c r="F133" s="553">
        <f t="shared" si="47"/>
        <v>0</v>
      </c>
      <c r="G133" s="553">
        <f t="shared" si="47"/>
        <v>0</v>
      </c>
      <c r="H133" s="553">
        <f t="shared" si="47"/>
        <v>0</v>
      </c>
      <c r="I133" s="553">
        <f t="shared" si="47"/>
        <v>303.18687828000003</v>
      </c>
      <c r="J133" s="553">
        <f t="shared" si="47"/>
        <v>640.76272822890894</v>
      </c>
      <c r="K133" s="553">
        <f t="shared" si="47"/>
        <v>735.61697076439498</v>
      </c>
      <c r="L133" s="553">
        <f t="shared" si="47"/>
        <v>760.06152270289601</v>
      </c>
      <c r="M133" s="553">
        <f t="shared" si="47"/>
        <v>785.318367102313</v>
      </c>
      <c r="N133" s="553">
        <f t="shared" si="47"/>
        <v>811.41449644112299</v>
      </c>
      <c r="O133" s="553">
        <f t="shared" si="47"/>
        <v>838.37780015786109</v>
      </c>
      <c r="P133" s="553">
        <f t="shared" si="47"/>
        <v>866.23709445710699</v>
      </c>
      <c r="Q133" s="553">
        <f t="shared" si="47"/>
        <v>895.02215310591635</v>
      </c>
      <c r="R133" s="553">
        <f t="shared" si="47"/>
        <v>924.76373925362623</v>
      </c>
      <c r="S133" s="553">
        <f t="shared" si="47"/>
        <v>955.49363830902382</v>
      </c>
      <c r="T133" s="553">
        <f t="shared" si="47"/>
        <v>987.24469191003266</v>
      </c>
      <c r="U133" s="553">
        <f t="shared" si="47"/>
        <v>1020.0508330222031</v>
      </c>
      <c r="V133" s="553">
        <f t="shared" si="47"/>
        <v>1053.9471222035309</v>
      </c>
      <c r="W133" s="553">
        <f t="shared" si="47"/>
        <v>1088.9697850743537</v>
      </c>
      <c r="X133" s="553">
        <f t="shared" si="47"/>
        <v>1125.1562510323747</v>
      </c>
      <c r="Y133" s="549"/>
    </row>
    <row r="134" spans="2:25" x14ac:dyDescent="0.2">
      <c r="C134" s="713" t="s">
        <v>44</v>
      </c>
      <c r="D134" s="553">
        <f t="shared" ref="D134:X134" si="48">D98*$AB$69*D129</f>
        <v>0</v>
      </c>
      <c r="E134" s="553">
        <f t="shared" si="48"/>
        <v>0</v>
      </c>
      <c r="F134" s="553">
        <f t="shared" si="48"/>
        <v>0</v>
      </c>
      <c r="G134" s="553">
        <f t="shared" si="48"/>
        <v>0</v>
      </c>
      <c r="H134" s="553">
        <f t="shared" si="48"/>
        <v>0</v>
      </c>
      <c r="I134" s="553">
        <f t="shared" si="48"/>
        <v>200.29973602319998</v>
      </c>
      <c r="J134" s="553">
        <f t="shared" si="48"/>
        <v>423.31846960483136</v>
      </c>
      <c r="K134" s="553">
        <f t="shared" si="48"/>
        <v>485.98371372199978</v>
      </c>
      <c r="L134" s="553">
        <f t="shared" si="48"/>
        <v>502.13295252898183</v>
      </c>
      <c r="M134" s="553">
        <f t="shared" si="48"/>
        <v>518.81883054151979</v>
      </c>
      <c r="N134" s="553">
        <f t="shared" si="48"/>
        <v>536.05918028041469</v>
      </c>
      <c r="O134" s="553">
        <f t="shared" si="48"/>
        <v>553.87242684113255</v>
      </c>
      <c r="P134" s="553">
        <f t="shared" si="48"/>
        <v>572.27760758506338</v>
      </c>
      <c r="Q134" s="553">
        <f t="shared" si="48"/>
        <v>591.29439248511517</v>
      </c>
      <c r="R134" s="553">
        <f t="shared" si="48"/>
        <v>610.9431051473955</v>
      </c>
      <c r="S134" s="553">
        <f t="shared" si="48"/>
        <v>631.24474453144319</v>
      </c>
      <c r="T134" s="553">
        <f t="shared" si="48"/>
        <v>652.22100739222299</v>
      </c>
      <c r="U134" s="553">
        <f t="shared" si="48"/>
        <v>673.89431146786649</v>
      </c>
      <c r="V134" s="553">
        <f t="shared" si="48"/>
        <v>696.28781943794388</v>
      </c>
      <c r="W134" s="553">
        <f t="shared" si="48"/>
        <v>719.42546367786645</v>
      </c>
      <c r="X134" s="553">
        <f t="shared" si="48"/>
        <v>743.33197183588209</v>
      </c>
      <c r="Y134" s="549"/>
    </row>
    <row r="135" spans="2:25" x14ac:dyDescent="0.2">
      <c r="C135" s="713" t="s">
        <v>45</v>
      </c>
      <c r="D135" s="553">
        <f t="shared" ref="D135:X135" si="49">D99*$AB$69*D130</f>
        <v>0</v>
      </c>
      <c r="E135" s="553">
        <f t="shared" si="49"/>
        <v>0</v>
      </c>
      <c r="F135" s="553">
        <f t="shared" si="49"/>
        <v>0</v>
      </c>
      <c r="G135" s="553">
        <f t="shared" si="49"/>
        <v>0</v>
      </c>
      <c r="H135" s="553">
        <f t="shared" si="49"/>
        <v>0</v>
      </c>
      <c r="I135" s="553">
        <f t="shared" si="49"/>
        <v>130.10517198485809</v>
      </c>
      <c r="J135" s="553">
        <f t="shared" si="49"/>
        <v>274.96752310209865</v>
      </c>
      <c r="K135" s="553">
        <f t="shared" si="49"/>
        <v>315.67188210531259</v>
      </c>
      <c r="L135" s="553">
        <f t="shared" si="49"/>
        <v>326.16165874767211</v>
      </c>
      <c r="M135" s="553">
        <f t="shared" si="49"/>
        <v>337.00001066785717</v>
      </c>
      <c r="N135" s="553">
        <f t="shared" si="49"/>
        <v>348.19852102235023</v>
      </c>
      <c r="O135" s="553">
        <f t="shared" si="49"/>
        <v>359.7691578759227</v>
      </c>
      <c r="P135" s="553">
        <f t="shared" si="49"/>
        <v>371.72428699213975</v>
      </c>
      <c r="Q135" s="553">
        <f t="shared" si="49"/>
        <v>384.07668504888846</v>
      </c>
      <c r="R135" s="553">
        <f t="shared" si="49"/>
        <v>396.83955329306309</v>
      </c>
      <c r="S135" s="553">
        <f t="shared" si="49"/>
        <v>410.02653164899141</v>
      </c>
      <c r="T135" s="553">
        <f t="shared" si="49"/>
        <v>423.65171329568733</v>
      </c>
      <c r="U135" s="553">
        <f t="shared" si="49"/>
        <v>437.72965972850301</v>
      </c>
      <c r="V135" s="553">
        <f t="shared" si="49"/>
        <v>452.27541632128123</v>
      </c>
      <c r="W135" s="553">
        <f t="shared" si="49"/>
        <v>467.30452840563714</v>
      </c>
      <c r="X135" s="553">
        <f t="shared" si="49"/>
        <v>482.83305788455652</v>
      </c>
      <c r="Y135" s="549"/>
    </row>
    <row r="136" spans="2:25"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49"/>
    </row>
    <row r="137" spans="2:25" x14ac:dyDescent="0.2">
      <c r="C137" s="536" t="s">
        <v>86</v>
      </c>
      <c r="D137" s="554">
        <f t="shared" ref="D137:X137" si="50">SUM(D133:D135)*0.001</f>
        <v>0</v>
      </c>
      <c r="E137" s="554">
        <f t="shared" si="50"/>
        <v>0</v>
      </c>
      <c r="F137" s="554">
        <f>SUM(F133:F135)*0.001</f>
        <v>0</v>
      </c>
      <c r="G137" s="554">
        <f t="shared" si="50"/>
        <v>0</v>
      </c>
      <c r="H137" s="554">
        <f t="shared" si="50"/>
        <v>0</v>
      </c>
      <c r="I137" s="554">
        <f t="shared" si="50"/>
        <v>0.63359178628805812</v>
      </c>
      <c r="J137" s="554">
        <f t="shared" si="50"/>
        <v>1.3390487209358388</v>
      </c>
      <c r="K137" s="554">
        <f t="shared" si="50"/>
        <v>1.5372725665917073</v>
      </c>
      <c r="L137" s="554">
        <f>SUM(L133:L135)*0.001</f>
        <v>1.58835613397955</v>
      </c>
      <c r="M137" s="554">
        <f t="shared" si="50"/>
        <v>1.64113720831169</v>
      </c>
      <c r="N137" s="554">
        <f t="shared" si="50"/>
        <v>1.695672197743888</v>
      </c>
      <c r="O137" s="554">
        <f t="shared" si="50"/>
        <v>1.7520193848749164</v>
      </c>
      <c r="P137" s="554">
        <f t="shared" si="50"/>
        <v>1.8102389890343102</v>
      </c>
      <c r="Q137" s="554">
        <f t="shared" si="50"/>
        <v>1.8703932306399202</v>
      </c>
      <c r="R137" s="554">
        <f t="shared" si="50"/>
        <v>1.9325463976940849</v>
      </c>
      <c r="S137" s="554">
        <f t="shared" si="50"/>
        <v>1.9967649144894586</v>
      </c>
      <c r="T137" s="554">
        <f t="shared" si="50"/>
        <v>2.063117412597943</v>
      </c>
      <c r="U137" s="554">
        <f t="shared" si="50"/>
        <v>2.1316748042185729</v>
      </c>
      <c r="V137" s="554">
        <f t="shared" si="50"/>
        <v>2.2025103579627556</v>
      </c>
      <c r="W137" s="554">
        <f t="shared" si="50"/>
        <v>2.2756997771578571</v>
      </c>
      <c r="X137" s="554">
        <f t="shared" si="50"/>
        <v>2.3513212807528134</v>
      </c>
      <c r="Y137" s="549"/>
    </row>
    <row r="138" spans="2:25" x14ac:dyDescent="0.2">
      <c r="C138" s="731"/>
      <c r="D138" s="553"/>
      <c r="E138" s="553"/>
      <c r="F138" s="553"/>
      <c r="G138" s="553"/>
      <c r="H138" s="553"/>
      <c r="I138" s="554"/>
      <c r="J138" s="554"/>
      <c r="K138" s="554"/>
      <c r="L138" s="554"/>
      <c r="M138" s="554"/>
      <c r="N138" s="554"/>
      <c r="O138" s="554"/>
      <c r="P138" s="554"/>
      <c r="Q138" s="554"/>
      <c r="R138" s="554"/>
      <c r="S138" s="554"/>
      <c r="T138" s="554"/>
      <c r="U138" s="554"/>
      <c r="V138" s="554"/>
      <c r="W138" s="554"/>
      <c r="X138" s="554"/>
      <c r="Y138" s="549"/>
    </row>
    <row r="139" spans="2:25" x14ac:dyDescent="0.2">
      <c r="C139" s="536" t="s">
        <v>71</v>
      </c>
      <c r="D139" s="553"/>
      <c r="E139" s="553"/>
      <c r="F139" s="553"/>
      <c r="G139" s="553"/>
      <c r="H139" s="553"/>
      <c r="I139" s="554"/>
      <c r="J139" s="554"/>
      <c r="K139" s="554"/>
      <c r="L139" s="554"/>
      <c r="M139" s="554"/>
      <c r="N139" s="554"/>
      <c r="O139" s="554"/>
      <c r="P139" s="554"/>
      <c r="Q139" s="554"/>
      <c r="R139" s="554"/>
      <c r="S139" s="554"/>
      <c r="T139" s="554"/>
      <c r="U139" s="554"/>
      <c r="V139" s="554"/>
      <c r="W139" s="554"/>
      <c r="X139" s="554"/>
      <c r="Y139" s="549"/>
    </row>
    <row r="140" spans="2:25" x14ac:dyDescent="0.2">
      <c r="C140" s="71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0.30558165000000082</v>
      </c>
      <c r="J140" s="711">
        <f>IF(J23=1,(Assumptions!$C$51*J115),0)</f>
        <v>0.61421911650000083</v>
      </c>
      <c r="K140" s="711">
        <f>IF(K23=1,(Assumptions!$C$51*K115),0)</f>
        <v>0.92594295766499968</v>
      </c>
      <c r="L140" s="711">
        <f>IF(L23=1,(Assumptions!$C$51*L115),0)</f>
        <v>1.2407840372416508</v>
      </c>
      <c r="M140" s="711">
        <f>IF(M23=1,(Assumptions!$C$51*M115),0)</f>
        <v>1.5587735276140668</v>
      </c>
      <c r="N140" s="711">
        <f>IF(N23=1,(Assumptions!$C$51*N115),0)</f>
        <v>1.879942912890207</v>
      </c>
      <c r="O140" s="711">
        <f>IF(O23=1,(Assumptions!$C$51*O115),0)</f>
        <v>2.2043239920191104</v>
      </c>
      <c r="P140" s="711">
        <f>IF(P23=1,(Assumptions!$C$51*P115),0)</f>
        <v>2.5319488819393028</v>
      </c>
      <c r="Q140" s="711">
        <f>IF(Q23=1,(Assumptions!$C$51*Q115),0)</f>
        <v>2.8628500207586947</v>
      </c>
      <c r="R140" s="711">
        <f>IF(R23=1,(Assumptions!$C$51*R115),0)</f>
        <v>3.1970601709662829</v>
      </c>
      <c r="S140" s="711">
        <f>IF(S23=1,(Assumptions!$C$51*S115),0)</f>
        <v>3.5346124226759459</v>
      </c>
      <c r="T140" s="711">
        <f>IF(T23=1,(Assumptions!$C$51*T115),0)</f>
        <v>3.8755401969027035</v>
      </c>
      <c r="U140" s="711">
        <f>IF(U23=1,(Assumptions!$C$51*U115),0)</f>
        <v>4.2198772488717289</v>
      </c>
      <c r="V140" s="711">
        <f>IF(V23=1,(Assumptions!$C$51*V115),0)</f>
        <v>4.567657671360446</v>
      </c>
      <c r="W140" s="711">
        <f>IF(W23=1,(Assumptions!$C$51*W115),0)</f>
        <v>4.9189158980740491</v>
      </c>
      <c r="X140" s="711">
        <f>IF(X23=1,(Assumptions!$C$51*X115),0)</f>
        <v>5.2736867070547904</v>
      </c>
      <c r="Y140" s="549"/>
    </row>
    <row r="141" spans="2:25" x14ac:dyDescent="0.2">
      <c r="C141" s="536" t="s">
        <v>92</v>
      </c>
      <c r="D141" s="554">
        <f t="shared" ref="D141:X141" si="51">D137+D140</f>
        <v>0</v>
      </c>
      <c r="E141" s="554">
        <f>E137+E140</f>
        <v>0</v>
      </c>
      <c r="F141" s="554">
        <f>F137+F140</f>
        <v>0</v>
      </c>
      <c r="G141" s="554">
        <f t="shared" si="51"/>
        <v>0</v>
      </c>
      <c r="H141" s="554">
        <f t="shared" si="51"/>
        <v>0</v>
      </c>
      <c r="I141" s="554">
        <f>I137+I140</f>
        <v>0.93917343628805894</v>
      </c>
      <c r="J141" s="554">
        <f>J137+J140</f>
        <v>1.9532678374358396</v>
      </c>
      <c r="K141" s="554">
        <f t="shared" si="51"/>
        <v>2.4632155242567069</v>
      </c>
      <c r="L141" s="554">
        <f>L137+L140</f>
        <v>2.8291401712212005</v>
      </c>
      <c r="M141" s="554">
        <f t="shared" si="51"/>
        <v>3.1999107359257568</v>
      </c>
      <c r="N141" s="554">
        <f t="shared" si="51"/>
        <v>3.5756151106340948</v>
      </c>
      <c r="O141" s="554">
        <f t="shared" si="51"/>
        <v>3.9563433768940266</v>
      </c>
      <c r="P141" s="554">
        <f t="shared" si="51"/>
        <v>4.3421878709736133</v>
      </c>
      <c r="Q141" s="554">
        <f t="shared" si="51"/>
        <v>4.7332432513986147</v>
      </c>
      <c r="R141" s="554">
        <f t="shared" si="51"/>
        <v>5.1296065686603676</v>
      </c>
      <c r="S141" s="554">
        <f t="shared" si="51"/>
        <v>5.531377337165404</v>
      </c>
      <c r="T141" s="554">
        <f t="shared" si="51"/>
        <v>5.9386576095006465</v>
      </c>
      <c r="U141" s="554">
        <f t="shared" si="51"/>
        <v>6.3515520530903018</v>
      </c>
      <c r="V141" s="554">
        <f t="shared" si="51"/>
        <v>6.7701680293232016</v>
      </c>
      <c r="W141" s="554">
        <f t="shared" si="51"/>
        <v>7.1946156752319066</v>
      </c>
      <c r="X141" s="554">
        <f t="shared" si="51"/>
        <v>7.6250079878076038</v>
      </c>
      <c r="Y141" s="549"/>
    </row>
    <row r="142" spans="2:25" x14ac:dyDescent="0.2">
      <c r="C142" s="536"/>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549"/>
    </row>
    <row r="143" spans="2:25"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549"/>
    </row>
    <row r="144" spans="2:25" x14ac:dyDescent="0.2">
      <c r="C144" s="536" t="s">
        <v>556</v>
      </c>
      <c r="D144" s="711">
        <f>D116*Assumptions!$C$51</f>
        <v>0</v>
      </c>
      <c r="E144" s="711">
        <f>E116*Assumptions!$C$51</f>
        <v>0</v>
      </c>
      <c r="F144" s="711">
        <f>F116*Assumptions!$C$51</f>
        <v>0</v>
      </c>
      <c r="G144" s="711">
        <f>G116*Assumptions!$C$51</f>
        <v>0</v>
      </c>
      <c r="H144" s="711">
        <f>H116*Assumptions!$C$51</f>
        <v>0</v>
      </c>
      <c r="I144" s="711">
        <f>I116*Assumptions!$C$51</f>
        <v>3.6669798000000097E-3</v>
      </c>
      <c r="J144" s="711">
        <f>J116*Assumptions!$C$51</f>
        <v>7.3706293980000106E-3</v>
      </c>
      <c r="K144" s="711">
        <f>K116*Assumptions!$C$51</f>
        <v>1.1111315491979997E-2</v>
      </c>
      <c r="L144" s="711">
        <f>L116*Assumptions!$C$51</f>
        <v>1.488940844689981E-2</v>
      </c>
      <c r="M144" s="711">
        <f>M116*Assumptions!$C$51</f>
        <v>1.8705282331368801E-2</v>
      </c>
      <c r="N144" s="711">
        <f>N116*Assumptions!$C$51</f>
        <v>2.2559314954682483E-2</v>
      </c>
      <c r="O144" s="711">
        <f>O116*Assumptions!$C$51</f>
        <v>2.6451887904229327E-2</v>
      </c>
      <c r="P144" s="711">
        <f>P116*Assumptions!$C$51</f>
        <v>3.0383386583271631E-2</v>
      </c>
      <c r="Q144" s="711">
        <f>Q116*Assumptions!$C$51</f>
        <v>3.4354200249104336E-2</v>
      </c>
      <c r="R144" s="711">
        <f>R116*Assumptions!$C$51</f>
        <v>3.8364722051595392E-2</v>
      </c>
      <c r="S144" s="711">
        <f>S116*Assumptions!$C$51</f>
        <v>4.241534907211135E-2</v>
      </c>
      <c r="T144" s="711">
        <f>T116*Assumptions!$C$51</f>
        <v>4.6506482362832446E-2</v>
      </c>
      <c r="U144" s="711">
        <f>U116*Assumptions!$C$51</f>
        <v>5.063852698646075E-2</v>
      </c>
      <c r="V144" s="711">
        <f>V116*Assumptions!$C$51</f>
        <v>5.4811892056325355E-2</v>
      </c>
      <c r="W144" s="711">
        <f>W116*Assumptions!$C$51</f>
        <v>5.9026990776888597E-2</v>
      </c>
      <c r="X144" s="711">
        <f>X116*Assumptions!$C$51</f>
        <v>6.3284240484657486E-2</v>
      </c>
      <c r="Y144" s="549"/>
    </row>
    <row r="145" spans="1:25" x14ac:dyDescent="0.2">
      <c r="C145" s="723"/>
      <c r="D145" s="554"/>
      <c r="E145" s="554"/>
      <c r="F145" s="554"/>
      <c r="G145" s="554"/>
      <c r="H145" s="554"/>
      <c r="I145" s="554"/>
      <c r="J145" s="554"/>
      <c r="K145" s="554"/>
      <c r="L145" s="554"/>
      <c r="M145" s="554"/>
      <c r="N145" s="554"/>
      <c r="O145" s="554"/>
      <c r="P145" s="554"/>
      <c r="Q145" s="554"/>
      <c r="R145" s="554"/>
      <c r="S145" s="554"/>
      <c r="T145" s="554"/>
      <c r="U145" s="554"/>
      <c r="V145" s="554"/>
      <c r="W145" s="554"/>
      <c r="X145" s="554"/>
      <c r="Y145" s="549"/>
    </row>
    <row r="146" spans="1:25" x14ac:dyDescent="0.2">
      <c r="C146" s="536" t="s">
        <v>89</v>
      </c>
      <c r="D146" s="554">
        <f>D141*'ERR &amp; Sensitivity Analysis'!$G$10</f>
        <v>0</v>
      </c>
      <c r="E146" s="554">
        <f>(E141+E144)*'ERR &amp; Sensitivity Analysis'!$G$10</f>
        <v>0</v>
      </c>
      <c r="F146" s="554">
        <f>(F141+F144)*'ERR &amp; Sensitivity Analysis'!$G$10</f>
        <v>0</v>
      </c>
      <c r="G146" s="554">
        <f>(G141+G144)*'ERR &amp; Sensitivity Analysis'!$G$10</f>
        <v>0</v>
      </c>
      <c r="H146" s="554">
        <f>(H141+H144)*'ERR &amp; Sensitivity Analysis'!$G$10</f>
        <v>0</v>
      </c>
      <c r="I146" s="554">
        <f>(I141+I144)*'ERR &amp; Sensitivity Analysis'!$G$10</f>
        <v>0.94284041608805891</v>
      </c>
      <c r="J146" s="554">
        <f>(J141+J144)*'ERR &amp; Sensitivity Analysis'!$G$10</f>
        <v>1.9606384668338397</v>
      </c>
      <c r="K146" s="554">
        <f>(K141+K144)*'ERR &amp; Sensitivity Analysis'!$G$10</f>
        <v>2.4743268397486871</v>
      </c>
      <c r="L146" s="554">
        <f>(L141+L144)*'ERR &amp; Sensitivity Analysis'!$G$10</f>
        <v>2.8440295796681005</v>
      </c>
      <c r="M146" s="554">
        <f>(M141+M144)*'ERR &amp; Sensitivity Analysis'!$G$10</f>
        <v>3.2186160182571255</v>
      </c>
      <c r="N146" s="554">
        <f>(N141+N144)*'ERR &amp; Sensitivity Analysis'!$G$10</f>
        <v>3.5981744255887773</v>
      </c>
      <c r="O146" s="554">
        <f>(O141+O144)*'ERR &amp; Sensitivity Analysis'!$G$10</f>
        <v>3.9827952647982561</v>
      </c>
      <c r="P146" s="554">
        <f>(P141+P144)*'ERR &amp; Sensitivity Analysis'!$G$10</f>
        <v>4.3725712575568849</v>
      </c>
      <c r="Q146" s="554">
        <f>(Q141+Q144)*'ERR &amp; Sensitivity Analysis'!$G$10</f>
        <v>4.7675974516477186</v>
      </c>
      <c r="R146" s="554">
        <f>(R141+R144)*'ERR &amp; Sensitivity Analysis'!$G$10</f>
        <v>5.1679712907119626</v>
      </c>
      <c r="S146" s="554">
        <f>(S141+S144)*'ERR &amp; Sensitivity Analysis'!$G$10</f>
        <v>5.5737926862375158</v>
      </c>
      <c r="T146" s="554">
        <f>(T141+T144)*'ERR &amp; Sensitivity Analysis'!$G$10</f>
        <v>5.9851640918634788</v>
      </c>
      <c r="U146" s="554">
        <f>(U141+U144)*'ERR &amp; Sensitivity Analysis'!$G$10</f>
        <v>6.4021905800767627</v>
      </c>
      <c r="V146" s="554">
        <f>(V141+V144)*'ERR &amp; Sensitivity Analysis'!$G$10</f>
        <v>6.8249799213795272</v>
      </c>
      <c r="W146" s="554">
        <f>(W141+W144)*'ERR &amp; Sensitivity Analysis'!$G$10</f>
        <v>7.2536426660087949</v>
      </c>
      <c r="X146" s="554">
        <f>(X141+X144)*'ERR &amp; Sensitivity Analysis'!$G$10</f>
        <v>7.6882922282922612</v>
      </c>
      <c r="Y146" s="549"/>
    </row>
    <row r="147" spans="1:25" x14ac:dyDescent="0.2">
      <c r="C147" s="536" t="s">
        <v>99</v>
      </c>
      <c r="D147" s="554">
        <f t="shared" ref="D147:X147" si="52">D146-D62</f>
        <v>0</v>
      </c>
      <c r="E147" s="554">
        <f t="shared" si="52"/>
        <v>-0.43120533887006457</v>
      </c>
      <c r="F147" s="554">
        <f t="shared" si="52"/>
        <v>-0.78885234697429851</v>
      </c>
      <c r="G147" s="554">
        <f t="shared" si="52"/>
        <v>-7.624728970447709</v>
      </c>
      <c r="H147" s="554">
        <f t="shared" si="52"/>
        <v>-7.2180343941146878</v>
      </c>
      <c r="I147" s="554">
        <f t="shared" si="52"/>
        <v>-9.1544421444576329</v>
      </c>
      <c r="J147" s="554">
        <f t="shared" si="52"/>
        <v>0.67293441743380944</v>
      </c>
      <c r="K147" s="554">
        <f t="shared" si="52"/>
        <v>1.8617525451386352</v>
      </c>
      <c r="L147" s="554">
        <f t="shared" si="52"/>
        <v>2.2534076679228554</v>
      </c>
      <c r="M147" s="554">
        <f t="shared" si="52"/>
        <v>2.6085822474542391</v>
      </c>
      <c r="N147" s="554">
        <f t="shared" si="52"/>
        <v>2.968088673314361</v>
      </c>
      <c r="O147" s="554">
        <f t="shared" si="52"/>
        <v>3.3319962508448588</v>
      </c>
      <c r="P147" s="554">
        <f t="shared" si="52"/>
        <v>3.7003758434598977</v>
      </c>
      <c r="Q147" s="554">
        <f t="shared" si="52"/>
        <v>4.0732999170054436</v>
      </c>
      <c r="R147" s="554">
        <f t="shared" si="52"/>
        <v>4.4508425855191796</v>
      </c>
      <c r="S147" s="554">
        <f t="shared" si="52"/>
        <v>4.833079658436918</v>
      </c>
      <c r="T147" s="554">
        <f t="shared" si="52"/>
        <v>5.2200886892929255</v>
      </c>
      <c r="U147" s="554">
        <f t="shared" si="52"/>
        <v>5.6119490259629563</v>
      </c>
      <c r="V147" s="554">
        <f t="shared" si="52"/>
        <v>6.0087418625006173</v>
      </c>
      <c r="W147" s="554">
        <f t="shared" si="52"/>
        <v>6.4105502926192361</v>
      </c>
      <c r="X147" s="554">
        <f t="shared" si="52"/>
        <v>6.8174593648731356</v>
      </c>
      <c r="Y147" s="549"/>
    </row>
    <row r="148" spans="1:25" ht="13.5" thickBot="1" x14ac:dyDescent="0.25">
      <c r="C148" s="73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700"/>
    </row>
    <row r="149" spans="1:25" x14ac:dyDescent="0.2">
      <c r="C149" s="734"/>
      <c r="D149" s="624"/>
      <c r="E149" s="624"/>
      <c r="F149" s="624"/>
      <c r="G149" s="624"/>
      <c r="H149" s="624"/>
      <c r="I149" s="624"/>
      <c r="J149" s="624"/>
      <c r="K149" s="624"/>
      <c r="L149" s="624"/>
      <c r="M149" s="624"/>
      <c r="N149" s="624"/>
      <c r="O149" s="624"/>
      <c r="P149" s="624"/>
      <c r="Q149" s="624"/>
      <c r="R149" s="624"/>
      <c r="S149" s="624"/>
      <c r="T149" s="624"/>
      <c r="U149" s="624"/>
      <c r="V149" s="624"/>
      <c r="W149" s="624"/>
      <c r="X149" s="624"/>
    </row>
    <row r="150" spans="1:25" x14ac:dyDescent="0.2">
      <c r="A150" s="542"/>
      <c r="B150" s="542"/>
      <c r="D150" s="735"/>
      <c r="M150" s="736"/>
    </row>
    <row r="151" spans="1:25" x14ac:dyDescent="0.2">
      <c r="A151" s="542"/>
      <c r="B151" s="542"/>
      <c r="C151" s="618" t="s">
        <v>585</v>
      </c>
      <c r="J151" s="737"/>
      <c r="K151" s="737"/>
      <c r="L151" s="737"/>
      <c r="M151" s="737"/>
      <c r="N151" s="737"/>
      <c r="O151" s="737"/>
      <c r="P151" s="737"/>
      <c r="Q151" s="737"/>
      <c r="R151" s="737"/>
      <c r="S151" s="737"/>
      <c r="T151" s="737"/>
      <c r="U151" s="737"/>
      <c r="V151" s="737"/>
      <c r="W151" s="737"/>
      <c r="X151" s="737"/>
    </row>
    <row r="152" spans="1:25" x14ac:dyDescent="0.2">
      <c r="B152" s="543">
        <v>1</v>
      </c>
      <c r="C152" s="543" t="s">
        <v>607</v>
      </c>
      <c r="J152" s="737"/>
      <c r="K152" s="737"/>
      <c r="L152" s="737"/>
      <c r="M152" s="737"/>
      <c r="N152" s="737"/>
      <c r="O152" s="737"/>
      <c r="P152" s="737"/>
      <c r="Q152" s="737"/>
      <c r="R152" s="737"/>
      <c r="S152" s="737"/>
      <c r="T152" s="737"/>
      <c r="U152" s="737"/>
      <c r="V152" s="737"/>
      <c r="W152" s="737"/>
      <c r="X152" s="737"/>
    </row>
    <row r="153" spans="1:25" x14ac:dyDescent="0.2">
      <c r="B153" s="543">
        <v>2</v>
      </c>
      <c r="C153" s="543" t="s">
        <v>608</v>
      </c>
      <c r="J153" s="738"/>
      <c r="K153" s="738"/>
      <c r="L153" s="738"/>
      <c r="M153" s="738"/>
      <c r="N153" s="738"/>
      <c r="O153" s="738"/>
      <c r="P153" s="738"/>
      <c r="Q153" s="738"/>
      <c r="R153" s="738"/>
      <c r="S153" s="738"/>
      <c r="T153" s="738"/>
      <c r="U153" s="738"/>
      <c r="V153" s="738"/>
      <c r="W153" s="738"/>
      <c r="X153" s="738"/>
    </row>
    <row r="154" spans="1:25" x14ac:dyDescent="0.2">
      <c r="B154" s="543">
        <v>3</v>
      </c>
      <c r="C154" s="543" t="s">
        <v>609</v>
      </c>
    </row>
    <row r="155" spans="1:25" x14ac:dyDescent="0.2">
      <c r="B155" s="543">
        <v>4</v>
      </c>
      <c r="C155" s="543" t="s">
        <v>610</v>
      </c>
    </row>
    <row r="156" spans="1:25" x14ac:dyDescent="0.2">
      <c r="B156" s="543">
        <v>5</v>
      </c>
      <c r="C156" s="543" t="s">
        <v>606</v>
      </c>
    </row>
  </sheetData>
  <mergeCells count="8">
    <mergeCell ref="C4:D4"/>
    <mergeCell ref="C7:D7"/>
    <mergeCell ref="AB67:AC67"/>
    <mergeCell ref="P67:R67"/>
    <mergeCell ref="D67:F67"/>
    <mergeCell ref="G67:I67"/>
    <mergeCell ref="J67:L67"/>
    <mergeCell ref="M67:O67"/>
  </mergeCells>
  <phoneticPr fontId="2"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55"/>
  <sheetViews>
    <sheetView showGridLines="0" zoomScale="70" zoomScaleNormal="70" workbookViewId="0"/>
  </sheetViews>
  <sheetFormatPr defaultColWidth="9.140625" defaultRowHeight="12.75" x14ac:dyDescent="0.2"/>
  <cols>
    <col min="1" max="1" width="4.140625" style="543" customWidth="1"/>
    <col min="2" max="2" width="3.5703125" style="543" customWidth="1"/>
    <col min="3" max="3" width="49.5703125" style="543" customWidth="1"/>
    <col min="4" max="4" width="12.7109375" style="543" customWidth="1"/>
    <col min="5" max="5" width="13.7109375" style="543" customWidth="1"/>
    <col min="6" max="7" width="13.28515625" style="543" customWidth="1"/>
    <col min="8" max="9" width="12.85546875" style="543" customWidth="1"/>
    <col min="10" max="10" width="12.28515625" style="543" customWidth="1"/>
    <col min="11" max="12" width="12.28515625" style="543" bestFit="1" customWidth="1"/>
    <col min="13" max="13" width="12.85546875" style="543" customWidth="1"/>
    <col min="14" max="15" width="12.28515625" style="543" bestFit="1" customWidth="1"/>
    <col min="16" max="16" width="13" style="543" customWidth="1"/>
    <col min="17" max="17" width="13.42578125" style="543" bestFit="1" customWidth="1"/>
    <col min="18" max="18" width="12.28515625" style="543" bestFit="1" customWidth="1"/>
    <col min="19" max="19" width="15" style="543" customWidth="1"/>
    <col min="20" max="20" width="12.28515625" style="543" customWidth="1"/>
    <col min="21" max="21" width="12.28515625" style="543" bestFit="1" customWidth="1"/>
    <col min="22" max="22" width="13.28515625" style="543" customWidth="1"/>
    <col min="23" max="24" width="12.28515625" style="543" bestFit="1" customWidth="1"/>
    <col min="25" max="25" width="11.5703125" style="543" customWidth="1"/>
    <col min="26" max="27" width="12.28515625" style="543" bestFit="1" customWidth="1"/>
    <col min="28" max="28" width="11.7109375" style="543" customWidth="1"/>
    <col min="29" max="30" width="12.28515625" style="543" bestFit="1" customWidth="1"/>
    <col min="31" max="16384" width="9.140625" style="543"/>
  </cols>
  <sheetData>
    <row r="1" spans="1:35" s="621" customFormat="1" ht="20.25" x14ac:dyDescent="0.3">
      <c r="B1" s="567" t="s">
        <v>370</v>
      </c>
      <c r="C1" s="620"/>
      <c r="I1" s="568" t="s">
        <v>668</v>
      </c>
    </row>
    <row r="2" spans="1:35" s="622" customFormat="1" ht="18" x14ac:dyDescent="0.25">
      <c r="A2" s="620"/>
      <c r="B2" s="570" t="s">
        <v>375</v>
      </c>
      <c r="D2" s="620"/>
      <c r="E2" s="620"/>
      <c r="F2" s="620"/>
      <c r="G2" s="623"/>
    </row>
    <row r="3" spans="1:35" ht="13.5" thickBot="1" x14ac:dyDescent="0.25"/>
    <row r="4" spans="1:35" x14ac:dyDescent="0.2">
      <c r="C4" s="941" t="s">
        <v>137</v>
      </c>
      <c r="D4" s="942"/>
      <c r="E4" s="519"/>
      <c r="F4" s="520"/>
      <c r="G4" s="542"/>
      <c r="H4" s="542"/>
      <c r="I4" s="542"/>
      <c r="J4" s="542"/>
      <c r="K4" s="542"/>
    </row>
    <row r="5" spans="1:35" x14ac:dyDescent="0.2">
      <c r="C5" s="561"/>
      <c r="D5" s="562"/>
      <c r="E5" s="563"/>
      <c r="F5" s="564"/>
      <c r="G5" s="691"/>
      <c r="H5" s="690"/>
      <c r="I5" s="690"/>
      <c r="J5" s="690"/>
      <c r="K5" s="542"/>
    </row>
    <row r="6" spans="1:35" x14ac:dyDescent="0.2">
      <c r="C6" s="688" t="s">
        <v>138</v>
      </c>
      <c r="D6" s="689"/>
      <c r="E6" s="542"/>
      <c r="F6" s="549"/>
      <c r="G6" s="542"/>
      <c r="H6" s="542"/>
      <c r="I6" s="542"/>
      <c r="J6" s="542"/>
      <c r="K6" s="542"/>
    </row>
    <row r="7" spans="1:35" x14ac:dyDescent="0.2">
      <c r="C7" s="943" t="s">
        <v>336</v>
      </c>
      <c r="D7" s="944"/>
      <c r="E7" s="761">
        <f>IRR(E146:X146,-0.9)</f>
        <v>0.1179894267787398</v>
      </c>
      <c r="F7" s="549"/>
      <c r="G7" s="542"/>
      <c r="H7" s="542"/>
      <c r="I7" s="542"/>
      <c r="J7" s="542"/>
      <c r="K7" s="542"/>
    </row>
    <row r="8" spans="1:35" x14ac:dyDescent="0.2">
      <c r="C8" s="688" t="s">
        <v>373</v>
      </c>
      <c r="D8" s="236"/>
      <c r="E8" s="692"/>
      <c r="F8" s="549"/>
      <c r="G8" s="542"/>
      <c r="H8" s="542"/>
      <c r="I8" s="542"/>
      <c r="J8" s="542"/>
      <c r="K8" s="542"/>
      <c r="AI8" s="542"/>
    </row>
    <row r="9" spans="1:35" x14ac:dyDescent="0.2">
      <c r="C9" s="693" t="s">
        <v>128</v>
      </c>
      <c r="D9" s="236"/>
      <c r="E9" s="694">
        <f>NPV(0.1,E146:X146)</f>
        <v>3.4290639916353767</v>
      </c>
      <c r="F9" s="549"/>
      <c r="G9" s="542"/>
      <c r="H9" s="542"/>
      <c r="I9" s="542"/>
      <c r="J9" s="542"/>
      <c r="K9" s="542"/>
      <c r="AI9" s="542"/>
    </row>
    <row r="10" spans="1:35" x14ac:dyDescent="0.2">
      <c r="C10" s="693" t="s">
        <v>367</v>
      </c>
      <c r="D10" s="236"/>
      <c r="E10" s="695">
        <f>NPV(0.1,E63:I63)</f>
        <v>23.741056418460374</v>
      </c>
      <c r="F10" s="549"/>
      <c r="G10" s="542"/>
      <c r="H10" s="542"/>
      <c r="I10" s="542"/>
      <c r="J10" s="542"/>
      <c r="K10" s="542"/>
      <c r="AI10" s="542"/>
    </row>
    <row r="11" spans="1:35" x14ac:dyDescent="0.2">
      <c r="C11" s="693" t="s">
        <v>384</v>
      </c>
      <c r="D11" s="236"/>
      <c r="E11" s="694">
        <f>E9+E10</f>
        <v>27.170120410095752</v>
      </c>
      <c r="F11" s="549"/>
      <c r="G11" s="542"/>
      <c r="H11" s="542"/>
      <c r="I11" s="542"/>
      <c r="J11" s="542"/>
      <c r="K11" s="542"/>
    </row>
    <row r="12" spans="1:35" x14ac:dyDescent="0.2">
      <c r="C12" s="693" t="s">
        <v>368</v>
      </c>
      <c r="D12" s="236"/>
      <c r="E12" s="694">
        <f>NPV(0.1,E62:X62)</f>
        <v>38.404371436386207</v>
      </c>
      <c r="F12" s="549"/>
      <c r="G12" s="542"/>
      <c r="H12" s="542"/>
      <c r="I12" s="542"/>
      <c r="J12" s="542"/>
      <c r="K12" s="542"/>
    </row>
    <row r="13" spans="1:35" x14ac:dyDescent="0.2">
      <c r="C13" s="693" t="s">
        <v>369</v>
      </c>
      <c r="D13" s="236"/>
      <c r="E13" s="694">
        <f>NPV(0.1,E145:X145)</f>
        <v>41.833435428021588</v>
      </c>
      <c r="F13" s="549"/>
      <c r="G13" s="542"/>
      <c r="H13" s="542"/>
      <c r="I13" s="542"/>
      <c r="J13" s="542"/>
      <c r="K13" s="542"/>
    </row>
    <row r="14" spans="1:35" ht="13.5" thickBot="1" x14ac:dyDescent="0.25">
      <c r="C14" s="697" t="s">
        <v>136</v>
      </c>
      <c r="D14" s="698"/>
      <c r="E14" s="699">
        <f>E13/E12</f>
        <v>1.0892883769056174</v>
      </c>
      <c r="F14" s="700"/>
      <c r="G14" s="542"/>
      <c r="H14" s="542"/>
      <c r="I14" s="542"/>
      <c r="J14" s="542"/>
      <c r="K14" s="542"/>
    </row>
    <row r="15" spans="1:35" x14ac:dyDescent="0.2">
      <c r="F15" s="542"/>
      <c r="G15" s="542"/>
      <c r="H15" s="542"/>
      <c r="I15" s="542"/>
    </row>
    <row r="16" spans="1:35" ht="13.5" thickBot="1" x14ac:dyDescent="0.25">
      <c r="A16" s="542"/>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row>
    <row r="17" spans="1:31" x14ac:dyDescent="0.2">
      <c r="A17" s="542"/>
      <c r="B17" s="542"/>
      <c r="C17" s="759"/>
      <c r="D17" s="522"/>
      <c r="E17" s="522"/>
      <c r="F17" s="522"/>
      <c r="G17" s="522"/>
      <c r="H17" s="522"/>
      <c r="I17" s="522"/>
      <c r="J17" s="522"/>
      <c r="K17" s="522"/>
      <c r="L17" s="522"/>
      <c r="M17" s="522"/>
      <c r="N17" s="522"/>
      <c r="O17" s="522"/>
      <c r="P17" s="522"/>
      <c r="Q17" s="522"/>
      <c r="R17" s="522"/>
      <c r="S17" s="522"/>
      <c r="T17" s="522"/>
      <c r="U17" s="522"/>
      <c r="V17" s="522"/>
      <c r="W17" s="522"/>
      <c r="X17" s="522"/>
      <c r="Y17" s="523"/>
      <c r="Z17" s="542"/>
      <c r="AA17" s="542"/>
      <c r="AB17" s="542"/>
      <c r="AC17" s="542"/>
      <c r="AD17" s="542"/>
      <c r="AE17" s="542"/>
    </row>
    <row r="18" spans="1:31" x14ac:dyDescent="0.2">
      <c r="A18" s="542"/>
      <c r="B18" s="542"/>
      <c r="C18" s="760" t="s">
        <v>616</v>
      </c>
      <c r="D18" s="529" t="s">
        <v>130</v>
      </c>
      <c r="E18" s="526"/>
      <c r="F18" s="526"/>
      <c r="G18" s="526"/>
      <c r="H18" s="526"/>
      <c r="I18" s="526"/>
      <c r="J18" s="526"/>
      <c r="K18" s="526"/>
      <c r="L18" s="526"/>
      <c r="M18" s="526"/>
      <c r="N18" s="526"/>
      <c r="O18" s="526"/>
      <c r="P18" s="526"/>
      <c r="Q18" s="526"/>
      <c r="R18" s="526"/>
      <c r="S18" s="526"/>
      <c r="T18" s="526"/>
      <c r="U18" s="526"/>
      <c r="V18" s="526"/>
      <c r="W18" s="526"/>
      <c r="X18" s="526"/>
      <c r="Y18" s="528"/>
      <c r="Z18" s="542"/>
      <c r="AA18" s="542"/>
      <c r="AB18" s="542"/>
      <c r="AC18" s="542"/>
      <c r="AD18" s="542"/>
      <c r="AE18" s="542"/>
    </row>
    <row r="19" spans="1:31" x14ac:dyDescent="0.2">
      <c r="A19" s="542"/>
      <c r="B19" s="542"/>
      <c r="C19" s="703"/>
      <c r="D19" s="704"/>
      <c r="E19" s="542"/>
      <c r="F19" s="542"/>
      <c r="G19" s="542"/>
      <c r="H19" s="542"/>
      <c r="I19" s="542"/>
      <c r="J19" s="542"/>
      <c r="K19" s="542"/>
      <c r="L19" s="542"/>
      <c r="M19" s="542"/>
      <c r="N19" s="542"/>
      <c r="O19" s="542"/>
      <c r="P19" s="542"/>
      <c r="Q19" s="542"/>
      <c r="R19" s="542"/>
      <c r="S19" s="542"/>
      <c r="T19" s="542"/>
      <c r="U19" s="542"/>
      <c r="V19" s="542"/>
      <c r="W19" s="542"/>
      <c r="X19" s="542"/>
      <c r="Y19" s="549"/>
      <c r="Z19" s="542"/>
      <c r="AA19" s="542"/>
      <c r="AB19" s="542"/>
      <c r="AC19" s="542"/>
      <c r="AD19" s="542"/>
      <c r="AE19" s="542"/>
    </row>
    <row r="20" spans="1:31" s="240" customFormat="1" x14ac:dyDescent="0.2">
      <c r="A20" s="111"/>
      <c r="B20" s="111"/>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c r="Z20" s="111"/>
      <c r="AA20" s="111"/>
      <c r="AB20" s="111"/>
      <c r="AC20" s="111"/>
      <c r="AD20" s="111"/>
      <c r="AE20" s="111"/>
    </row>
    <row r="21" spans="1:31" x14ac:dyDescent="0.2">
      <c r="A21" s="542"/>
      <c r="B21" s="54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c r="Z21" s="542"/>
      <c r="AA21" s="542"/>
      <c r="AB21" s="542"/>
      <c r="AC21" s="542"/>
      <c r="AD21" s="542"/>
      <c r="AE21" s="542"/>
    </row>
    <row r="22" spans="1:31" x14ac:dyDescent="0.2">
      <c r="A22" s="542"/>
      <c r="B22" s="542"/>
      <c r="C22" s="548"/>
      <c r="D22" s="704">
        <v>2008</v>
      </c>
      <c r="E22" s="704">
        <f t="shared" ref="E22:X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si="1"/>
        <v>2026</v>
      </c>
      <c r="W22" s="704">
        <f t="shared" si="1"/>
        <v>2027</v>
      </c>
      <c r="X22" s="704">
        <f t="shared" si="1"/>
        <v>2028</v>
      </c>
      <c r="Y22" s="813"/>
      <c r="Z22" s="704"/>
      <c r="AA22" s="704"/>
      <c r="AB22" s="704"/>
      <c r="AC22" s="704"/>
      <c r="AD22" s="704"/>
      <c r="AE22" s="542"/>
    </row>
    <row r="23" spans="1:31" x14ac:dyDescent="0.2">
      <c r="A23" s="542"/>
      <c r="B23" s="54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c r="AE23" s="542"/>
    </row>
    <row r="24" spans="1:31" x14ac:dyDescent="0.2">
      <c r="A24" s="542"/>
      <c r="B24" s="54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K24" s="542"/>
      <c r="L24" s="542"/>
      <c r="M24" s="542"/>
      <c r="N24" s="542"/>
      <c r="O24" s="542"/>
      <c r="P24" s="557"/>
      <c r="Q24" s="542"/>
      <c r="R24" s="542"/>
      <c r="S24" s="542"/>
      <c r="T24" s="542"/>
      <c r="U24" s="542"/>
      <c r="V24" s="542"/>
      <c r="W24" s="542"/>
      <c r="X24" s="542"/>
      <c r="Y24" s="549"/>
      <c r="Z24" s="542"/>
      <c r="AA24" s="542"/>
      <c r="AB24" s="542"/>
      <c r="AC24" s="542"/>
      <c r="AD24" s="542"/>
      <c r="AE24" s="542"/>
    </row>
    <row r="25" spans="1:31" x14ac:dyDescent="0.2">
      <c r="A25" s="542"/>
      <c r="B25" s="542"/>
      <c r="C25" s="703"/>
      <c r="D25" s="542"/>
      <c r="E25" s="542"/>
      <c r="F25" s="542"/>
      <c r="G25" s="542"/>
      <c r="H25" s="542"/>
      <c r="I25" s="542"/>
      <c r="J25" s="542"/>
      <c r="K25" s="542"/>
      <c r="L25" s="542"/>
      <c r="M25" s="542"/>
      <c r="N25" s="542"/>
      <c r="O25" s="542"/>
      <c r="P25" s="542"/>
      <c r="Q25" s="542"/>
      <c r="R25" s="542"/>
      <c r="S25" s="542"/>
      <c r="T25" s="542"/>
      <c r="U25" s="542"/>
      <c r="V25" s="542"/>
      <c r="W25" s="542"/>
      <c r="X25" s="542"/>
      <c r="Y25" s="549"/>
      <c r="Z25" s="542"/>
      <c r="AA25" s="542"/>
      <c r="AB25" s="542"/>
      <c r="AC25" s="542"/>
      <c r="AD25" s="542"/>
      <c r="AE25" s="542"/>
    </row>
    <row r="26" spans="1:31" x14ac:dyDescent="0.2">
      <c r="A26" s="542"/>
      <c r="B26" s="542"/>
      <c r="C26" s="708" t="s">
        <v>55</v>
      </c>
      <c r="D26" s="542"/>
      <c r="E26" s="542"/>
      <c r="F26" s="542"/>
      <c r="G26" s="542"/>
      <c r="H26" s="542"/>
      <c r="I26" s="542"/>
      <c r="J26" s="542"/>
      <c r="K26" s="542"/>
      <c r="L26" s="542"/>
      <c r="M26" s="542"/>
      <c r="N26" s="542"/>
      <c r="O26" s="542"/>
      <c r="P26" s="542"/>
      <c r="Q26" s="542"/>
      <c r="R26" s="542"/>
      <c r="S26" s="542"/>
      <c r="T26" s="542"/>
      <c r="U26" s="542"/>
      <c r="V26" s="542"/>
      <c r="W26" s="542"/>
      <c r="X26" s="542"/>
      <c r="Y26" s="549"/>
      <c r="Z26" s="542"/>
      <c r="AA26" s="542"/>
      <c r="AB26" s="542"/>
      <c r="AC26" s="542"/>
      <c r="AD26" s="542"/>
      <c r="AE26" s="542"/>
    </row>
    <row r="27" spans="1:31" x14ac:dyDescent="0.2">
      <c r="A27" s="542"/>
      <c r="B27" s="54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K27" s="542"/>
      <c r="L27" s="542"/>
      <c r="M27" s="542"/>
      <c r="N27" s="542"/>
      <c r="O27" s="542"/>
      <c r="P27" s="542"/>
      <c r="Q27" s="542"/>
      <c r="R27" s="542"/>
      <c r="S27" s="542"/>
      <c r="T27" s="542"/>
      <c r="U27" s="542"/>
      <c r="V27" s="542"/>
      <c r="W27" s="542"/>
      <c r="X27" s="542"/>
      <c r="Y27" s="549"/>
      <c r="Z27" s="542"/>
      <c r="AA27" s="542"/>
      <c r="AB27" s="542"/>
      <c r="AC27" s="542"/>
      <c r="AD27" s="542"/>
      <c r="AE27" s="542"/>
    </row>
    <row r="28" spans="1:31" x14ac:dyDescent="0.2">
      <c r="A28" s="542"/>
      <c r="B28" s="542"/>
      <c r="C28" s="709" t="s">
        <v>57</v>
      </c>
      <c r="D28" s="542">
        <v>0</v>
      </c>
      <c r="E28" s="710">
        <f t="shared" ref="E28:J28" si="2">E27*$AA$68/E24</f>
        <v>0.14385202766699906</v>
      </c>
      <c r="F28" s="710">
        <f t="shared" si="2"/>
        <v>0.81096580597270707</v>
      </c>
      <c r="G28" s="710">
        <f t="shared" si="2"/>
        <v>7.7830659103457434</v>
      </c>
      <c r="H28" s="710">
        <f t="shared" si="2"/>
        <v>7.3106396615170119</v>
      </c>
      <c r="I28" s="710">
        <f t="shared" si="2"/>
        <v>9.2604426828655821</v>
      </c>
      <c r="J28" s="710">
        <f t="shared" si="2"/>
        <v>0.84555996795238275</v>
      </c>
      <c r="K28" s="542"/>
      <c r="L28" s="542"/>
      <c r="M28" s="542"/>
      <c r="N28" s="542"/>
      <c r="O28" s="542"/>
      <c r="P28" s="542"/>
      <c r="Q28" s="542"/>
      <c r="R28" s="542"/>
      <c r="S28" s="542"/>
      <c r="T28" s="542"/>
      <c r="U28" s="542"/>
      <c r="V28" s="542"/>
      <c r="W28" s="542"/>
      <c r="X28" s="542"/>
      <c r="Y28" s="549"/>
      <c r="Z28" s="542"/>
      <c r="AA28" s="542"/>
      <c r="AB28" s="542"/>
      <c r="AC28" s="542"/>
      <c r="AD28" s="542"/>
      <c r="AE28" s="542"/>
    </row>
    <row r="29" spans="1:31" x14ac:dyDescent="0.2">
      <c r="A29" s="542"/>
      <c r="B29" s="542"/>
      <c r="C29" s="709" t="s">
        <v>56</v>
      </c>
      <c r="D29" s="711">
        <f>IF(D23=1,Assumptions!$C$42*$Y$68,0)</f>
        <v>0</v>
      </c>
      <c r="E29" s="711">
        <f>IF(E23=1,Assumptions!$C$42*$AA$68,0)</f>
        <v>0</v>
      </c>
      <c r="F29" s="711">
        <f>IF(F23=1,Assumptions!$C$42*$AA$68,0)</f>
        <v>0</v>
      </c>
      <c r="G29" s="711">
        <f>IF(G23=1,Assumptions!$C$42*$AA$68,0)</f>
        <v>0</v>
      </c>
      <c r="H29" s="711">
        <f>IF(H23=1,Assumptions!$C$42*$AA$68,0)</f>
        <v>0</v>
      </c>
      <c r="I29" s="711">
        <f>IF(I23=1,Assumptions!$C$42*$AA$68,0)</f>
        <v>0</v>
      </c>
      <c r="J29" s="711">
        <f>IF(J23=1,Assumptions!$C$42*$AA$68,0)</f>
        <v>0</v>
      </c>
      <c r="K29" s="711">
        <f>IF(K23=1,Assumptions!$C$42*$AA$68,0)</f>
        <v>0</v>
      </c>
      <c r="L29" s="711">
        <f>IF(L23=1,Assumptions!$C$42*$AA$68,0)</f>
        <v>0</v>
      </c>
      <c r="M29" s="711">
        <f>IF(M23=1,Assumptions!$C$42*$AA$68,0)</f>
        <v>0</v>
      </c>
      <c r="N29" s="711">
        <f>IF(N23=1,Assumptions!$C$42*$AA$68,0)</f>
        <v>0</v>
      </c>
      <c r="O29" s="711">
        <f>IF(O23=1,Assumptions!$C$42*$AA$68,0)</f>
        <v>0</v>
      </c>
      <c r="P29" s="711">
        <f>IF(P23=1,Assumptions!$C$42*$AA$68,0)</f>
        <v>0</v>
      </c>
      <c r="Q29" s="711">
        <f>IF(Q23=1,Assumptions!$C$42*$AA$68,0)</f>
        <v>0</v>
      </c>
      <c r="R29" s="711">
        <f>IF(R23=1,Assumptions!$C$42*$AA$68,0)</f>
        <v>0</v>
      </c>
      <c r="S29" s="711">
        <f>IF(S23=1,Assumptions!$C$42*$AA$68,0)</f>
        <v>0</v>
      </c>
      <c r="T29" s="711">
        <f>IF(T23=1,Assumptions!$C$42*$AA$68,0)</f>
        <v>0</v>
      </c>
      <c r="U29" s="711">
        <f>IF(U23=1,Assumptions!$C$42*$AA$68,0)</f>
        <v>0</v>
      </c>
      <c r="V29" s="711">
        <f>IF(V23=1,Assumptions!$C$42*$AA$68,0)</f>
        <v>0</v>
      </c>
      <c r="W29" s="711">
        <f>IF(W23=1,Assumptions!$C$42*$AA$68,0)</f>
        <v>0</v>
      </c>
      <c r="X29" s="711">
        <f>IF(X23=1,Assumptions!$C$42*$AA$68,0)</f>
        <v>0</v>
      </c>
      <c r="Y29" s="815"/>
      <c r="Z29" s="711"/>
      <c r="AA29" s="711"/>
      <c r="AB29" s="711"/>
      <c r="AC29" s="711"/>
      <c r="AD29" s="711"/>
      <c r="AE29" s="542"/>
    </row>
    <row r="30" spans="1:31" x14ac:dyDescent="0.2">
      <c r="A30" s="542"/>
      <c r="B30" s="542"/>
      <c r="C30" s="709"/>
      <c r="D30" s="711"/>
      <c r="E30" s="711"/>
      <c r="F30" s="711"/>
      <c r="G30" s="711"/>
      <c r="H30" s="711"/>
      <c r="I30" s="711"/>
      <c r="J30" s="711"/>
      <c r="K30" s="711"/>
      <c r="L30" s="711"/>
      <c r="M30" s="711"/>
      <c r="N30" s="711"/>
      <c r="O30" s="711"/>
      <c r="P30" s="711"/>
      <c r="Q30" s="711"/>
      <c r="R30" s="711"/>
      <c r="S30" s="711"/>
      <c r="T30" s="711"/>
      <c r="U30" s="711"/>
      <c r="V30" s="711"/>
      <c r="W30" s="711"/>
      <c r="X30" s="711"/>
      <c r="Y30" s="815"/>
      <c r="Z30" s="711"/>
      <c r="AA30" s="711"/>
      <c r="AB30" s="711"/>
      <c r="AC30" s="711"/>
      <c r="AD30" s="711"/>
      <c r="AE30" s="542"/>
    </row>
    <row r="31" spans="1:31" x14ac:dyDescent="0.2">
      <c r="A31" s="542"/>
      <c r="B31" s="542"/>
      <c r="C31" s="708" t="s">
        <v>360</v>
      </c>
      <c r="D31" s="711">
        <v>0</v>
      </c>
      <c r="E31" s="711">
        <f>E$27*Assumptions!$F$20/10^6</f>
        <v>1.1555057054703338E-2</v>
      </c>
      <c r="F31" s="711">
        <f>F$27*Assumptions!$F$20/10^6</f>
        <v>7.2219106591895857E-2</v>
      </c>
      <c r="G31" s="711">
        <f>G$27*Assumptions!$F$20/10^6</f>
        <v>0.76841129413777209</v>
      </c>
      <c r="H31" s="711">
        <f>H$27*Assumptions!$F$20/10^6</f>
        <v>0.80018770103820624</v>
      </c>
      <c r="I31" s="711">
        <f>I$27*Assumptions!$F$20/10^6</f>
        <v>1.1237292985698997</v>
      </c>
      <c r="J31" s="711"/>
      <c r="K31" s="711"/>
      <c r="L31" s="711"/>
      <c r="M31" s="711"/>
      <c r="N31" s="711"/>
      <c r="O31" s="711"/>
      <c r="P31" s="711"/>
      <c r="Q31" s="711"/>
      <c r="R31" s="711"/>
      <c r="S31" s="711"/>
      <c r="T31" s="711"/>
      <c r="U31" s="711"/>
      <c r="V31" s="711"/>
      <c r="W31" s="711"/>
      <c r="X31" s="711"/>
      <c r="Y31" s="815"/>
      <c r="Z31" s="711"/>
      <c r="AA31" s="711"/>
      <c r="AB31" s="711"/>
      <c r="AC31" s="711"/>
      <c r="AD31" s="711"/>
      <c r="AE31" s="542"/>
    </row>
    <row r="32" spans="1:31" x14ac:dyDescent="0.2">
      <c r="A32" s="542"/>
      <c r="B32" s="542"/>
      <c r="C32" s="708" t="s">
        <v>361</v>
      </c>
      <c r="D32" s="711">
        <v>0</v>
      </c>
      <c r="E32" s="711">
        <f>E$27*Assumptions!$G$20/10^6</f>
        <v>9.4040801836388754E-3</v>
      </c>
      <c r="F32" s="711">
        <f>F$27*Assumptions!$G$20/10^6</f>
        <v>5.8775501147742965E-2</v>
      </c>
      <c r="G32" s="711">
        <f>G$27*Assumptions!$G$20/10^6</f>
        <v>0.62537133221198515</v>
      </c>
      <c r="H32" s="711">
        <f>H$27*Assumptions!$G$20/10^6</f>
        <v>0.6512325527169921</v>
      </c>
      <c r="I32" s="711">
        <f>I$27*Assumptions!$G$20/10^6</f>
        <v>0.9145467978588806</v>
      </c>
      <c r="J32" s="711"/>
      <c r="K32" s="711"/>
      <c r="L32" s="711"/>
      <c r="M32" s="711"/>
      <c r="N32" s="711"/>
      <c r="O32" s="711"/>
      <c r="P32" s="711"/>
      <c r="Q32" s="711"/>
      <c r="R32" s="711"/>
      <c r="S32" s="711"/>
      <c r="T32" s="711"/>
      <c r="U32" s="711"/>
      <c r="V32" s="711"/>
      <c r="W32" s="711"/>
      <c r="X32" s="711"/>
      <c r="Y32" s="815"/>
      <c r="Z32" s="711"/>
      <c r="AA32" s="711"/>
      <c r="AB32" s="711"/>
      <c r="AC32" s="711"/>
      <c r="AD32" s="711"/>
      <c r="AE32" s="542"/>
    </row>
    <row r="33" spans="1:31" x14ac:dyDescent="0.2">
      <c r="A33" s="542"/>
      <c r="B33" s="542"/>
      <c r="C33" s="708" t="s">
        <v>362</v>
      </c>
      <c r="D33" s="711">
        <v>0</v>
      </c>
      <c r="E33" s="711">
        <f>Assumptions!$H$20/10^6</f>
        <v>0.22229647711376871</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c r="AE33" s="542"/>
    </row>
    <row r="34" spans="1:31" x14ac:dyDescent="0.2">
      <c r="A34" s="542"/>
      <c r="B34" s="542"/>
      <c r="C34" s="806"/>
      <c r="D34" s="542"/>
      <c r="E34" s="542"/>
      <c r="F34" s="542"/>
      <c r="G34" s="542"/>
      <c r="H34" s="542"/>
      <c r="I34" s="542"/>
      <c r="J34" s="542"/>
      <c r="K34" s="542"/>
      <c r="L34" s="542"/>
      <c r="M34" s="542"/>
      <c r="N34" s="542"/>
      <c r="O34" s="542"/>
      <c r="P34" s="542"/>
      <c r="Q34" s="542"/>
      <c r="R34" s="542"/>
      <c r="S34" s="542"/>
      <c r="T34" s="542"/>
      <c r="U34" s="542"/>
      <c r="V34" s="542"/>
      <c r="W34" s="542"/>
      <c r="X34" s="542"/>
      <c r="Y34" s="549"/>
      <c r="Z34" s="542"/>
      <c r="AA34" s="542"/>
      <c r="AB34" s="542"/>
      <c r="AC34" s="542"/>
      <c r="AD34" s="542"/>
      <c r="AE34" s="542"/>
    </row>
    <row r="35" spans="1:31" x14ac:dyDescent="0.2">
      <c r="A35" s="542"/>
      <c r="B35" s="542"/>
      <c r="C35" s="708" t="s">
        <v>31</v>
      </c>
      <c r="D35" s="553"/>
      <c r="E35" s="553"/>
      <c r="F35" s="542"/>
      <c r="G35" s="542"/>
      <c r="H35" s="542"/>
      <c r="I35" s="542"/>
      <c r="J35" s="542"/>
      <c r="K35" s="542"/>
      <c r="L35" s="542"/>
      <c r="M35" s="542"/>
      <c r="N35" s="542"/>
      <c r="O35" s="542"/>
      <c r="P35" s="542"/>
      <c r="Q35" s="542"/>
      <c r="R35" s="542"/>
      <c r="S35" s="542"/>
      <c r="T35" s="542"/>
      <c r="U35" s="542"/>
      <c r="V35" s="542"/>
      <c r="W35" s="542"/>
      <c r="X35" s="542"/>
      <c r="Y35" s="549"/>
      <c r="Z35" s="542"/>
      <c r="AA35" s="542"/>
      <c r="AB35" s="542"/>
      <c r="AC35" s="542"/>
      <c r="AD35" s="542"/>
      <c r="AE35" s="542"/>
    </row>
    <row r="36" spans="1:31" x14ac:dyDescent="0.2">
      <c r="A36" s="542"/>
      <c r="B36" s="542"/>
      <c r="C36" s="709" t="s">
        <v>10</v>
      </c>
      <c r="D36" s="553">
        <f>Assumptions!F48</f>
        <v>655.42500000000007</v>
      </c>
      <c r="E36" s="553">
        <f>D36</f>
        <v>655.42500000000007</v>
      </c>
      <c r="F36" s="553">
        <f t="shared" ref="F36:X39" si="3">E36</f>
        <v>655.42500000000007</v>
      </c>
      <c r="G36" s="553">
        <f t="shared" si="3"/>
        <v>655.42500000000007</v>
      </c>
      <c r="H36" s="553">
        <f t="shared" si="3"/>
        <v>655.42500000000007</v>
      </c>
      <c r="I36" s="553">
        <f t="shared" si="3"/>
        <v>655.42500000000007</v>
      </c>
      <c r="J36" s="553">
        <f t="shared" si="3"/>
        <v>655.42500000000007</v>
      </c>
      <c r="K36" s="553">
        <f t="shared" si="3"/>
        <v>655.42500000000007</v>
      </c>
      <c r="L36" s="553">
        <f t="shared" si="3"/>
        <v>655.42500000000007</v>
      </c>
      <c r="M36" s="553">
        <f t="shared" si="3"/>
        <v>655.42500000000007</v>
      </c>
      <c r="N36" s="553">
        <f t="shared" si="3"/>
        <v>655.42500000000007</v>
      </c>
      <c r="O36" s="553">
        <f t="shared" si="3"/>
        <v>655.42500000000007</v>
      </c>
      <c r="P36" s="553">
        <f t="shared" si="3"/>
        <v>655.42500000000007</v>
      </c>
      <c r="Q36" s="553">
        <f t="shared" si="3"/>
        <v>655.42500000000007</v>
      </c>
      <c r="R36" s="553">
        <f t="shared" si="3"/>
        <v>655.42500000000007</v>
      </c>
      <c r="S36" s="553">
        <f t="shared" si="3"/>
        <v>655.42500000000007</v>
      </c>
      <c r="T36" s="553">
        <f t="shared" si="3"/>
        <v>655.42500000000007</v>
      </c>
      <c r="U36" s="553">
        <f t="shared" si="3"/>
        <v>655.42500000000007</v>
      </c>
      <c r="V36" s="553">
        <f t="shared" si="3"/>
        <v>655.42500000000007</v>
      </c>
      <c r="W36" s="553">
        <f t="shared" si="3"/>
        <v>655.42500000000007</v>
      </c>
      <c r="X36" s="553">
        <f t="shared" si="3"/>
        <v>655.42500000000007</v>
      </c>
      <c r="Y36" s="814"/>
      <c r="Z36" s="553"/>
      <c r="AA36" s="553"/>
      <c r="AB36" s="553"/>
      <c r="AC36" s="553"/>
      <c r="AD36" s="553"/>
      <c r="AE36" s="542"/>
    </row>
    <row r="37" spans="1:31" x14ac:dyDescent="0.2">
      <c r="A37" s="542"/>
      <c r="B37" s="542"/>
      <c r="C37" s="709" t="s">
        <v>44</v>
      </c>
      <c r="D37" s="553">
        <f>Assumptions!F49</f>
        <v>296.7</v>
      </c>
      <c r="E37" s="553">
        <f>D37</f>
        <v>296.7</v>
      </c>
      <c r="F37" s="553">
        <f t="shared" si="3"/>
        <v>296.7</v>
      </c>
      <c r="G37" s="553">
        <f t="shared" si="3"/>
        <v>296.7</v>
      </c>
      <c r="H37" s="553">
        <f t="shared" si="3"/>
        <v>296.7</v>
      </c>
      <c r="I37" s="553">
        <f t="shared" si="3"/>
        <v>296.7</v>
      </c>
      <c r="J37" s="553">
        <f t="shared" si="3"/>
        <v>296.7</v>
      </c>
      <c r="K37" s="553">
        <f t="shared" si="3"/>
        <v>296.7</v>
      </c>
      <c r="L37" s="553">
        <f t="shared" si="3"/>
        <v>296.7</v>
      </c>
      <c r="M37" s="553">
        <f t="shared" si="3"/>
        <v>296.7</v>
      </c>
      <c r="N37" s="553">
        <f t="shared" si="3"/>
        <v>296.7</v>
      </c>
      <c r="O37" s="553">
        <f t="shared" si="3"/>
        <v>296.7</v>
      </c>
      <c r="P37" s="553">
        <f t="shared" si="3"/>
        <v>296.7</v>
      </c>
      <c r="Q37" s="553">
        <f t="shared" si="3"/>
        <v>296.7</v>
      </c>
      <c r="R37" s="553">
        <f t="shared" si="3"/>
        <v>296.7</v>
      </c>
      <c r="S37" s="553">
        <f t="shared" si="3"/>
        <v>296.7</v>
      </c>
      <c r="T37" s="553">
        <f t="shared" si="3"/>
        <v>296.7</v>
      </c>
      <c r="U37" s="553">
        <f t="shared" si="3"/>
        <v>296.7</v>
      </c>
      <c r="V37" s="553">
        <f t="shared" si="3"/>
        <v>296.7</v>
      </c>
      <c r="W37" s="553">
        <f t="shared" si="3"/>
        <v>296.7</v>
      </c>
      <c r="X37" s="553">
        <f t="shared" si="3"/>
        <v>296.7</v>
      </c>
      <c r="Y37" s="814"/>
      <c r="Z37" s="553"/>
      <c r="AA37" s="553"/>
      <c r="AB37" s="553"/>
      <c r="AC37" s="553"/>
      <c r="AD37" s="553"/>
      <c r="AE37" s="542"/>
    </row>
    <row r="38" spans="1:31" x14ac:dyDescent="0.2">
      <c r="A38" s="542"/>
      <c r="B38" s="542"/>
      <c r="C38" s="709" t="s">
        <v>45</v>
      </c>
      <c r="D38" s="553">
        <f>Assumptions!F50</f>
        <v>407.25</v>
      </c>
      <c r="E38" s="553">
        <f>D38</f>
        <v>407.25</v>
      </c>
      <c r="F38" s="553">
        <f t="shared" si="3"/>
        <v>407.25</v>
      </c>
      <c r="G38" s="553">
        <f t="shared" si="3"/>
        <v>407.25</v>
      </c>
      <c r="H38" s="553">
        <f t="shared" si="3"/>
        <v>407.25</v>
      </c>
      <c r="I38" s="553">
        <f t="shared" si="3"/>
        <v>407.25</v>
      </c>
      <c r="J38" s="553">
        <f t="shared" si="3"/>
        <v>407.25</v>
      </c>
      <c r="K38" s="553">
        <f t="shared" si="3"/>
        <v>407.25</v>
      </c>
      <c r="L38" s="553">
        <f t="shared" si="3"/>
        <v>407.25</v>
      </c>
      <c r="M38" s="553">
        <f t="shared" si="3"/>
        <v>407.25</v>
      </c>
      <c r="N38" s="553">
        <f t="shared" si="3"/>
        <v>407.25</v>
      </c>
      <c r="O38" s="553">
        <f t="shared" si="3"/>
        <v>407.25</v>
      </c>
      <c r="P38" s="553">
        <f t="shared" si="3"/>
        <v>407.25</v>
      </c>
      <c r="Q38" s="553">
        <f t="shared" si="3"/>
        <v>407.25</v>
      </c>
      <c r="R38" s="553">
        <f t="shared" si="3"/>
        <v>407.25</v>
      </c>
      <c r="S38" s="553">
        <f t="shared" si="3"/>
        <v>407.25</v>
      </c>
      <c r="T38" s="553">
        <f t="shared" si="3"/>
        <v>407.25</v>
      </c>
      <c r="U38" s="553">
        <f t="shared" si="3"/>
        <v>407.25</v>
      </c>
      <c r="V38" s="553">
        <f t="shared" si="3"/>
        <v>407.25</v>
      </c>
      <c r="W38" s="553">
        <f t="shared" si="3"/>
        <v>407.25</v>
      </c>
      <c r="X38" s="553">
        <f t="shared" si="3"/>
        <v>407.25</v>
      </c>
      <c r="Y38" s="814"/>
      <c r="Z38" s="553"/>
      <c r="AA38" s="553"/>
      <c r="AB38" s="553"/>
      <c r="AC38" s="553"/>
      <c r="AD38" s="553"/>
      <c r="AE38" s="542"/>
    </row>
    <row r="39" spans="1:31" x14ac:dyDescent="0.2">
      <c r="A39" s="542"/>
      <c r="B39" s="542"/>
      <c r="C39" s="712" t="s">
        <v>162</v>
      </c>
      <c r="D39" s="553">
        <f>Assumptions!F51</f>
        <v>400</v>
      </c>
      <c r="E39" s="553">
        <f>D39</f>
        <v>400</v>
      </c>
      <c r="F39" s="553">
        <f t="shared" si="3"/>
        <v>400</v>
      </c>
      <c r="G39" s="553">
        <f t="shared" si="3"/>
        <v>400</v>
      </c>
      <c r="H39" s="553">
        <f t="shared" si="3"/>
        <v>400</v>
      </c>
      <c r="I39" s="553">
        <f t="shared" si="3"/>
        <v>400</v>
      </c>
      <c r="J39" s="553">
        <f t="shared" si="3"/>
        <v>400</v>
      </c>
      <c r="K39" s="553">
        <f t="shared" si="3"/>
        <v>400</v>
      </c>
      <c r="L39" s="553">
        <f t="shared" si="3"/>
        <v>400</v>
      </c>
      <c r="M39" s="553">
        <f t="shared" si="3"/>
        <v>400</v>
      </c>
      <c r="N39" s="553">
        <f t="shared" si="3"/>
        <v>400</v>
      </c>
      <c r="O39" s="553">
        <f t="shared" si="3"/>
        <v>400</v>
      </c>
      <c r="P39" s="553">
        <f t="shared" si="3"/>
        <v>400</v>
      </c>
      <c r="Q39" s="553">
        <f t="shared" si="3"/>
        <v>400</v>
      </c>
      <c r="R39" s="553">
        <f t="shared" si="3"/>
        <v>400</v>
      </c>
      <c r="S39" s="553">
        <f t="shared" si="3"/>
        <v>400</v>
      </c>
      <c r="T39" s="553">
        <f t="shared" si="3"/>
        <v>400</v>
      </c>
      <c r="U39" s="553">
        <f t="shared" si="3"/>
        <v>400</v>
      </c>
      <c r="V39" s="553">
        <f t="shared" si="3"/>
        <v>400</v>
      </c>
      <c r="W39" s="553">
        <f t="shared" si="3"/>
        <v>400</v>
      </c>
      <c r="X39" s="553">
        <f t="shared" si="3"/>
        <v>400</v>
      </c>
      <c r="Y39" s="814"/>
      <c r="Z39" s="553"/>
      <c r="AA39" s="553"/>
      <c r="AB39" s="553"/>
      <c r="AC39" s="553"/>
      <c r="AD39" s="553"/>
      <c r="AE39" s="542"/>
    </row>
    <row r="40" spans="1:31" x14ac:dyDescent="0.2">
      <c r="A40" s="542"/>
      <c r="B40" s="54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c r="AE40" s="542"/>
    </row>
    <row r="41" spans="1:31" x14ac:dyDescent="0.2">
      <c r="A41" s="542"/>
      <c r="B41" s="542"/>
      <c r="C41" s="708" t="s">
        <v>28</v>
      </c>
      <c r="D41" s="553"/>
      <c r="E41" s="553"/>
      <c r="F41" s="553"/>
      <c r="G41" s="553"/>
      <c r="H41" s="553"/>
      <c r="I41" s="553"/>
      <c r="J41" s="542"/>
      <c r="K41" s="542"/>
      <c r="L41" s="542"/>
      <c r="M41" s="542"/>
      <c r="N41" s="542"/>
      <c r="O41" s="542"/>
      <c r="P41" s="542"/>
      <c r="Q41" s="542"/>
      <c r="R41" s="542"/>
      <c r="S41" s="542"/>
      <c r="T41" s="542"/>
      <c r="U41" s="542"/>
      <c r="V41" s="542"/>
      <c r="W41" s="542"/>
      <c r="X41" s="542"/>
      <c r="Y41" s="549"/>
      <c r="Z41" s="542"/>
      <c r="AA41" s="542"/>
      <c r="AB41" s="542"/>
      <c r="AC41" s="542"/>
      <c r="AD41" s="542"/>
      <c r="AE41" s="542"/>
    </row>
    <row r="42" spans="1:31" x14ac:dyDescent="0.2">
      <c r="A42" s="542"/>
      <c r="B42" s="542"/>
      <c r="C42" s="709" t="s">
        <v>10</v>
      </c>
      <c r="D42" s="553">
        <f>D76*D36*0.001</f>
        <v>0</v>
      </c>
      <c r="E42" s="553">
        <f t="shared" ref="E42:X42" si="4">(E76-D76)*E36*0.001</f>
        <v>0</v>
      </c>
      <c r="F42" s="553">
        <f t="shared" si="4"/>
        <v>0</v>
      </c>
      <c r="G42" s="553">
        <f t="shared" si="4"/>
        <v>0</v>
      </c>
      <c r="H42" s="553">
        <f t="shared" si="4"/>
        <v>0</v>
      </c>
      <c r="I42" s="553">
        <f t="shared" si="4"/>
        <v>90.571109607000011</v>
      </c>
      <c r="J42" s="553">
        <f t="shared" si="4"/>
        <v>98.9489372456475</v>
      </c>
      <c r="K42" s="553">
        <f t="shared" si="4"/>
        <v>25.90107306986177</v>
      </c>
      <c r="L42" s="553">
        <f t="shared" si="4"/>
        <v>4.9546857582177131</v>
      </c>
      <c r="M42" s="553">
        <f t="shared" si="4"/>
        <v>5.0686435306566615</v>
      </c>
      <c r="N42" s="553">
        <f t="shared" si="4"/>
        <v>5.1852223318618682</v>
      </c>
      <c r="O42" s="553">
        <f t="shared" si="4"/>
        <v>5.3044824454945667</v>
      </c>
      <c r="P42" s="553">
        <f t="shared" si="4"/>
        <v>5.4264855417410329</v>
      </c>
      <c r="Q42" s="553">
        <f t="shared" si="4"/>
        <v>5.5512947092010236</v>
      </c>
      <c r="R42" s="553">
        <f t="shared" si="4"/>
        <v>5.678974487512674</v>
      </c>
      <c r="S42" s="553">
        <f t="shared" si="4"/>
        <v>5.8095909007254667</v>
      </c>
      <c r="T42" s="553">
        <f t="shared" si="4"/>
        <v>5.9432114914421437</v>
      </c>
      <c r="U42" s="553">
        <f t="shared" si="4"/>
        <v>6.0799053557453071</v>
      </c>
      <c r="V42" s="553">
        <f t="shared" si="4"/>
        <v>6.2197431789274713</v>
      </c>
      <c r="W42" s="553">
        <f t="shared" si="4"/>
        <v>6.3627972720427284</v>
      </c>
      <c r="X42" s="553">
        <f t="shared" si="4"/>
        <v>6.5091416092997747</v>
      </c>
      <c r="Y42" s="814"/>
      <c r="Z42" s="553"/>
      <c r="AA42" s="553"/>
      <c r="AB42" s="553"/>
      <c r="AC42" s="553"/>
      <c r="AD42" s="553"/>
      <c r="AE42" s="542"/>
    </row>
    <row r="43" spans="1:31" x14ac:dyDescent="0.2">
      <c r="A43" s="542"/>
      <c r="B43" s="542"/>
      <c r="C43" s="709" t="s">
        <v>44</v>
      </c>
      <c r="D43" s="553">
        <v>0</v>
      </c>
      <c r="E43" s="553">
        <f t="shared" ref="E43:X43" si="5">(E77-D77)*E37*0.001</f>
        <v>0</v>
      </c>
      <c r="F43" s="553">
        <f t="shared" si="5"/>
        <v>0</v>
      </c>
      <c r="G43" s="553">
        <f t="shared" si="5"/>
        <v>0</v>
      </c>
      <c r="H43" s="553">
        <f t="shared" si="5"/>
        <v>0</v>
      </c>
      <c r="I43" s="553">
        <f t="shared" si="5"/>
        <v>166.93825499999997</v>
      </c>
      <c r="J43" s="553">
        <f t="shared" si="5"/>
        <v>182.38004358749996</v>
      </c>
      <c r="K43" s="553">
        <f t="shared" si="5"/>
        <v>47.740167473624965</v>
      </c>
      <c r="L43" s="553">
        <f t="shared" si="5"/>
        <v>9.1323447194058094</v>
      </c>
      <c r="M43" s="553">
        <f t="shared" si="5"/>
        <v>9.3423886479521414</v>
      </c>
      <c r="N43" s="553">
        <f t="shared" si="5"/>
        <v>9.5572635868551323</v>
      </c>
      <c r="O43" s="553">
        <f t="shared" si="5"/>
        <v>9.777080649352671</v>
      </c>
      <c r="P43" s="553">
        <f t="shared" si="5"/>
        <v>10.001953504287883</v>
      </c>
      <c r="Q43" s="553">
        <f t="shared" si="5"/>
        <v>10.231998434886416</v>
      </c>
      <c r="R43" s="553">
        <f t="shared" si="5"/>
        <v>10.467334398888882</v>
      </c>
      <c r="S43" s="553">
        <f t="shared" si="5"/>
        <v>10.708083090063315</v>
      </c>
      <c r="T43" s="553">
        <f t="shared" si="5"/>
        <v>10.954369001134733</v>
      </c>
      <c r="U43" s="553">
        <f t="shared" si="5"/>
        <v>11.206319488160849</v>
      </c>
      <c r="V43" s="553">
        <f t="shared" si="5"/>
        <v>11.464064836388536</v>
      </c>
      <c r="W43" s="553">
        <f t="shared" si="5"/>
        <v>11.727738327625396</v>
      </c>
      <c r="X43" s="553">
        <f t="shared" si="5"/>
        <v>11.997476309160922</v>
      </c>
      <c r="Y43" s="814"/>
      <c r="Z43" s="553"/>
      <c r="AA43" s="553"/>
      <c r="AB43" s="553"/>
      <c r="AC43" s="553"/>
      <c r="AD43" s="553"/>
      <c r="AE43" s="542"/>
    </row>
    <row r="44" spans="1:31" x14ac:dyDescent="0.2">
      <c r="A44" s="542"/>
      <c r="B44" s="542"/>
      <c r="C44" s="709" t="s">
        <v>45</v>
      </c>
      <c r="D44" s="553">
        <v>0</v>
      </c>
      <c r="E44" s="553">
        <f t="shared" ref="E44:X44" si="6">(E78-D78)*E38*0.001</f>
        <v>0</v>
      </c>
      <c r="F44" s="553">
        <f t="shared" si="6"/>
        <v>0</v>
      </c>
      <c r="G44" s="553">
        <f t="shared" si="6"/>
        <v>0</v>
      </c>
      <c r="H44" s="553">
        <f t="shared" si="6"/>
        <v>0</v>
      </c>
      <c r="I44" s="553">
        <f t="shared" si="6"/>
        <v>362.68033568995804</v>
      </c>
      <c r="J44" s="553">
        <f t="shared" si="6"/>
        <v>396.22826674127907</v>
      </c>
      <c r="K44" s="553">
        <f t="shared" si="6"/>
        <v>103.71750899893574</v>
      </c>
      <c r="L44" s="553">
        <f t="shared" si="6"/>
        <v>19.840400562893915</v>
      </c>
      <c r="M44" s="553">
        <f t="shared" si="6"/>
        <v>20.296729775840223</v>
      </c>
      <c r="N44" s="553">
        <f t="shared" si="6"/>
        <v>20.763554560684966</v>
      </c>
      <c r="O44" s="553">
        <f t="shared" si="6"/>
        <v>21.241116315580364</v>
      </c>
      <c r="P44" s="553">
        <f t="shared" si="6"/>
        <v>21.729661990838995</v>
      </c>
      <c r="Q44" s="553">
        <f t="shared" si="6"/>
        <v>22.229444216628014</v>
      </c>
      <c r="R44" s="553">
        <f t="shared" si="6"/>
        <v>22.740721433610751</v>
      </c>
      <c r="S44" s="553">
        <f t="shared" si="6"/>
        <v>23.26375802658367</v>
      </c>
      <c r="T44" s="553">
        <f t="shared" si="6"/>
        <v>23.798824461194986</v>
      </c>
      <c r="U44" s="553">
        <f t="shared" si="6"/>
        <v>24.34619742380255</v>
      </c>
      <c r="V44" s="553">
        <f t="shared" si="6"/>
        <v>24.906159964550248</v>
      </c>
      <c r="W44" s="553">
        <f t="shared" si="6"/>
        <v>25.479001643734374</v>
      </c>
      <c r="X44" s="553">
        <f t="shared" si="6"/>
        <v>26.065018681540618</v>
      </c>
      <c r="Y44" s="814"/>
      <c r="Z44" s="553"/>
      <c r="AA44" s="553"/>
      <c r="AB44" s="553"/>
      <c r="AC44" s="553"/>
      <c r="AD44" s="553"/>
      <c r="AE44" s="542"/>
    </row>
    <row r="45" spans="1:31" x14ac:dyDescent="0.2">
      <c r="A45" s="542"/>
      <c r="B45" s="542"/>
      <c r="C45" s="712" t="s">
        <v>162</v>
      </c>
      <c r="D45" s="553">
        <v>0</v>
      </c>
      <c r="E45" s="553">
        <f t="shared" ref="E45:X45" si="7">(E80-D80)*E39*0.001</f>
        <v>0</v>
      </c>
      <c r="F45" s="553">
        <f t="shared" si="7"/>
        <v>0</v>
      </c>
      <c r="G45" s="553">
        <f t="shared" si="7"/>
        <v>0</v>
      </c>
      <c r="H45" s="553">
        <f t="shared" si="7"/>
        <v>0</v>
      </c>
      <c r="I45" s="553">
        <f t="shared" si="7"/>
        <v>296.93919999999929</v>
      </c>
      <c r="J45" s="553">
        <f t="shared" si="7"/>
        <v>6.8296016000007516</v>
      </c>
      <c r="K45" s="553">
        <f t="shared" si="7"/>
        <v>6.9866824367985831</v>
      </c>
      <c r="L45" s="553">
        <f t="shared" si="7"/>
        <v>7.147376132846694</v>
      </c>
      <c r="M45" s="553">
        <f t="shared" si="7"/>
        <v>7.3117657839029562</v>
      </c>
      <c r="N45" s="553">
        <f t="shared" si="7"/>
        <v>7.4799363969301345</v>
      </c>
      <c r="O45" s="553">
        <f t="shared" si="7"/>
        <v>7.6519749340601271</v>
      </c>
      <c r="P45" s="553">
        <f t="shared" si="7"/>
        <v>7.8279703575448369</v>
      </c>
      <c r="Q45" s="553">
        <f t="shared" si="7"/>
        <v>8.008013675769325</v>
      </c>
      <c r="R45" s="553">
        <f t="shared" si="7"/>
        <v>8.192197990309797</v>
      </c>
      <c r="S45" s="553">
        <f t="shared" si="7"/>
        <v>8.3806185440887937</v>
      </c>
      <c r="T45" s="553">
        <f t="shared" si="7"/>
        <v>8.5733727706014182</v>
      </c>
      <c r="U45" s="553">
        <f t="shared" si="7"/>
        <v>8.7705603443260767</v>
      </c>
      <c r="V45" s="553">
        <f t="shared" si="7"/>
        <v>8.9722832322440809</v>
      </c>
      <c r="W45" s="553">
        <f t="shared" si="7"/>
        <v>9.178645746587426</v>
      </c>
      <c r="X45" s="553">
        <f t="shared" si="7"/>
        <v>9.3897545987565536</v>
      </c>
      <c r="Y45" s="814"/>
      <c r="Z45" s="553"/>
      <c r="AA45" s="553"/>
      <c r="AB45" s="553"/>
      <c r="AC45" s="553"/>
      <c r="AD45" s="553"/>
      <c r="AE45" s="542"/>
    </row>
    <row r="46" spans="1:31" x14ac:dyDescent="0.2">
      <c r="A46" s="542"/>
      <c r="B46" s="542"/>
      <c r="C46" s="713" t="s">
        <v>32</v>
      </c>
      <c r="D46" s="554">
        <f>SUM(D42:D44)*0.001</f>
        <v>0</v>
      </c>
      <c r="E46" s="554">
        <f>SUM(E42:E44)*0.001</f>
        <v>0</v>
      </c>
      <c r="F46" s="554">
        <f>SUM(F42:F44)*0.001</f>
        <v>0</v>
      </c>
      <c r="G46" s="554">
        <f>SUM(G42:G44)*0.001</f>
        <v>0</v>
      </c>
      <c r="H46" s="554">
        <f>SUM(H42:H44)*0.001</f>
        <v>0</v>
      </c>
      <c r="I46" s="554">
        <f>SUM(I42:I45)*0.001</f>
        <v>0.91712890029695726</v>
      </c>
      <c r="J46" s="554">
        <f t="shared" ref="J46:X46" si="8">SUM(J42:J45)*0.001</f>
        <v>0.68438684917442738</v>
      </c>
      <c r="K46" s="554">
        <f t="shared" si="8"/>
        <v>0.18434543197922104</v>
      </c>
      <c r="L46" s="554">
        <f t="shared" si="8"/>
        <v>4.1074807173364127E-2</v>
      </c>
      <c r="M46" s="554">
        <f t="shared" si="8"/>
        <v>4.2019527738351985E-2</v>
      </c>
      <c r="N46" s="554">
        <f t="shared" si="8"/>
        <v>4.2985976876332106E-2</v>
      </c>
      <c r="O46" s="554">
        <f t="shared" si="8"/>
        <v>4.3974654344487725E-2</v>
      </c>
      <c r="P46" s="554">
        <f t="shared" si="8"/>
        <v>4.4986071394412748E-2</v>
      </c>
      <c r="Q46" s="554">
        <f t="shared" si="8"/>
        <v>4.6020751036484786E-2</v>
      </c>
      <c r="R46" s="554">
        <f t="shared" si="8"/>
        <v>4.7079228310322109E-2</v>
      </c>
      <c r="S46" s="554">
        <f t="shared" si="8"/>
        <v>4.8162050561461243E-2</v>
      </c>
      <c r="T46" s="554">
        <f t="shared" si="8"/>
        <v>4.9269777724373277E-2</v>
      </c>
      <c r="U46" s="554">
        <f t="shared" si="8"/>
        <v>5.0402982612034783E-2</v>
      </c>
      <c r="V46" s="554">
        <f t="shared" si="8"/>
        <v>5.156225121211034E-2</v>
      </c>
      <c r="W46" s="554">
        <f t="shared" si="8"/>
        <v>5.2748182989989921E-2</v>
      </c>
      <c r="X46" s="554">
        <f t="shared" si="8"/>
        <v>5.3961391198757869E-2</v>
      </c>
      <c r="Y46" s="816"/>
      <c r="Z46" s="554"/>
      <c r="AA46" s="554"/>
      <c r="AB46" s="554"/>
      <c r="AC46" s="554"/>
      <c r="AD46" s="554"/>
      <c r="AE46" s="542"/>
    </row>
    <row r="47" spans="1:31" x14ac:dyDescent="0.2">
      <c r="A47" s="542"/>
      <c r="B47" s="542"/>
      <c r="C47" s="807"/>
      <c r="D47" s="542"/>
      <c r="E47" s="542"/>
      <c r="F47" s="542"/>
      <c r="G47" s="542"/>
      <c r="H47" s="542"/>
      <c r="I47" s="542"/>
      <c r="J47" s="542"/>
      <c r="K47" s="542"/>
      <c r="L47" s="542"/>
      <c r="M47" s="542"/>
      <c r="N47" s="542"/>
      <c r="O47" s="542"/>
      <c r="P47" s="542"/>
      <c r="Q47" s="542"/>
      <c r="R47" s="542"/>
      <c r="S47" s="542"/>
      <c r="T47" s="542"/>
      <c r="U47" s="542"/>
      <c r="V47" s="542"/>
      <c r="W47" s="542"/>
      <c r="X47" s="542"/>
      <c r="Y47" s="549"/>
      <c r="Z47" s="542"/>
      <c r="AA47" s="542"/>
      <c r="AB47" s="542"/>
      <c r="AC47" s="542"/>
      <c r="AD47" s="542"/>
      <c r="AE47" s="542"/>
    </row>
    <row r="48" spans="1:31" x14ac:dyDescent="0.2">
      <c r="A48" s="542"/>
      <c r="B48" s="542"/>
      <c r="C48" s="708" t="s">
        <v>58</v>
      </c>
      <c r="D48" s="542"/>
      <c r="E48" s="542"/>
      <c r="F48" s="542"/>
      <c r="G48" s="542"/>
      <c r="H48" s="542"/>
      <c r="I48" s="542"/>
      <c r="J48" s="542"/>
      <c r="K48" s="542"/>
      <c r="L48" s="542"/>
      <c r="M48" s="542"/>
      <c r="N48" s="542"/>
      <c r="O48" s="542"/>
      <c r="P48" s="542"/>
      <c r="Q48" s="542"/>
      <c r="R48" s="542"/>
      <c r="S48" s="542"/>
      <c r="T48" s="542"/>
      <c r="U48" s="542"/>
      <c r="V48" s="542"/>
      <c r="W48" s="542"/>
      <c r="X48" s="542"/>
      <c r="Y48" s="549"/>
      <c r="Z48" s="542"/>
      <c r="AA48" s="542"/>
      <c r="AB48" s="542"/>
      <c r="AC48" s="542"/>
      <c r="AD48" s="542"/>
      <c r="AE48" s="542"/>
    </row>
    <row r="49" spans="1:31" x14ac:dyDescent="0.2">
      <c r="A49" s="542"/>
      <c r="B49" s="542"/>
      <c r="C49" s="709" t="s">
        <v>59</v>
      </c>
      <c r="D49" s="707">
        <f>LRMC_energy</f>
        <v>0.21552001999999995</v>
      </c>
      <c r="E49" s="707">
        <f>D49</f>
        <v>0.21552001999999995</v>
      </c>
      <c r="F49" s="707">
        <f t="shared" ref="F49:U49" si="9">E49</f>
        <v>0.21552001999999995</v>
      </c>
      <c r="G49" s="707">
        <f t="shared" si="9"/>
        <v>0.21552001999999995</v>
      </c>
      <c r="H49" s="707">
        <f t="shared" si="9"/>
        <v>0.21552001999999995</v>
      </c>
      <c r="I49" s="707">
        <f t="shared" si="9"/>
        <v>0.21552001999999995</v>
      </c>
      <c r="J49" s="707">
        <f t="shared" si="9"/>
        <v>0.21552001999999995</v>
      </c>
      <c r="K49" s="707">
        <f t="shared" si="9"/>
        <v>0.21552001999999995</v>
      </c>
      <c r="L49" s="707">
        <f t="shared" si="9"/>
        <v>0.21552001999999995</v>
      </c>
      <c r="M49" s="707">
        <f t="shared" si="9"/>
        <v>0.21552001999999995</v>
      </c>
      <c r="N49" s="707">
        <f t="shared" si="9"/>
        <v>0.21552001999999995</v>
      </c>
      <c r="O49" s="707">
        <f t="shared" si="9"/>
        <v>0.21552001999999995</v>
      </c>
      <c r="P49" s="707">
        <f t="shared" si="9"/>
        <v>0.21552001999999995</v>
      </c>
      <c r="Q49" s="707">
        <f t="shared" si="9"/>
        <v>0.21552001999999995</v>
      </c>
      <c r="R49" s="707">
        <f t="shared" si="9"/>
        <v>0.21552001999999995</v>
      </c>
      <c r="S49" s="707">
        <f t="shared" si="9"/>
        <v>0.21552001999999995</v>
      </c>
      <c r="T49" s="707">
        <f t="shared" si="9"/>
        <v>0.21552001999999995</v>
      </c>
      <c r="U49" s="707">
        <f t="shared" si="9"/>
        <v>0.21552001999999995</v>
      </c>
      <c r="V49" s="707">
        <f t="shared" ref="V49:X49" si="10">U49</f>
        <v>0.21552001999999995</v>
      </c>
      <c r="W49" s="707">
        <f t="shared" si="10"/>
        <v>0.21552001999999995</v>
      </c>
      <c r="X49" s="707">
        <f t="shared" si="10"/>
        <v>0.21552001999999995</v>
      </c>
      <c r="Y49" s="817"/>
      <c r="Z49" s="707"/>
      <c r="AA49" s="707"/>
      <c r="AB49" s="707"/>
      <c r="AC49" s="707"/>
      <c r="AD49" s="707"/>
      <c r="AE49" s="542"/>
    </row>
    <row r="50" spans="1:31" x14ac:dyDescent="0.2">
      <c r="A50" s="542"/>
      <c r="B50" s="54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c r="AE50" s="542"/>
    </row>
    <row r="51" spans="1:31" x14ac:dyDescent="0.2">
      <c r="A51" s="542"/>
      <c r="B51" s="54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c r="AE51" s="542"/>
    </row>
    <row r="52" spans="1:31" x14ac:dyDescent="0.2">
      <c r="A52" s="542"/>
      <c r="B52" s="542"/>
      <c r="C52" s="713" t="s">
        <v>60</v>
      </c>
      <c r="D52" s="558">
        <f t="shared" ref="D52:X52" si="11">IF(D23=1,(D49*D116*(1+D50)*(1+D51)),0)</f>
        <v>0</v>
      </c>
      <c r="E52" s="558">
        <f t="shared" si="11"/>
        <v>0</v>
      </c>
      <c r="F52" s="558">
        <f t="shared" si="11"/>
        <v>0</v>
      </c>
      <c r="G52" s="558">
        <f t="shared" si="11"/>
        <v>0</v>
      </c>
      <c r="H52" s="558">
        <f t="shared" si="11"/>
        <v>0</v>
      </c>
      <c r="I52" s="558">
        <f t="shared" si="11"/>
        <v>0.94045908748716256</v>
      </c>
      <c r="J52" s="558">
        <f t="shared" si="11"/>
        <v>1.9875897469725565</v>
      </c>
      <c r="K52" s="558">
        <f t="shared" si="11"/>
        <v>2.2818192825160604</v>
      </c>
      <c r="L52" s="558">
        <f t="shared" si="11"/>
        <v>2.3576441372740682</v>
      </c>
      <c r="M52" s="558">
        <f t="shared" si="11"/>
        <v>2.435988651955685</v>
      </c>
      <c r="N52" s="558">
        <f t="shared" si="11"/>
        <v>2.5169365548601736</v>
      </c>
      <c r="O52" s="558">
        <f t="shared" si="11"/>
        <v>2.6005743565781758</v>
      </c>
      <c r="P52" s="558">
        <f t="shared" si="11"/>
        <v>2.686991442447269</v>
      </c>
      <c r="Q52" s="558">
        <f t="shared" si="11"/>
        <v>2.7762801680797917</v>
      </c>
      <c r="R52" s="558">
        <f t="shared" si="11"/>
        <v>2.8685359580650829</v>
      </c>
      <c r="S52" s="558">
        <f t="shared" si="11"/>
        <v>2.9638574079515845</v>
      </c>
      <c r="T52" s="558">
        <f t="shared" si="11"/>
        <v>3.0623463896178156</v>
      </c>
      <c r="U52" s="558">
        <f t="shared" si="11"/>
        <v>3.1641081601448153</v>
      </c>
      <c r="V52" s="558">
        <f t="shared" si="11"/>
        <v>3.269251474306428</v>
      </c>
      <c r="W52" s="558">
        <f t="shared" si="11"/>
        <v>3.3778887007976293</v>
      </c>
      <c r="X52" s="558">
        <f t="shared" si="11"/>
        <v>3.4901359423251344</v>
      </c>
      <c r="Y52" s="808"/>
      <c r="Z52" s="558"/>
      <c r="AA52" s="558"/>
      <c r="AB52" s="558"/>
      <c r="AC52" s="558"/>
      <c r="AD52" s="558"/>
      <c r="AE52" s="558"/>
    </row>
    <row r="53" spans="1:31" x14ac:dyDescent="0.2">
      <c r="A53" s="542"/>
      <c r="B53" s="542"/>
      <c r="C53" s="703"/>
      <c r="D53" s="542"/>
      <c r="E53" s="542"/>
      <c r="F53" s="542"/>
      <c r="G53" s="542"/>
      <c r="H53" s="714"/>
      <c r="I53" s="542"/>
      <c r="J53" s="542"/>
      <c r="K53" s="542"/>
      <c r="L53" s="542"/>
      <c r="M53" s="542"/>
      <c r="N53" s="542"/>
      <c r="O53" s="542"/>
      <c r="P53" s="542"/>
      <c r="Q53" s="542"/>
      <c r="R53" s="542"/>
      <c r="S53" s="542"/>
      <c r="T53" s="542"/>
      <c r="U53" s="542"/>
      <c r="V53" s="542"/>
      <c r="W53" s="542"/>
      <c r="X53" s="542"/>
      <c r="Y53" s="549"/>
      <c r="Z53" s="542"/>
      <c r="AA53" s="542"/>
      <c r="AB53" s="542"/>
      <c r="AC53" s="542"/>
      <c r="AD53" s="542"/>
      <c r="AE53" s="542"/>
    </row>
    <row r="54" spans="1:31" x14ac:dyDescent="0.2">
      <c r="A54" s="542"/>
      <c r="B54" s="542"/>
      <c r="C54" s="708" t="s">
        <v>77</v>
      </c>
      <c r="D54" s="553"/>
      <c r="E54" s="553"/>
      <c r="F54" s="542"/>
      <c r="G54" s="542"/>
      <c r="H54" s="542"/>
      <c r="I54" s="542"/>
      <c r="J54" s="542"/>
      <c r="K54" s="542"/>
      <c r="L54" s="542"/>
      <c r="M54" s="542"/>
      <c r="N54" s="542"/>
      <c r="O54" s="542"/>
      <c r="P54" s="542"/>
      <c r="Q54" s="542"/>
      <c r="R54" s="542"/>
      <c r="S54" s="542"/>
      <c r="T54" s="542"/>
      <c r="U54" s="542"/>
      <c r="V54" s="542"/>
      <c r="W54" s="542"/>
      <c r="X54" s="542"/>
      <c r="Y54" s="549"/>
      <c r="Z54" s="542"/>
      <c r="AA54" s="542"/>
      <c r="AB54" s="542"/>
      <c r="AC54" s="542"/>
      <c r="AD54" s="542"/>
      <c r="AE54" s="542"/>
    </row>
    <row r="55" spans="1:31" x14ac:dyDescent="0.2">
      <c r="A55" s="542"/>
      <c r="B55" s="542"/>
      <c r="C55" s="713" t="s">
        <v>352</v>
      </c>
      <c r="D55" s="711">
        <v>0</v>
      </c>
      <c r="E55" s="711">
        <f>Assumptions!I20/10^6</f>
        <v>4.7951701036715352E-2</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c r="AE55" s="542"/>
    </row>
    <row r="56" spans="1:31" x14ac:dyDescent="0.2">
      <c r="A56" s="542"/>
      <c r="B56" s="542"/>
      <c r="C56" s="713" t="s">
        <v>29</v>
      </c>
      <c r="D56" s="711">
        <v>0</v>
      </c>
      <c r="E56" s="711">
        <f>E27*Assumptions!$J$20/10^6</f>
        <v>9.6042734553496191E-3</v>
      </c>
      <c r="F56" s="711">
        <f>F27*Assumptions!$J$20/10^6</f>
        <v>6.0026709095935118E-2</v>
      </c>
      <c r="G56" s="711">
        <f>G27*Assumptions!$J$20/10^6</f>
        <v>0.63868418478074973</v>
      </c>
      <c r="H56" s="711">
        <f>H27*Assumptions!$J$20/10^6</f>
        <v>0.66509593678296108</v>
      </c>
      <c r="I56" s="711">
        <f>I27*Assumptions!$J$20/10^6</f>
        <v>0.93401559353275043</v>
      </c>
      <c r="J56" s="711"/>
      <c r="K56" s="711"/>
      <c r="L56" s="711"/>
      <c r="M56" s="711"/>
      <c r="N56" s="711"/>
      <c r="O56" s="711"/>
      <c r="P56" s="711"/>
      <c r="Q56" s="711"/>
      <c r="R56" s="711"/>
      <c r="S56" s="711"/>
      <c r="T56" s="711"/>
      <c r="U56" s="711"/>
      <c r="V56" s="711"/>
      <c r="W56" s="711"/>
      <c r="X56" s="711"/>
      <c r="Y56" s="815"/>
      <c r="Z56" s="711"/>
      <c r="AA56" s="711"/>
      <c r="AB56" s="711"/>
      <c r="AC56" s="711"/>
      <c r="AD56" s="711"/>
      <c r="AE56" s="542"/>
    </row>
    <row r="57" spans="1:31" x14ac:dyDescent="0.2">
      <c r="A57" s="542"/>
      <c r="B57" s="542"/>
      <c r="C57" s="709" t="s">
        <v>79</v>
      </c>
      <c r="D57" s="711">
        <f>SUM(D55:D56)</f>
        <v>0</v>
      </c>
      <c r="E57" s="711">
        <f>SUM(E55:E56)</f>
        <v>5.7555974492064968E-2</v>
      </c>
      <c r="F57" s="711">
        <f t="shared" ref="F57:I57" si="12">SUM(F55:F56)</f>
        <v>6.0026709095935118E-2</v>
      </c>
      <c r="G57" s="711">
        <f t="shared" si="12"/>
        <v>0.63868418478074973</v>
      </c>
      <c r="H57" s="711">
        <f t="shared" si="12"/>
        <v>0.66509593678296108</v>
      </c>
      <c r="I57" s="711">
        <f t="shared" si="12"/>
        <v>0.93401559353275043</v>
      </c>
      <c r="J57" s="711"/>
      <c r="K57" s="711"/>
      <c r="L57" s="711"/>
      <c r="M57" s="711"/>
      <c r="N57" s="711"/>
      <c r="O57" s="711"/>
      <c r="P57" s="711"/>
      <c r="Q57" s="711"/>
      <c r="R57" s="711"/>
      <c r="S57" s="711"/>
      <c r="T57" s="711"/>
      <c r="U57" s="711"/>
      <c r="V57" s="711"/>
      <c r="W57" s="711"/>
      <c r="X57" s="711"/>
      <c r="Y57" s="815"/>
      <c r="Z57" s="711"/>
      <c r="AA57" s="711"/>
      <c r="AB57" s="711"/>
      <c r="AC57" s="711"/>
      <c r="AD57" s="711"/>
      <c r="AE57" s="542"/>
    </row>
    <row r="58" spans="1:31" x14ac:dyDescent="0.2">
      <c r="A58" s="542"/>
      <c r="B58" s="54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c r="AE58" s="542"/>
    </row>
    <row r="59" spans="1:31" x14ac:dyDescent="0.2">
      <c r="A59" s="542"/>
      <c r="B59" s="542"/>
      <c r="C59" s="708" t="s">
        <v>363</v>
      </c>
      <c r="D59" s="711">
        <v>0</v>
      </c>
      <c r="E59" s="711">
        <f>E$27*Assumptions!$K$20/10^6</f>
        <v>4.622416728697838E-3</v>
      </c>
      <c r="F59" s="711">
        <f>F$27*Assumptions!$K$20/10^6</f>
        <v>2.8890104554361491E-2</v>
      </c>
      <c r="G59" s="711">
        <f>G$27*Assumptions!$K$20/10^6</f>
        <v>0.30739071245840627</v>
      </c>
      <c r="H59" s="711">
        <f>H$27*Assumptions!$K$20/10^6</f>
        <v>0.32010235846232538</v>
      </c>
      <c r="I59" s="711">
        <f>I$27*Assumptions!$K$20/10^6</f>
        <v>0.4495300268658648</v>
      </c>
      <c r="J59" s="711"/>
      <c r="K59" s="711"/>
      <c r="L59" s="711"/>
      <c r="M59" s="711"/>
      <c r="N59" s="711"/>
      <c r="O59" s="711"/>
      <c r="P59" s="711"/>
      <c r="Q59" s="711"/>
      <c r="R59" s="711"/>
      <c r="S59" s="711"/>
      <c r="T59" s="711"/>
      <c r="U59" s="711"/>
      <c r="V59" s="711"/>
      <c r="W59" s="711"/>
      <c r="X59" s="711"/>
      <c r="Y59" s="815"/>
      <c r="Z59" s="711"/>
      <c r="AA59" s="711"/>
      <c r="AB59" s="711"/>
      <c r="AC59" s="711"/>
      <c r="AD59" s="711"/>
      <c r="AE59" s="542"/>
    </row>
    <row r="60" spans="1:31" x14ac:dyDescent="0.2">
      <c r="A60" s="542"/>
      <c r="B60" s="542"/>
      <c r="C60" s="708" t="s">
        <v>364</v>
      </c>
      <c r="D60" s="711">
        <v>0</v>
      </c>
      <c r="E60" s="711">
        <f>E$27*Assumptions!$L$20/10^6</f>
        <v>2.0947386706113226E-3</v>
      </c>
      <c r="F60" s="711">
        <f>F$27*Assumptions!$L$20/10^6</f>
        <v>1.3092116691320767E-2</v>
      </c>
      <c r="G60" s="711">
        <f>G$27*Assumptions!$L$20/10^6</f>
        <v>0.13930012159565294</v>
      </c>
      <c r="H60" s="711">
        <f>H$27*Assumptions!$L$20/10^6</f>
        <v>0.14506065293983411</v>
      </c>
      <c r="I60" s="711">
        <f>I$27*Assumptions!$L$20/10^6</f>
        <v>0.20371333571695113</v>
      </c>
      <c r="J60" s="711"/>
      <c r="K60" s="711"/>
      <c r="L60" s="711"/>
      <c r="M60" s="711"/>
      <c r="N60" s="711"/>
      <c r="O60" s="711"/>
      <c r="P60" s="711"/>
      <c r="Q60" s="711"/>
      <c r="R60" s="711"/>
      <c r="S60" s="711"/>
      <c r="T60" s="711"/>
      <c r="U60" s="711"/>
      <c r="V60" s="711"/>
      <c r="W60" s="711"/>
      <c r="X60" s="711"/>
      <c r="Y60" s="815"/>
      <c r="Z60" s="711"/>
      <c r="AA60" s="711"/>
      <c r="AB60" s="711"/>
      <c r="AC60" s="711"/>
      <c r="AD60" s="711"/>
      <c r="AE60" s="542"/>
    </row>
    <row r="61" spans="1:31" x14ac:dyDescent="0.2">
      <c r="A61" s="542"/>
      <c r="B61" s="54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c r="AE61" s="542"/>
    </row>
    <row r="62" spans="1:31" x14ac:dyDescent="0.2">
      <c r="A62" s="542"/>
      <c r="B62" s="542"/>
      <c r="C62" s="716" t="s">
        <v>100</v>
      </c>
      <c r="D62" s="711">
        <f>SUM(D28:D29,D31:D33,D46,D52,D57,D59:D60)*'ERR &amp; Sensitivity Analysis'!$G$9</f>
        <v>0</v>
      </c>
      <c r="E62" s="711">
        <f>SUM(E28:E29,E31:E33,E46,E52,E57,E59:E60)*'ERR &amp; Sensitivity Analysis'!$G$9</f>
        <v>0.45138077191048409</v>
      </c>
      <c r="F62" s="711">
        <f>SUM(F28:F29,F31:F33,F46,F52,F57,F59:F60)*'ERR &amp; Sensitivity Analysis'!$G$9</f>
        <v>1.0439693440539632</v>
      </c>
      <c r="G62" s="711">
        <f>SUM(G28:G29,G31:G33,G46,G52,G57,G59:G60)*'ERR &amp; Sensitivity Analysis'!$G$9</f>
        <v>10.26222355553031</v>
      </c>
      <c r="H62" s="711">
        <f>SUM(H28:H29,H31:H33,H46,H52,H57,H59:H60)*'ERR &amp; Sensitivity Analysis'!$G$9</f>
        <v>9.8923188634573318</v>
      </c>
      <c r="I62" s="711">
        <f>SUM(I28:I29,I31:I33,I46,I52,I57,I59:I60)*'ERR &amp; Sensitivity Analysis'!$G$9</f>
        <v>14.743565723194051</v>
      </c>
      <c r="J62" s="711">
        <f>SUM(J28:J29,J31:J33,J46,J52,J57,J59:J60)*'ERR &amp; Sensitivity Analysis'!$G$9</f>
        <v>3.5175365640993665</v>
      </c>
      <c r="K62" s="711">
        <f>SUM(K28:K29,K31:K33,K46,K52,K57,K59:K60)*'ERR &amp; Sensitivity Analysis'!$G$9</f>
        <v>2.4661647144952816</v>
      </c>
      <c r="L62" s="711">
        <f>SUM(L28:L29,L31:L33,L46,L52,L57,L59:L60)*'ERR &amp; Sensitivity Analysis'!$G$9</f>
        <v>2.3987189444474324</v>
      </c>
      <c r="M62" s="711">
        <f>SUM(M28:M29,M31:M33,M46,M52,M57,M59:M60)*'ERR &amp; Sensitivity Analysis'!$G$9</f>
        <v>2.478008179694037</v>
      </c>
      <c r="N62" s="711">
        <f>SUM(N28:N29,N31:N33,N46,N52,N57,N59:N60)*'ERR &amp; Sensitivity Analysis'!$G$9</f>
        <v>2.5599225317365057</v>
      </c>
      <c r="O62" s="711">
        <f>SUM(O28:O29,O31:O33,O46,O52,O57,O59:O60)*'ERR &amp; Sensitivity Analysis'!$G$9</f>
        <v>2.6445490109226637</v>
      </c>
      <c r="P62" s="711">
        <f>SUM(P28:P29,P31:P33,P46,P52,P57,P59:P60)*'ERR &amp; Sensitivity Analysis'!$G$9</f>
        <v>2.7319775138416817</v>
      </c>
      <c r="Q62" s="711">
        <f>SUM(Q28:Q29,Q31:Q33,Q46,Q52,Q57,Q59:Q60)*'ERR &amp; Sensitivity Analysis'!$G$9</f>
        <v>2.8223009191162767</v>
      </c>
      <c r="R62" s="711">
        <f>SUM(R28:R29,R31:R33,R46,R52,R57,R59:R60)*'ERR &amp; Sensitivity Analysis'!$G$9</f>
        <v>2.9156151863754052</v>
      </c>
      <c r="S62" s="711">
        <f>SUM(S28:S29,S31:S33,S46,S52,S57,S59:S60)*'ERR &amp; Sensitivity Analysis'!$G$9</f>
        <v>3.0120194585130458</v>
      </c>
      <c r="T62" s="711">
        <f>SUM(T28:T29,T31:T33,T46,T52,T57,T59:T60)*'ERR &amp; Sensitivity Analysis'!$G$9</f>
        <v>3.1116161673421887</v>
      </c>
      <c r="U62" s="711">
        <f>SUM(U28:U29,U31:U33,U46,U52,U57,U59:U60)*'ERR &amp; Sensitivity Analysis'!$G$9</f>
        <v>3.2145111427568502</v>
      </c>
      <c r="V62" s="711">
        <f>SUM(V28:V29,V31:V33,V46,V52,V57,V59:V60)*'ERR &amp; Sensitivity Analysis'!$G$9</f>
        <v>3.3208137255185384</v>
      </c>
      <c r="W62" s="711">
        <f>SUM(W28:W29,W31:W33,W46,W52,W57,W59:W60)*'ERR &amp; Sensitivity Analysis'!$G$9</f>
        <v>3.4306368837876193</v>
      </c>
      <c r="X62" s="711">
        <f>SUM(X28:X29,X31:X33,X46,X52,X57,X59:X60)*'ERR &amp; Sensitivity Analysis'!$G$9</f>
        <v>3.5440973335238923</v>
      </c>
      <c r="Y62" s="815"/>
      <c r="Z62" s="711"/>
      <c r="AA62" s="711"/>
      <c r="AB62" s="711"/>
      <c r="AC62" s="711"/>
      <c r="AD62" s="711"/>
      <c r="AE62" s="542"/>
    </row>
    <row r="63" spans="1:31" x14ac:dyDescent="0.2">
      <c r="A63" s="542"/>
      <c r="B63" s="542"/>
      <c r="C63" s="708" t="s">
        <v>367</v>
      </c>
      <c r="D63" s="711">
        <f>SUM(D28,D31:D33,D57,D59:D60)</f>
        <v>0</v>
      </c>
      <c r="E63" s="711">
        <f t="shared" ref="E63:I63" si="13">SUM(E28,E31:E33,E57,E59:E60)</f>
        <v>0.45138077191048409</v>
      </c>
      <c r="F63" s="711">
        <f t="shared" si="13"/>
        <v>1.0439693440539632</v>
      </c>
      <c r="G63" s="711">
        <f t="shared" si="13"/>
        <v>10.26222355553031</v>
      </c>
      <c r="H63" s="711">
        <f t="shared" si="13"/>
        <v>9.8923188634573318</v>
      </c>
      <c r="I63" s="711">
        <f t="shared" si="13"/>
        <v>12.885977735409931</v>
      </c>
      <c r="J63" s="711"/>
      <c r="K63" s="711"/>
      <c r="L63" s="711"/>
      <c r="M63" s="711"/>
      <c r="N63" s="711"/>
      <c r="O63" s="711"/>
      <c r="P63" s="711"/>
      <c r="Q63" s="711"/>
      <c r="R63" s="711"/>
      <c r="S63" s="711"/>
      <c r="T63" s="711"/>
      <c r="U63" s="711"/>
      <c r="V63" s="711"/>
      <c r="W63" s="711"/>
      <c r="X63" s="711"/>
      <c r="Y63" s="815"/>
      <c r="Z63" s="711"/>
      <c r="AA63" s="711"/>
      <c r="AB63" s="711"/>
      <c r="AC63" s="711"/>
      <c r="AD63" s="711"/>
      <c r="AE63" s="542"/>
    </row>
    <row r="64" spans="1:31" ht="13.5" thickBot="1" x14ac:dyDescent="0.25">
      <c r="A64" s="542"/>
      <c r="B64" s="542"/>
      <c r="C64" s="540"/>
      <c r="D64" s="724"/>
      <c r="E64" s="724"/>
      <c r="F64" s="724"/>
      <c r="G64" s="724"/>
      <c r="H64" s="724"/>
      <c r="I64" s="724"/>
      <c r="J64" s="724"/>
      <c r="K64" s="724"/>
      <c r="L64" s="724"/>
      <c r="M64" s="724"/>
      <c r="N64" s="724"/>
      <c r="O64" s="724"/>
      <c r="P64" s="724"/>
      <c r="Q64" s="733"/>
      <c r="R64" s="724"/>
      <c r="S64" s="724"/>
      <c r="T64" s="724"/>
      <c r="U64" s="724"/>
      <c r="V64" s="724"/>
      <c r="W64" s="724"/>
      <c r="X64" s="724"/>
      <c r="Y64" s="700"/>
      <c r="Z64" s="542"/>
      <c r="AA64" s="542"/>
      <c r="AB64" s="542"/>
      <c r="AC64" s="542"/>
      <c r="AD64" s="542"/>
      <c r="AE64" s="542"/>
    </row>
    <row r="65" spans="3:31" ht="13.5" thickBot="1" x14ac:dyDescent="0.25">
      <c r="Q65" s="624"/>
    </row>
    <row r="66" spans="3:31" ht="28.5" customHeight="1" x14ac:dyDescent="0.2">
      <c r="C66" s="530" t="s">
        <v>614</v>
      </c>
      <c r="D66" s="947" t="s">
        <v>617</v>
      </c>
      <c r="E66" s="947"/>
      <c r="F66" s="947"/>
      <c r="G66" s="948" t="s">
        <v>174</v>
      </c>
      <c r="H66" s="948"/>
      <c r="I66" s="948"/>
      <c r="J66" s="947" t="s">
        <v>42</v>
      </c>
      <c r="K66" s="947"/>
      <c r="L66" s="947"/>
      <c r="M66" s="947" t="s">
        <v>49</v>
      </c>
      <c r="N66" s="947"/>
      <c r="O66" s="947"/>
      <c r="P66" s="947" t="s">
        <v>43</v>
      </c>
      <c r="Q66" s="947"/>
      <c r="R66" s="947"/>
      <c r="S66" s="745"/>
      <c r="T66" s="745"/>
      <c r="U66" s="745"/>
      <c r="V66" s="745"/>
      <c r="W66" s="745"/>
      <c r="X66" s="745"/>
      <c r="Y66" s="745"/>
      <c r="Z66" s="745"/>
      <c r="AA66" s="745"/>
      <c r="AB66" s="945" t="s">
        <v>74</v>
      </c>
      <c r="AC66" s="946"/>
    </row>
    <row r="67" spans="3:31" ht="38.25" x14ac:dyDescent="0.2">
      <c r="C67" s="703"/>
      <c r="D67" s="741" t="s">
        <v>1</v>
      </c>
      <c r="E67" s="741" t="s">
        <v>40</v>
      </c>
      <c r="F67" s="741" t="s">
        <v>41</v>
      </c>
      <c r="G67" s="741" t="s">
        <v>1</v>
      </c>
      <c r="H67" s="741" t="s">
        <v>40</v>
      </c>
      <c r="I67" s="741" t="s">
        <v>41</v>
      </c>
      <c r="J67" s="741" t="s">
        <v>1</v>
      </c>
      <c r="K67" s="741" t="s">
        <v>40</v>
      </c>
      <c r="L67" s="741" t="s">
        <v>41</v>
      </c>
      <c r="M67" s="741" t="s">
        <v>1</v>
      </c>
      <c r="N67" s="741" t="s">
        <v>40</v>
      </c>
      <c r="O67" s="741" t="s">
        <v>41</v>
      </c>
      <c r="P67" s="741" t="s">
        <v>1</v>
      </c>
      <c r="Q67" s="741" t="s">
        <v>40</v>
      </c>
      <c r="R67" s="741" t="s">
        <v>41</v>
      </c>
      <c r="S67" s="741" t="s">
        <v>98</v>
      </c>
      <c r="T67" s="741" t="s">
        <v>97</v>
      </c>
      <c r="U67" s="741" t="s">
        <v>108</v>
      </c>
      <c r="V67" s="741" t="s">
        <v>51</v>
      </c>
      <c r="W67" s="741" t="s">
        <v>53</v>
      </c>
      <c r="X67" s="741" t="s">
        <v>54</v>
      </c>
      <c r="Y67" s="741" t="s">
        <v>611</v>
      </c>
      <c r="Z67" s="741" t="s">
        <v>612</v>
      </c>
      <c r="AA67" s="741" t="s">
        <v>613</v>
      </c>
      <c r="AB67" s="742" t="s">
        <v>75</v>
      </c>
      <c r="AC67" s="746" t="s">
        <v>73</v>
      </c>
    </row>
    <row r="68" spans="3:31" x14ac:dyDescent="0.2">
      <c r="C68" s="536"/>
      <c r="D68" s="537">
        <v>307</v>
      </c>
      <c r="E68" s="537">
        <v>1250</v>
      </c>
      <c r="F68" s="537">
        <f>E69-D68-E68</f>
        <v>1978.4934000000003</v>
      </c>
      <c r="G68" s="542">
        <v>15000</v>
      </c>
      <c r="H68" s="542">
        <v>4000</v>
      </c>
      <c r="I68" s="542">
        <v>1257</v>
      </c>
      <c r="J68" s="539">
        <f>custnopa</f>
        <v>2.3E-2</v>
      </c>
      <c r="K68" s="539">
        <f>Assumptions!D62</f>
        <v>2.3E-2</v>
      </c>
      <c r="L68" s="539">
        <f>Assumptions!E62</f>
        <v>2.3E-2</v>
      </c>
      <c r="M68" s="539">
        <f>unitconspa</f>
        <v>0.01</v>
      </c>
      <c r="N68" s="539">
        <f>Assumptions!D61</f>
        <v>0.01</v>
      </c>
      <c r="O68" s="539">
        <f>Assumptions!E61</f>
        <v>0.01</v>
      </c>
      <c r="P68" s="743">
        <f>G68*D68*0.001</f>
        <v>4605</v>
      </c>
      <c r="Q68" s="743">
        <f>H68*E68*0.001*Assumptions!$C14</f>
        <v>3750</v>
      </c>
      <c r="R68" s="743">
        <f>I68*F68*0.001*Assumptions!$C13</f>
        <v>1243.4831019000001</v>
      </c>
      <c r="S68" s="538">
        <f>(SUM(P68:R68)/8.76)/T68</f>
        <v>2006.6078400526603</v>
      </c>
      <c r="T68" s="684">
        <f>SUMPRODUCT(P68:R68,P69:R69)/SUM(P68:R68)</f>
        <v>0.54605450412602141</v>
      </c>
      <c r="U68" s="118" t="str">
        <f>IF(S68/X68&gt;1,"Constrained"," ")</f>
        <v xml:space="preserve"> </v>
      </c>
      <c r="V68" s="538">
        <v>11410</v>
      </c>
      <c r="W68" s="538">
        <v>1</v>
      </c>
      <c r="X68" s="538">
        <f>V68*W68</f>
        <v>11410</v>
      </c>
      <c r="Y68" s="710">
        <f>Assumptions!C20*10^-6</f>
        <v>19.270465086098337</v>
      </c>
      <c r="Z68" s="710">
        <f>Assumptions!D20*10^-6</f>
        <v>4.5353001654841343</v>
      </c>
      <c r="AA68" s="710">
        <f>SUMPRODUCT(Y68:Z68,AB68:AC68)</f>
        <v>23.805765251582471</v>
      </c>
      <c r="AB68" s="111">
        <f>Assumptions!F9</f>
        <v>1</v>
      </c>
      <c r="AC68" s="550">
        <f>Assumptions!G9</f>
        <v>1</v>
      </c>
      <c r="AD68" s="542"/>
      <c r="AE68" s="542"/>
    </row>
    <row r="69" spans="3:31" x14ac:dyDescent="0.2">
      <c r="C69" s="703"/>
      <c r="D69" s="748" t="s">
        <v>0</v>
      </c>
      <c r="E69" s="537">
        <f>Summary!D49</f>
        <v>3535.4934000000003</v>
      </c>
      <c r="F69" s="537">
        <f>SUM(D68:F68)</f>
        <v>3535.4934000000003</v>
      </c>
      <c r="G69" s="538"/>
      <c r="H69" s="538"/>
      <c r="I69" s="538"/>
      <c r="J69" s="539"/>
      <c r="K69" s="539"/>
      <c r="L69" s="539"/>
      <c r="M69" s="539"/>
      <c r="N69" s="539"/>
      <c r="O69" s="539"/>
      <c r="P69" s="684">
        <f>Assumptions!F55</f>
        <v>0.65</v>
      </c>
      <c r="Q69" s="684">
        <f>Assumptions!F56</f>
        <v>0.5</v>
      </c>
      <c r="R69" s="684">
        <f>Assumptions!F57</f>
        <v>0.3</v>
      </c>
      <c r="S69" s="744">
        <f>S68/E69</f>
        <v>0.56756090678960402</v>
      </c>
      <c r="T69" s="684"/>
      <c r="U69" s="111"/>
      <c r="V69" s="542"/>
      <c r="W69" s="542"/>
      <c r="X69" s="558">
        <f>X68/S68</f>
        <v>5.6862132063136768</v>
      </c>
      <c r="Y69" s="710"/>
      <c r="Z69" s="710"/>
      <c r="AA69" s="710"/>
      <c r="AB69" s="542"/>
      <c r="AC69" s="549"/>
      <c r="AD69" s="542"/>
      <c r="AE69" s="542"/>
    </row>
    <row r="70" spans="3:31" x14ac:dyDescent="0.2">
      <c r="C70" s="703"/>
      <c r="D70" s="542"/>
      <c r="E70" s="542"/>
      <c r="F70" s="542"/>
      <c r="G70" s="542"/>
      <c r="H70" s="542"/>
      <c r="I70" s="542"/>
      <c r="J70" s="542"/>
      <c r="K70" s="542"/>
      <c r="L70" s="542"/>
      <c r="M70" s="542"/>
      <c r="N70" s="542"/>
      <c r="O70" s="542"/>
      <c r="P70" s="542"/>
      <c r="Q70" s="542" t="s">
        <v>64</v>
      </c>
      <c r="R70" s="538">
        <f>IF(R68=0,0,(SUM(P68:R68)/SUM(D68:F68))*1000)</f>
        <v>2714.892100180416</v>
      </c>
      <c r="S70" s="542"/>
      <c r="T70" s="542"/>
      <c r="U70" s="542"/>
      <c r="V70" s="542"/>
      <c r="W70" s="542"/>
      <c r="X70" s="542"/>
      <c r="Y70" s="542"/>
      <c r="Z70" s="542"/>
      <c r="AA70" s="542"/>
      <c r="AB70" s="542"/>
      <c r="AC70" s="549"/>
      <c r="AD70" s="542"/>
      <c r="AE70" s="542"/>
    </row>
    <row r="71" spans="3:31" x14ac:dyDescent="0.2">
      <c r="C71" s="703"/>
      <c r="D71" s="542"/>
      <c r="E71" s="542"/>
      <c r="F71" s="542"/>
      <c r="G71" s="542"/>
      <c r="H71" s="740" t="s">
        <v>175</v>
      </c>
      <c r="I71" s="684">
        <v>0.44</v>
      </c>
      <c r="J71" s="684">
        <v>0.9</v>
      </c>
      <c r="K71" s="684">
        <v>1</v>
      </c>
      <c r="L71" s="684">
        <v>1</v>
      </c>
      <c r="M71" s="684">
        <v>1</v>
      </c>
      <c r="N71" s="684">
        <v>1</v>
      </c>
      <c r="O71" s="684">
        <v>1</v>
      </c>
      <c r="P71" s="684">
        <v>1</v>
      </c>
      <c r="Q71" s="684">
        <v>1</v>
      </c>
      <c r="R71" s="684">
        <v>1</v>
      </c>
      <c r="S71" s="684">
        <v>1</v>
      </c>
      <c r="T71" s="684">
        <v>1</v>
      </c>
      <c r="U71" s="684">
        <v>1</v>
      </c>
      <c r="V71" s="684">
        <v>1</v>
      </c>
      <c r="W71" s="684">
        <v>1</v>
      </c>
      <c r="X71" s="684">
        <v>1</v>
      </c>
      <c r="Y71" s="684"/>
      <c r="Z71" s="684"/>
      <c r="AA71" s="684"/>
      <c r="AB71" s="684"/>
      <c r="AC71" s="820"/>
      <c r="AD71" s="684"/>
      <c r="AE71" s="542"/>
    </row>
    <row r="72" spans="3:31" x14ac:dyDescent="0.2">
      <c r="C72" s="548"/>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9"/>
      <c r="AD72" s="542"/>
      <c r="AE72" s="542"/>
    </row>
    <row r="73" spans="3:31" x14ac:dyDescent="0.2">
      <c r="C73" s="548"/>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9"/>
      <c r="AD73" s="542"/>
      <c r="AE73" s="542"/>
    </row>
    <row r="74" spans="3:31" s="240" customFormat="1" x14ac:dyDescent="0.2">
      <c r="C74" s="551" t="s">
        <v>33</v>
      </c>
      <c r="D74" s="111">
        <v>2008</v>
      </c>
      <c r="E74" s="111">
        <v>2009</v>
      </c>
      <c r="F74" s="111">
        <f>E74+1</f>
        <v>2010</v>
      </c>
      <c r="G74" s="111">
        <f>F74+1</f>
        <v>2011</v>
      </c>
      <c r="H74" s="111">
        <f>G74+1</f>
        <v>2012</v>
      </c>
      <c r="I74" s="111">
        <f>H74+1</f>
        <v>2013</v>
      </c>
      <c r="J74" s="111">
        <f t="shared" ref="J74:X74" si="14">I74+1</f>
        <v>2014</v>
      </c>
      <c r="K74" s="111">
        <f t="shared" si="14"/>
        <v>2015</v>
      </c>
      <c r="L74" s="111">
        <f t="shared" si="14"/>
        <v>2016</v>
      </c>
      <c r="M74" s="111">
        <f t="shared" si="14"/>
        <v>2017</v>
      </c>
      <c r="N74" s="111">
        <f t="shared" si="14"/>
        <v>2018</v>
      </c>
      <c r="O74" s="111">
        <f t="shared" si="14"/>
        <v>2019</v>
      </c>
      <c r="P74" s="111">
        <f t="shared" si="14"/>
        <v>2020</v>
      </c>
      <c r="Q74" s="111">
        <f t="shared" si="14"/>
        <v>2021</v>
      </c>
      <c r="R74" s="111">
        <f t="shared" si="14"/>
        <v>2022</v>
      </c>
      <c r="S74" s="111">
        <f t="shared" si="14"/>
        <v>2023</v>
      </c>
      <c r="T74" s="111">
        <f t="shared" si="14"/>
        <v>2024</v>
      </c>
      <c r="U74" s="111">
        <f t="shared" si="14"/>
        <v>2025</v>
      </c>
      <c r="V74" s="111">
        <f t="shared" si="14"/>
        <v>2026</v>
      </c>
      <c r="W74" s="111">
        <f t="shared" si="14"/>
        <v>2027</v>
      </c>
      <c r="X74" s="111">
        <f t="shared" si="14"/>
        <v>2028</v>
      </c>
      <c r="Y74" s="111"/>
      <c r="Z74" s="111"/>
      <c r="AA74" s="111"/>
      <c r="AB74" s="111"/>
      <c r="AC74" s="550"/>
      <c r="AD74" s="111"/>
      <c r="AE74" s="111"/>
    </row>
    <row r="75" spans="3:31" x14ac:dyDescent="0.2">
      <c r="C75" s="551"/>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9"/>
      <c r="AD75" s="542"/>
      <c r="AE75" s="542"/>
    </row>
    <row r="76" spans="3:31" x14ac:dyDescent="0.2">
      <c r="C76" s="552" t="s">
        <v>10</v>
      </c>
      <c r="D76" s="553">
        <f>$D$68*(1+$J$68)^D$21*(D$23=1)</f>
        <v>0</v>
      </c>
      <c r="E76" s="553">
        <f>$D$68*(1+$J$68)^E$21*(E$23=1)</f>
        <v>0</v>
      </c>
      <c r="F76" s="553">
        <f>$D$68*(1+$J$68)^F$21*(F$23=1)</f>
        <v>0</v>
      </c>
      <c r="G76" s="553">
        <f>$D$68*(1+$J$68)^G$21*(G$23=1)</f>
        <v>0</v>
      </c>
      <c r="H76" s="553">
        <f>$D$68*(1+$J$68)^H$21*(H$23=1)</f>
        <v>0</v>
      </c>
      <c r="I76" s="553">
        <f t="shared" ref="I76:X76" si="15">IF(H95=0,$D$68*(1+$J$68)^I$21*(I$23)*I71,H76)*$AB$68</f>
        <v>138.18683999999999</v>
      </c>
      <c r="J76" s="553">
        <f t="shared" si="15"/>
        <v>289.15596269999998</v>
      </c>
      <c r="K76" s="553">
        <f t="shared" si="15"/>
        <v>328.67394426899989</v>
      </c>
      <c r="L76" s="553">
        <f t="shared" si="15"/>
        <v>336.23344498718689</v>
      </c>
      <c r="M76" s="553">
        <f t="shared" si="15"/>
        <v>343.96681422189209</v>
      </c>
      <c r="N76" s="553">
        <f t="shared" si="15"/>
        <v>351.87805094899568</v>
      </c>
      <c r="O76" s="553">
        <f t="shared" si="15"/>
        <v>359.97124612082246</v>
      </c>
      <c r="P76" s="553">
        <f t="shared" si="15"/>
        <v>368.25058478160139</v>
      </c>
      <c r="Q76" s="553">
        <f t="shared" si="15"/>
        <v>376.72034823157816</v>
      </c>
      <c r="R76" s="553">
        <f t="shared" si="15"/>
        <v>385.38491624090443</v>
      </c>
      <c r="S76" s="553">
        <f t="shared" si="15"/>
        <v>394.24876931444521</v>
      </c>
      <c r="T76" s="553">
        <f t="shared" si="15"/>
        <v>403.31649100867742</v>
      </c>
      <c r="U76" s="553">
        <f t="shared" si="15"/>
        <v>412.59277030187695</v>
      </c>
      <c r="V76" s="553">
        <f t="shared" si="15"/>
        <v>422.08240401882011</v>
      </c>
      <c r="W76" s="553">
        <f t="shared" si="15"/>
        <v>431.79029931125285</v>
      </c>
      <c r="X76" s="553">
        <f t="shared" si="15"/>
        <v>441.72147619541164</v>
      </c>
      <c r="Y76" s="553"/>
      <c r="Z76" s="553"/>
      <c r="AA76" s="553"/>
      <c r="AB76" s="553"/>
      <c r="AC76" s="814"/>
      <c r="AD76" s="553"/>
      <c r="AE76" s="542"/>
    </row>
    <row r="77" spans="3:31" x14ac:dyDescent="0.2">
      <c r="C77" s="552" t="s">
        <v>44</v>
      </c>
      <c r="D77" s="553">
        <f>$E$68*(1+$K$68)^D$21*(D$23=1)</f>
        <v>0</v>
      </c>
      <c r="E77" s="553">
        <f>$E$68*(1+$K$68)^E$21*(E$23=1)</f>
        <v>0</v>
      </c>
      <c r="F77" s="553">
        <f>$E$68*(1+$K$68)^F$21*(F$23=1)</f>
        <v>0</v>
      </c>
      <c r="G77" s="553">
        <f>$E$68*(1+$K$68)^G$21*(G$23=1)</f>
        <v>0</v>
      </c>
      <c r="H77" s="553">
        <f>$E$68*(1+$K$68)^H$21*(H$23=1)</f>
        <v>0</v>
      </c>
      <c r="I77" s="553">
        <f t="shared" ref="I77:X77" si="16">IF(H95=0,$E$68*(1+$K$68)^I$21*(I$23)*I71,H77)*$AB$68</f>
        <v>562.65</v>
      </c>
      <c r="J77" s="553">
        <f t="shared" si="16"/>
        <v>1177.3451249999998</v>
      </c>
      <c r="K77" s="553">
        <f t="shared" si="16"/>
        <v>1338.2489587499997</v>
      </c>
      <c r="L77" s="553">
        <f t="shared" si="16"/>
        <v>1369.0286848012495</v>
      </c>
      <c r="M77" s="553">
        <f t="shared" si="16"/>
        <v>1400.516344551678</v>
      </c>
      <c r="N77" s="553">
        <f t="shared" si="16"/>
        <v>1432.7282204763667</v>
      </c>
      <c r="O77" s="553">
        <f t="shared" si="16"/>
        <v>1465.6809695473228</v>
      </c>
      <c r="P77" s="553">
        <f t="shared" si="16"/>
        <v>1499.3916318469112</v>
      </c>
      <c r="Q77" s="553">
        <f t="shared" si="16"/>
        <v>1533.8776393793898</v>
      </c>
      <c r="R77" s="553">
        <f t="shared" si="16"/>
        <v>1569.1568250851158</v>
      </c>
      <c r="S77" s="553">
        <f t="shared" si="16"/>
        <v>1605.2474320620734</v>
      </c>
      <c r="T77" s="553">
        <f t="shared" si="16"/>
        <v>1642.1681229995008</v>
      </c>
      <c r="U77" s="553">
        <f t="shared" si="16"/>
        <v>1679.9379898284892</v>
      </c>
      <c r="V77" s="553">
        <f t="shared" si="16"/>
        <v>1718.5765635945443</v>
      </c>
      <c r="W77" s="553">
        <f t="shared" si="16"/>
        <v>1758.1038245572183</v>
      </c>
      <c r="X77" s="553">
        <f t="shared" si="16"/>
        <v>1798.5402125220344</v>
      </c>
      <c r="Y77" s="553"/>
      <c r="Z77" s="553"/>
      <c r="AA77" s="553"/>
      <c r="AB77" s="553"/>
      <c r="AC77" s="814"/>
      <c r="AD77" s="553"/>
      <c r="AE77" s="542"/>
    </row>
    <row r="78" spans="3:31" x14ac:dyDescent="0.2">
      <c r="C78" s="552" t="s">
        <v>45</v>
      </c>
      <c r="D78" s="553">
        <f>$F$68*(1+$L$68)^D$21*(D$23=1)</f>
        <v>0</v>
      </c>
      <c r="E78" s="553">
        <f>$F$68*(1+$L$68)^E$21*(E$23=1)</f>
        <v>0</v>
      </c>
      <c r="F78" s="553">
        <f>$F$68*(1+$L$68)^F$21*(F$23=1)</f>
        <v>0</v>
      </c>
      <c r="G78" s="553">
        <f>$F$68*(1+$L$68)^G$21*(G$23=1)</f>
        <v>0</v>
      </c>
      <c r="H78" s="553">
        <f>$F$68*(1+$L$68)^H$21*(H$23=1)</f>
        <v>0</v>
      </c>
      <c r="I78" s="553">
        <f t="shared" ref="I78:X78" si="17">IF(H95=0,$F$68*(1+$L$68)^I$21*(I$23)*I71,H78)*$AB$68</f>
        <v>890.55944920800005</v>
      </c>
      <c r="J78" s="553">
        <f t="shared" si="17"/>
        <v>1863.4956474677399</v>
      </c>
      <c r="K78" s="553">
        <f t="shared" si="17"/>
        <v>2118.1733859549977</v>
      </c>
      <c r="L78" s="553">
        <f t="shared" si="17"/>
        <v>2166.8913738319625</v>
      </c>
      <c r="M78" s="553">
        <f t="shared" si="17"/>
        <v>2216.7298754300969</v>
      </c>
      <c r="N78" s="553">
        <f t="shared" si="17"/>
        <v>2267.7146625649893</v>
      </c>
      <c r="O78" s="553">
        <f t="shared" si="17"/>
        <v>2319.8720998039835</v>
      </c>
      <c r="P78" s="553">
        <f t="shared" si="17"/>
        <v>2373.2291580994752</v>
      </c>
      <c r="Q78" s="553">
        <f t="shared" si="17"/>
        <v>2427.8134287357625</v>
      </c>
      <c r="R78" s="553">
        <f t="shared" si="17"/>
        <v>2483.6531375966852</v>
      </c>
      <c r="S78" s="553">
        <f t="shared" si="17"/>
        <v>2540.7771597614087</v>
      </c>
      <c r="T78" s="553">
        <f t="shared" si="17"/>
        <v>2599.2150344359206</v>
      </c>
      <c r="U78" s="553">
        <f t="shared" si="17"/>
        <v>2658.9969802279466</v>
      </c>
      <c r="V78" s="553">
        <f t="shared" si="17"/>
        <v>2720.1539107731896</v>
      </c>
      <c r="W78" s="553">
        <f t="shared" si="17"/>
        <v>2782.717450720972</v>
      </c>
      <c r="X78" s="553">
        <f t="shared" si="17"/>
        <v>2846.7199520875542</v>
      </c>
      <c r="Y78" s="553"/>
      <c r="Z78" s="553"/>
      <c r="AA78" s="553"/>
      <c r="AB78" s="553"/>
      <c r="AC78" s="814"/>
      <c r="AD78" s="553"/>
      <c r="AE78" s="542"/>
    </row>
    <row r="79" spans="3:31" x14ac:dyDescent="0.2">
      <c r="C79" s="552" t="s">
        <v>163</v>
      </c>
      <c r="D79" s="554"/>
      <c r="E79" s="554"/>
      <c r="F79" s="554"/>
      <c r="G79" s="554"/>
      <c r="H79" s="554"/>
      <c r="I79" s="553">
        <f>SUM(I76:I78)</f>
        <v>1591.3962892079999</v>
      </c>
      <c r="J79" s="553">
        <f t="shared" ref="J79:X79" si="18">SUM(J76:J78)</f>
        <v>3329.9967351677396</v>
      </c>
      <c r="K79" s="553">
        <f t="shared" si="18"/>
        <v>3785.0962889739972</v>
      </c>
      <c r="L79" s="553">
        <f t="shared" si="18"/>
        <v>3872.1535036203986</v>
      </c>
      <c r="M79" s="553">
        <f t="shared" si="18"/>
        <v>3961.2130342036671</v>
      </c>
      <c r="N79" s="553">
        <f t="shared" si="18"/>
        <v>4052.3209339903515</v>
      </c>
      <c r="O79" s="553">
        <f t="shared" si="18"/>
        <v>4145.5243154721284</v>
      </c>
      <c r="P79" s="553">
        <f t="shared" si="18"/>
        <v>4240.871374727988</v>
      </c>
      <c r="Q79" s="553">
        <f t="shared" si="18"/>
        <v>4338.4114163467302</v>
      </c>
      <c r="R79" s="553">
        <f t="shared" si="18"/>
        <v>4438.1948789227054</v>
      </c>
      <c r="S79" s="553">
        <f t="shared" si="18"/>
        <v>4540.2733611379272</v>
      </c>
      <c r="T79" s="553">
        <f t="shared" si="18"/>
        <v>4644.6996484440988</v>
      </c>
      <c r="U79" s="553">
        <f t="shared" si="18"/>
        <v>4751.5277403583132</v>
      </c>
      <c r="V79" s="553">
        <f t="shared" si="18"/>
        <v>4860.8128783865541</v>
      </c>
      <c r="W79" s="553">
        <f t="shared" si="18"/>
        <v>4972.6115745894431</v>
      </c>
      <c r="X79" s="553">
        <f t="shared" si="18"/>
        <v>5086.9816408050001</v>
      </c>
      <c r="Y79" s="553"/>
      <c r="Z79" s="553"/>
      <c r="AA79" s="553"/>
      <c r="AB79" s="553"/>
      <c r="AC79" s="814"/>
      <c r="AD79" s="553"/>
      <c r="AE79" s="557"/>
    </row>
    <row r="80" spans="3:31" x14ac:dyDescent="0.2">
      <c r="C80" s="552" t="s">
        <v>168</v>
      </c>
      <c r="D80" s="542"/>
      <c r="E80" s="542"/>
      <c r="F80" s="542"/>
      <c r="G80" s="542"/>
      <c r="H80" s="542"/>
      <c r="I80" s="553">
        <f>IF(I103=" ",I111-H111,H80)</f>
        <v>742.34799999999814</v>
      </c>
      <c r="J80" s="553">
        <f t="shared" ref="J80:X80" si="19">IF(J103=" ",J111-I111,I80)</f>
        <v>759.42200400000002</v>
      </c>
      <c r="K80" s="553">
        <f t="shared" si="19"/>
        <v>776.88871009199647</v>
      </c>
      <c r="L80" s="553">
        <f t="shared" si="19"/>
        <v>794.75715042411321</v>
      </c>
      <c r="M80" s="553">
        <f t="shared" si="19"/>
        <v>813.0365648838706</v>
      </c>
      <c r="N80" s="553">
        <f t="shared" si="19"/>
        <v>831.73640587619593</v>
      </c>
      <c r="O80" s="553">
        <f t="shared" si="19"/>
        <v>850.86634321134625</v>
      </c>
      <c r="P80" s="553">
        <f t="shared" si="19"/>
        <v>870.43626910520834</v>
      </c>
      <c r="Q80" s="553">
        <f t="shared" si="19"/>
        <v>890.45630329463165</v>
      </c>
      <c r="R80" s="553">
        <f t="shared" si="19"/>
        <v>910.93679827040614</v>
      </c>
      <c r="S80" s="553">
        <f t="shared" si="19"/>
        <v>931.88834463062813</v>
      </c>
      <c r="T80" s="553">
        <f t="shared" si="19"/>
        <v>953.32177655713167</v>
      </c>
      <c r="U80" s="553">
        <f t="shared" si="19"/>
        <v>975.24817741794686</v>
      </c>
      <c r="V80" s="553">
        <f t="shared" si="19"/>
        <v>997.67888549855707</v>
      </c>
      <c r="W80" s="553">
        <f t="shared" si="19"/>
        <v>1020.6254998650256</v>
      </c>
      <c r="X80" s="553">
        <f t="shared" si="19"/>
        <v>1044.099886361917</v>
      </c>
      <c r="Y80" s="553"/>
      <c r="Z80" s="553"/>
      <c r="AA80" s="553"/>
      <c r="AB80" s="553"/>
      <c r="AC80" s="814"/>
      <c r="AD80" s="553"/>
      <c r="AE80" s="557"/>
    </row>
    <row r="81" spans="2:31" x14ac:dyDescent="0.2">
      <c r="C81" s="551"/>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9"/>
      <c r="AD81" s="542"/>
      <c r="AE81" s="542"/>
    </row>
    <row r="82" spans="2:31" x14ac:dyDescent="0.2">
      <c r="B82" s="720"/>
      <c r="C82" s="551" t="s">
        <v>46</v>
      </c>
      <c r="D82" s="542"/>
      <c r="E82" s="542"/>
      <c r="F82" s="542"/>
      <c r="G82" s="542"/>
      <c r="H82" s="542"/>
      <c r="I82" s="542"/>
      <c r="J82" s="553"/>
      <c r="K82" s="553"/>
      <c r="L82" s="553"/>
      <c r="M82" s="553"/>
      <c r="N82" s="553"/>
      <c r="O82" s="553"/>
      <c r="P82" s="553"/>
      <c r="Q82" s="553"/>
      <c r="R82" s="553"/>
      <c r="S82" s="553"/>
      <c r="T82" s="553"/>
      <c r="U82" s="553"/>
      <c r="V82" s="553"/>
      <c r="W82" s="553"/>
      <c r="X82" s="553"/>
      <c r="Y82" s="553"/>
      <c r="Z82" s="553"/>
      <c r="AA82" s="553"/>
      <c r="AB82" s="553"/>
      <c r="AC82" s="814"/>
      <c r="AD82" s="553"/>
      <c r="AE82" s="542"/>
    </row>
    <row r="83" spans="2:31" x14ac:dyDescent="0.2">
      <c r="B83" s="720"/>
      <c r="C83" s="552" t="s">
        <v>10</v>
      </c>
      <c r="D83" s="553">
        <f t="shared" ref="D83:X83" si="20">$G$68*(1+$M$68)^D$21*(D$23=1)</f>
        <v>0</v>
      </c>
      <c r="E83" s="553">
        <f t="shared" si="20"/>
        <v>0</v>
      </c>
      <c r="F83" s="553">
        <f t="shared" si="20"/>
        <v>0</v>
      </c>
      <c r="G83" s="553">
        <f t="shared" si="20"/>
        <v>0</v>
      </c>
      <c r="H83" s="553">
        <f t="shared" si="20"/>
        <v>0</v>
      </c>
      <c r="I83" s="553">
        <f t="shared" si="20"/>
        <v>15150</v>
      </c>
      <c r="J83" s="553">
        <f t="shared" si="20"/>
        <v>15301.5</v>
      </c>
      <c r="K83" s="553">
        <f t="shared" si="20"/>
        <v>15454.514999999999</v>
      </c>
      <c r="L83" s="553">
        <f t="shared" si="20"/>
        <v>15609.060150000001</v>
      </c>
      <c r="M83" s="553">
        <f t="shared" si="20"/>
        <v>15765.150751499999</v>
      </c>
      <c r="N83" s="553">
        <f t="shared" si="20"/>
        <v>15922.802259015001</v>
      </c>
      <c r="O83" s="553">
        <f t="shared" si="20"/>
        <v>16082.030281605148</v>
      </c>
      <c r="P83" s="553">
        <f t="shared" si="20"/>
        <v>16242.850584421203</v>
      </c>
      <c r="Q83" s="553">
        <f t="shared" si="20"/>
        <v>16405.279090265416</v>
      </c>
      <c r="R83" s="553">
        <f t="shared" si="20"/>
        <v>16569.331881168073</v>
      </c>
      <c r="S83" s="553">
        <f t="shared" si="20"/>
        <v>16735.025199979747</v>
      </c>
      <c r="T83" s="553">
        <f t="shared" si="20"/>
        <v>16902.375451979548</v>
      </c>
      <c r="U83" s="553">
        <f t="shared" si="20"/>
        <v>17071.399206499344</v>
      </c>
      <c r="V83" s="553">
        <f t="shared" si="20"/>
        <v>17242.113198564337</v>
      </c>
      <c r="W83" s="553">
        <f t="shared" si="20"/>
        <v>17414.534330549977</v>
      </c>
      <c r="X83" s="553">
        <f t="shared" si="20"/>
        <v>17588.67967385548</v>
      </c>
      <c r="Y83" s="553"/>
      <c r="Z83" s="553"/>
      <c r="AA83" s="553"/>
      <c r="AB83" s="553"/>
      <c r="AC83" s="814"/>
      <c r="AD83" s="553"/>
      <c r="AE83" s="542"/>
    </row>
    <row r="84" spans="2:31" x14ac:dyDescent="0.2">
      <c r="C84" s="552" t="s">
        <v>44</v>
      </c>
      <c r="D84" s="553">
        <f>$H$68*(1+$N$68)^D$21*(D$23=1)</f>
        <v>0</v>
      </c>
      <c r="E84" s="553">
        <f>$H$68*(1+$N$68)^E$21*(E$23=1)</f>
        <v>0</v>
      </c>
      <c r="F84" s="553">
        <f>$H$68*(1+$N$68)^F$21*(F$23=1)</f>
        <v>0</v>
      </c>
      <c r="G84" s="553">
        <f>$H$68*(1+$N$68)^G$21*(G$23=1)</f>
        <v>0</v>
      </c>
      <c r="H84" s="553">
        <f>$H$68*(1+$N$68)^H$21*(H$23=1)</f>
        <v>0</v>
      </c>
      <c r="I84" s="553">
        <f>$H$68*(1+$N$68)^I$21*(I$23=1)*Assumptions!$C$14</f>
        <v>3030</v>
      </c>
      <c r="J84" s="553">
        <f>$H$68*(1+$N$68)^J$21*(J$23=1)*Assumptions!$C$14</f>
        <v>3060.3</v>
      </c>
      <c r="K84" s="553">
        <f>$H$68*(1+$N$68)^K$21*(K$23=1)*Assumptions!$C$14</f>
        <v>3090.9029999999998</v>
      </c>
      <c r="L84" s="553">
        <f>$H$68*(1+$N$68)^L$21*(L$23=1)*Assumptions!$C$14</f>
        <v>3121.81203</v>
      </c>
      <c r="M84" s="553">
        <f>$H$68*(1+$N$68)^M$21*(M$23=1)*Assumptions!$C$14</f>
        <v>3153.0301503000001</v>
      </c>
      <c r="N84" s="553">
        <f>$H$68*(1+$N$68)^N$21*(N$23=1)*Assumptions!$C$14</f>
        <v>3184.5604518030004</v>
      </c>
      <c r="O84" s="553">
        <f>$H$68*(1+$N$68)^O$21*(O$23=1)*Assumptions!$C$14</f>
        <v>3216.4060563210296</v>
      </c>
      <c r="P84" s="553">
        <f>$H$68*(1+$N$68)^P$21*(P$23=1)*Assumptions!$C$14</f>
        <v>3248.5701168842406</v>
      </c>
      <c r="Q84" s="553">
        <f>$H$68*(1+$N$68)^Q$21*(Q$23=1)*Assumptions!$C$14</f>
        <v>3281.0558180530834</v>
      </c>
      <c r="R84" s="553">
        <f>$H$68*(1+$N$68)^R$21*(R$23=1)*Assumptions!$C$14</f>
        <v>3313.8663762336141</v>
      </c>
      <c r="S84" s="553">
        <f>$H$68*(1+$N$68)^S$21*(S$23=1)*Assumptions!$C$14</f>
        <v>3347.0050399959491</v>
      </c>
      <c r="T84" s="553">
        <f>$H$68*(1+$N$68)^T$21*(T$23=1)*Assumptions!$C$14</f>
        <v>3380.4750903959093</v>
      </c>
      <c r="U84" s="553">
        <f>$H$68*(1+$N$68)^U$21*(U$23=1)*Assumptions!$C$14</f>
        <v>3414.2798412998682</v>
      </c>
      <c r="V84" s="553">
        <f>$H$68*(1+$N$68)^V$21*(V$23=1)*Assumptions!$C$14</f>
        <v>3448.4226397128677</v>
      </c>
      <c r="W84" s="553">
        <f>$H$68*(1+$N$68)^W$21*(W$23=1)*Assumptions!$C$14</f>
        <v>3482.9068661099955</v>
      </c>
      <c r="X84" s="553">
        <f>$H$68*(1+$N$68)^X$21*(X$23=1)*Assumptions!$C$14</f>
        <v>3517.7359347710963</v>
      </c>
      <c r="Y84" s="553"/>
      <c r="Z84" s="553"/>
      <c r="AA84" s="553"/>
      <c r="AB84" s="553"/>
      <c r="AC84" s="814"/>
      <c r="AD84" s="553"/>
      <c r="AE84" s="542"/>
    </row>
    <row r="85" spans="2:31" x14ac:dyDescent="0.2">
      <c r="C85" s="552" t="s">
        <v>45</v>
      </c>
      <c r="D85" s="553">
        <f>$I$68*(1+$O$68)^D$21*(D$23=1)</f>
        <v>0</v>
      </c>
      <c r="E85" s="553">
        <f>$I$68*(1+$O$68)^E$21*(E$23=1)</f>
        <v>0</v>
      </c>
      <c r="F85" s="553">
        <f>$I$68*(1+$O$68)^F$21*(F$23=1)</f>
        <v>0</v>
      </c>
      <c r="G85" s="553">
        <f>$I$68*(1+$O$68)^G$21*(G$23=1)</f>
        <v>0</v>
      </c>
      <c r="H85" s="553">
        <f>$I$68*(1+$O$68)^H$21*(H$23=1)</f>
        <v>0</v>
      </c>
      <c r="I85" s="553">
        <f t="shared" ref="I85:X85" si="21">$I$68*(1+$O$68)^I$21*(I$23=1)*Demand_scalar</f>
        <v>634.78499999999997</v>
      </c>
      <c r="J85" s="553">
        <f t="shared" si="21"/>
        <v>641.13284999999996</v>
      </c>
      <c r="K85" s="553">
        <f t="shared" si="21"/>
        <v>647.54417849999993</v>
      </c>
      <c r="L85" s="553">
        <f t="shared" si="21"/>
        <v>654.01962028499997</v>
      </c>
      <c r="M85" s="553">
        <f t="shared" si="21"/>
        <v>660.55981648784996</v>
      </c>
      <c r="N85" s="553">
        <f t="shared" si="21"/>
        <v>667.1654146527286</v>
      </c>
      <c r="O85" s="553">
        <f t="shared" si="21"/>
        <v>673.83706879925569</v>
      </c>
      <c r="P85" s="553">
        <f t="shared" si="21"/>
        <v>680.57543948724845</v>
      </c>
      <c r="Q85" s="553">
        <f t="shared" si="21"/>
        <v>687.38119388212101</v>
      </c>
      <c r="R85" s="553">
        <f t="shared" si="21"/>
        <v>694.25500582094219</v>
      </c>
      <c r="S85" s="553">
        <f t="shared" si="21"/>
        <v>701.19755587915142</v>
      </c>
      <c r="T85" s="553">
        <f t="shared" si="21"/>
        <v>708.20953143794304</v>
      </c>
      <c r="U85" s="553">
        <f t="shared" si="21"/>
        <v>715.29162675232249</v>
      </c>
      <c r="V85" s="553">
        <f t="shared" si="21"/>
        <v>722.44454301984581</v>
      </c>
      <c r="W85" s="553">
        <f t="shared" si="21"/>
        <v>729.66898845004403</v>
      </c>
      <c r="X85" s="553">
        <f t="shared" si="21"/>
        <v>736.96567833454469</v>
      </c>
      <c r="Y85" s="553"/>
      <c r="Z85" s="553"/>
      <c r="AA85" s="553"/>
      <c r="AB85" s="553"/>
      <c r="AC85" s="814"/>
      <c r="AD85" s="553"/>
      <c r="AE85" s="542"/>
    </row>
    <row r="86" spans="2:31" x14ac:dyDescent="0.2">
      <c r="C86" s="551"/>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9"/>
      <c r="AD86" s="542"/>
      <c r="AE86" s="542"/>
    </row>
    <row r="87" spans="2:31" x14ac:dyDescent="0.2">
      <c r="C87" s="551" t="s">
        <v>50</v>
      </c>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9"/>
      <c r="AD87" s="542"/>
      <c r="AE87" s="542"/>
    </row>
    <row r="88" spans="2:31" x14ac:dyDescent="0.2">
      <c r="C88" s="552" t="s">
        <v>10</v>
      </c>
      <c r="D88" s="555">
        <f t="shared" ref="D88:X88" si="22">D76*D83*0.001</f>
        <v>0</v>
      </c>
      <c r="E88" s="555">
        <f t="shared" si="22"/>
        <v>0</v>
      </c>
      <c r="F88" s="555">
        <f t="shared" si="22"/>
        <v>0</v>
      </c>
      <c r="G88" s="555">
        <f t="shared" si="22"/>
        <v>0</v>
      </c>
      <c r="H88" s="555">
        <f t="shared" si="22"/>
        <v>0</v>
      </c>
      <c r="I88" s="555">
        <f t="shared" si="22"/>
        <v>2093.5306259999998</v>
      </c>
      <c r="J88" s="555">
        <f t="shared" si="22"/>
        <v>4424.5199632540498</v>
      </c>
      <c r="K88" s="555">
        <f t="shared" si="22"/>
        <v>5079.4964018144228</v>
      </c>
      <c r="L88" s="555">
        <f t="shared" si="22"/>
        <v>5248.2880672467163</v>
      </c>
      <c r="M88" s="555">
        <f t="shared" si="22"/>
        <v>5422.6886797213228</v>
      </c>
      <c r="N88" s="555">
        <f t="shared" si="22"/>
        <v>5602.8846245484638</v>
      </c>
      <c r="O88" s="555">
        <f t="shared" si="22"/>
        <v>5789.0684806222071</v>
      </c>
      <c r="P88" s="555">
        <f t="shared" si="22"/>
        <v>5981.439226233284</v>
      </c>
      <c r="Q88" s="555">
        <f t="shared" si="22"/>
        <v>6180.2024517210157</v>
      </c>
      <c r="R88" s="555">
        <f t="shared" si="22"/>
        <v>6385.5705791917053</v>
      </c>
      <c r="S88" s="555">
        <f t="shared" si="22"/>
        <v>6597.7630895382426</v>
      </c>
      <c r="T88" s="555">
        <f t="shared" si="22"/>
        <v>6817.006757003599</v>
      </c>
      <c r="U88" s="555">
        <f t="shared" si="22"/>
        <v>7043.5358915388288</v>
      </c>
      <c r="V88" s="555">
        <f t="shared" si="22"/>
        <v>7277.5925892146633</v>
      </c>
      <c r="W88" s="555">
        <f t="shared" si="22"/>
        <v>7519.4269909542636</v>
      </c>
      <c r="X88" s="555">
        <f t="shared" si="22"/>
        <v>7769.2975498636742</v>
      </c>
      <c r="Y88" s="555"/>
      <c r="Z88" s="555"/>
      <c r="AA88" s="555"/>
      <c r="AB88" s="555"/>
      <c r="AC88" s="821"/>
      <c r="AD88" s="555"/>
      <c r="AE88" s="542"/>
    </row>
    <row r="89" spans="2:31" x14ac:dyDescent="0.2">
      <c r="C89" s="552" t="s">
        <v>44</v>
      </c>
      <c r="D89" s="555">
        <f t="shared" ref="D89:X89" si="23">D77*D84*0.001</f>
        <v>0</v>
      </c>
      <c r="E89" s="555">
        <f t="shared" si="23"/>
        <v>0</v>
      </c>
      <c r="F89" s="555">
        <f t="shared" si="23"/>
        <v>0</v>
      </c>
      <c r="G89" s="555">
        <f t="shared" si="23"/>
        <v>0</v>
      </c>
      <c r="H89" s="555">
        <f t="shared" si="23"/>
        <v>0</v>
      </c>
      <c r="I89" s="555">
        <f t="shared" si="23"/>
        <v>1704.8295000000001</v>
      </c>
      <c r="J89" s="555">
        <f t="shared" si="23"/>
        <v>3603.0292860374998</v>
      </c>
      <c r="K89" s="555">
        <f t="shared" si="23"/>
        <v>4136.3977213472499</v>
      </c>
      <c r="L89" s="555">
        <f t="shared" si="23"/>
        <v>4273.8502176276188</v>
      </c>
      <c r="M89" s="555">
        <f t="shared" si="23"/>
        <v>4415.8702603593838</v>
      </c>
      <c r="N89" s="555">
        <f t="shared" si="23"/>
        <v>4562.6096291111271</v>
      </c>
      <c r="O89" s="555">
        <f t="shared" si="23"/>
        <v>4714.2251470864876</v>
      </c>
      <c r="P89" s="555">
        <f t="shared" si="23"/>
        <v>4870.8788487241727</v>
      </c>
      <c r="Q89" s="555">
        <f t="shared" si="23"/>
        <v>5032.7381528672768</v>
      </c>
      <c r="R89" s="555">
        <f t="shared" si="23"/>
        <v>5199.9760416870558</v>
      </c>
      <c r="S89" s="555">
        <f t="shared" si="23"/>
        <v>5372.7712455523142</v>
      </c>
      <c r="T89" s="555">
        <f t="shared" si="23"/>
        <v>5551.3084340420182</v>
      </c>
      <c r="U89" s="555">
        <f t="shared" si="23"/>
        <v>5735.7784133052337</v>
      </c>
      <c r="V89" s="555">
        <f t="shared" si="23"/>
        <v>5926.3783299793677</v>
      </c>
      <c r="W89" s="555">
        <f t="shared" si="23"/>
        <v>6123.3118818845787</v>
      </c>
      <c r="X89" s="555">
        <f t="shared" si="23"/>
        <v>6326.7895357196057</v>
      </c>
      <c r="Y89" s="555"/>
      <c r="Z89" s="555"/>
      <c r="AA89" s="555"/>
      <c r="AB89" s="555"/>
      <c r="AC89" s="821"/>
      <c r="AD89" s="555"/>
      <c r="AE89" s="542"/>
    </row>
    <row r="90" spans="2:31" x14ac:dyDescent="0.2">
      <c r="C90" s="552" t="s">
        <v>45</v>
      </c>
      <c r="D90" s="555">
        <f t="shared" ref="D90:X90" si="24">D78*D85*0.001</f>
        <v>0</v>
      </c>
      <c r="E90" s="555">
        <f t="shared" si="24"/>
        <v>0</v>
      </c>
      <c r="F90" s="555">
        <f t="shared" si="24"/>
        <v>0</v>
      </c>
      <c r="G90" s="555">
        <f t="shared" si="24"/>
        <v>0</v>
      </c>
      <c r="H90" s="555">
        <f t="shared" si="24"/>
        <v>0</v>
      </c>
      <c r="I90" s="555">
        <f t="shared" si="24"/>
        <v>565.3137799655002</v>
      </c>
      <c r="J90" s="555">
        <f t="shared" si="24"/>
        <v>1194.7482754235873</v>
      </c>
      <c r="K90" s="555">
        <f t="shared" si="24"/>
        <v>1371.6108451287923</v>
      </c>
      <c r="L90" s="555">
        <f t="shared" si="24"/>
        <v>1417.1894735124222</v>
      </c>
      <c r="M90" s="555">
        <f t="shared" si="24"/>
        <v>1464.2826797172393</v>
      </c>
      <c r="N90" s="555">
        <f t="shared" si="24"/>
        <v>1512.9407931642438</v>
      </c>
      <c r="O90" s="555">
        <f t="shared" si="24"/>
        <v>1563.2158157210906</v>
      </c>
      <c r="P90" s="555">
        <f t="shared" si="24"/>
        <v>1615.1614772775029</v>
      </c>
      <c r="Q90" s="555">
        <f t="shared" si="24"/>
        <v>1668.8332931674342</v>
      </c>
      <c r="R90" s="555">
        <f t="shared" si="24"/>
        <v>1724.288623499388</v>
      </c>
      <c r="S90" s="555">
        <f t="shared" si="24"/>
        <v>1781.5867344582721</v>
      </c>
      <c r="T90" s="555">
        <f t="shared" si="24"/>
        <v>1840.7888616443204</v>
      </c>
      <c r="U90" s="555">
        <f t="shared" si="24"/>
        <v>1901.958275516761</v>
      </c>
      <c r="V90" s="555">
        <f t="shared" si="24"/>
        <v>1965.1603490121836</v>
      </c>
      <c r="W90" s="555">
        <f t="shared" si="24"/>
        <v>2030.4626274098569</v>
      </c>
      <c r="X90" s="555">
        <f t="shared" si="24"/>
        <v>2097.9349005186868</v>
      </c>
      <c r="Y90" s="555"/>
      <c r="Z90" s="555"/>
      <c r="AA90" s="555"/>
      <c r="AB90" s="555"/>
      <c r="AC90" s="821"/>
      <c r="AD90" s="555"/>
      <c r="AE90" s="542"/>
    </row>
    <row r="91" spans="2:31" x14ac:dyDescent="0.2">
      <c r="C91" s="551"/>
      <c r="D91" s="555"/>
      <c r="E91" s="555"/>
      <c r="F91" s="555"/>
      <c r="G91" s="555"/>
      <c r="H91" s="555"/>
      <c r="I91" s="555"/>
      <c r="J91" s="555"/>
      <c r="K91" s="555"/>
      <c r="L91" s="555"/>
      <c r="M91" s="555"/>
      <c r="N91" s="555"/>
      <c r="O91" s="555"/>
      <c r="P91" s="555"/>
      <c r="Q91" s="555"/>
      <c r="R91" s="555"/>
      <c r="S91" s="555"/>
      <c r="T91" s="555"/>
      <c r="U91" s="555"/>
      <c r="V91" s="555"/>
      <c r="W91" s="555"/>
      <c r="X91" s="555"/>
      <c r="Y91" s="555"/>
      <c r="Z91" s="555"/>
      <c r="AA91" s="555"/>
      <c r="AB91" s="555"/>
      <c r="AC91" s="821"/>
      <c r="AD91" s="555"/>
      <c r="AE91" s="542"/>
    </row>
    <row r="92" spans="2:31" x14ac:dyDescent="0.2">
      <c r="C92" s="551" t="s">
        <v>47</v>
      </c>
      <c r="D92" s="553">
        <f t="shared" ref="D92:X92" si="25">SUM(D88:D90)</f>
        <v>0</v>
      </c>
      <c r="E92" s="553">
        <f t="shared" si="25"/>
        <v>0</v>
      </c>
      <c r="F92" s="553">
        <f t="shared" si="25"/>
        <v>0</v>
      </c>
      <c r="G92" s="553">
        <f t="shared" si="25"/>
        <v>0</v>
      </c>
      <c r="H92" s="553">
        <f t="shared" si="25"/>
        <v>0</v>
      </c>
      <c r="I92" s="553">
        <f t="shared" si="25"/>
        <v>4363.6739059655001</v>
      </c>
      <c r="J92" s="553">
        <f t="shared" si="25"/>
        <v>9222.2975247151371</v>
      </c>
      <c r="K92" s="553">
        <f t="shared" si="25"/>
        <v>10587.504968290466</v>
      </c>
      <c r="L92" s="553">
        <f t="shared" si="25"/>
        <v>10939.327758386757</v>
      </c>
      <c r="M92" s="553">
        <f t="shared" si="25"/>
        <v>11302.841619797946</v>
      </c>
      <c r="N92" s="553">
        <f t="shared" si="25"/>
        <v>11678.435046823835</v>
      </c>
      <c r="O92" s="553">
        <f t="shared" si="25"/>
        <v>12066.509443429786</v>
      </c>
      <c r="P92" s="553">
        <f t="shared" si="25"/>
        <v>12467.47955223496</v>
      </c>
      <c r="Q92" s="553">
        <f t="shared" si="25"/>
        <v>12881.773897755727</v>
      </c>
      <c r="R92" s="553">
        <f t="shared" si="25"/>
        <v>13309.83524437815</v>
      </c>
      <c r="S92" s="553">
        <f t="shared" si="25"/>
        <v>13752.12106954883</v>
      </c>
      <c r="T92" s="553">
        <f t="shared" si="25"/>
        <v>14209.104052689938</v>
      </c>
      <c r="U92" s="553">
        <f t="shared" si="25"/>
        <v>14681.272580360823</v>
      </c>
      <c r="V92" s="553">
        <f t="shared" si="25"/>
        <v>15169.131268206214</v>
      </c>
      <c r="W92" s="553">
        <f t="shared" si="25"/>
        <v>15673.201500248701</v>
      </c>
      <c r="X92" s="553">
        <f t="shared" si="25"/>
        <v>16194.021986101967</v>
      </c>
      <c r="Y92" s="553"/>
      <c r="Z92" s="553"/>
      <c r="AA92" s="553"/>
      <c r="AB92" s="553"/>
      <c r="AC92" s="814"/>
      <c r="AD92" s="553"/>
      <c r="AE92" s="542"/>
    </row>
    <row r="93" spans="2:31" x14ac:dyDescent="0.2">
      <c r="C93" s="551" t="s">
        <v>52</v>
      </c>
      <c r="D93" s="553"/>
      <c r="E93" s="553"/>
      <c r="F93" s="553"/>
      <c r="G93" s="553">
        <f t="shared" ref="G93:X93" si="26">(G92/8.76)/$T68</f>
        <v>0</v>
      </c>
      <c r="H93" s="553">
        <f t="shared" si="26"/>
        <v>0</v>
      </c>
      <c r="I93" s="553">
        <f t="shared" si="26"/>
        <v>912.24646417414863</v>
      </c>
      <c r="J93" s="553">
        <f t="shared" si="26"/>
        <v>1927.96448354725</v>
      </c>
      <c r="K93" s="553">
        <f t="shared" si="26"/>
        <v>2213.3674925950277</v>
      </c>
      <c r="L93" s="553">
        <f t="shared" si="26"/>
        <v>2286.9176943739599</v>
      </c>
      <c r="M93" s="553">
        <f t="shared" si="26"/>
        <v>2362.911969358006</v>
      </c>
      <c r="N93" s="553">
        <f t="shared" si="26"/>
        <v>2441.4315340997737</v>
      </c>
      <c r="O93" s="553">
        <f t="shared" si="26"/>
        <v>2522.560303977908</v>
      </c>
      <c r="P93" s="553">
        <f t="shared" si="26"/>
        <v>2606.384982879094</v>
      </c>
      <c r="Q93" s="553">
        <f t="shared" si="26"/>
        <v>2692.9951558601661</v>
      </c>
      <c r="R93" s="553">
        <f t="shared" si="26"/>
        <v>2782.4833848893995</v>
      </c>
      <c r="S93" s="553">
        <f t="shared" si="26"/>
        <v>2874.9453077692733</v>
      </c>
      <c r="T93" s="553">
        <f t="shared" si="26"/>
        <v>2970.4797403464463</v>
      </c>
      <c r="U93" s="553">
        <f t="shared" si="26"/>
        <v>3069.1887821181585</v>
      </c>
      <c r="V93" s="553">
        <f t="shared" si="26"/>
        <v>3171.1779253479449</v>
      </c>
      <c r="W93" s="553">
        <f t="shared" si="26"/>
        <v>3276.5561678072559</v>
      </c>
      <c r="X93" s="553">
        <f t="shared" si="26"/>
        <v>3385.4361292634912</v>
      </c>
      <c r="Y93" s="553"/>
      <c r="Z93" s="553"/>
      <c r="AA93" s="553"/>
      <c r="AB93" s="553"/>
      <c r="AC93" s="814"/>
      <c r="AD93" s="553"/>
      <c r="AE93" s="542"/>
    </row>
    <row r="94" spans="2:31" x14ac:dyDescent="0.2">
      <c r="C94" s="551" t="s">
        <v>48</v>
      </c>
      <c r="D94" s="553"/>
      <c r="E94" s="553"/>
      <c r="F94" s="553"/>
      <c r="G94" s="555">
        <f t="shared" ref="G94:X94" si="27">IF(G93&lt;$X$68,G92,($X$68/G93)*G92)</f>
        <v>0</v>
      </c>
      <c r="H94" s="555">
        <f t="shared" si="27"/>
        <v>0</v>
      </c>
      <c r="I94" s="555">
        <f t="shared" si="27"/>
        <v>4363.6739059655001</v>
      </c>
      <c r="J94" s="555">
        <f t="shared" si="27"/>
        <v>9222.2975247151371</v>
      </c>
      <c r="K94" s="555">
        <f t="shared" si="27"/>
        <v>10587.504968290466</v>
      </c>
      <c r="L94" s="555">
        <f t="shared" si="27"/>
        <v>10939.327758386757</v>
      </c>
      <c r="M94" s="555">
        <f t="shared" si="27"/>
        <v>11302.841619797946</v>
      </c>
      <c r="N94" s="555">
        <f t="shared" si="27"/>
        <v>11678.435046823835</v>
      </c>
      <c r="O94" s="555">
        <f t="shared" si="27"/>
        <v>12066.509443429786</v>
      </c>
      <c r="P94" s="555">
        <f t="shared" si="27"/>
        <v>12467.47955223496</v>
      </c>
      <c r="Q94" s="555">
        <f t="shared" si="27"/>
        <v>12881.773897755727</v>
      </c>
      <c r="R94" s="555">
        <f t="shared" si="27"/>
        <v>13309.83524437815</v>
      </c>
      <c r="S94" s="555">
        <f t="shared" si="27"/>
        <v>13752.12106954883</v>
      </c>
      <c r="T94" s="555">
        <f t="shared" si="27"/>
        <v>14209.104052689938</v>
      </c>
      <c r="U94" s="555">
        <f t="shared" si="27"/>
        <v>14681.272580360823</v>
      </c>
      <c r="V94" s="555">
        <f t="shared" si="27"/>
        <v>15169.131268206214</v>
      </c>
      <c r="W94" s="555">
        <f t="shared" si="27"/>
        <v>15673.201500248701</v>
      </c>
      <c r="X94" s="555">
        <f t="shared" si="27"/>
        <v>16194.021986101967</v>
      </c>
      <c r="Y94" s="555"/>
      <c r="Z94" s="555"/>
      <c r="AA94" s="555"/>
      <c r="AB94" s="555"/>
      <c r="AC94" s="821"/>
      <c r="AD94" s="555"/>
      <c r="AE94" s="542"/>
    </row>
    <row r="95" spans="2:31" x14ac:dyDescent="0.2">
      <c r="C95" s="551" t="s">
        <v>95</v>
      </c>
      <c r="D95" s="553"/>
      <c r="E95" s="553"/>
      <c r="F95" s="553"/>
      <c r="G95" s="555"/>
      <c r="H95" s="555">
        <v>0</v>
      </c>
      <c r="I95" s="556">
        <f t="shared" ref="I95:X95" si="28">IF(I93&gt;$X$68,I22,0)</f>
        <v>0</v>
      </c>
      <c r="J95" s="556">
        <f t="shared" si="28"/>
        <v>0</v>
      </c>
      <c r="K95" s="556">
        <f t="shared" si="28"/>
        <v>0</v>
      </c>
      <c r="L95" s="556">
        <f t="shared" si="28"/>
        <v>0</v>
      </c>
      <c r="M95" s="556">
        <f t="shared" si="28"/>
        <v>0</v>
      </c>
      <c r="N95" s="556">
        <f t="shared" si="28"/>
        <v>0</v>
      </c>
      <c r="O95" s="556">
        <f t="shared" si="28"/>
        <v>0</v>
      </c>
      <c r="P95" s="556">
        <f t="shared" si="28"/>
        <v>0</v>
      </c>
      <c r="Q95" s="556">
        <f t="shared" si="28"/>
        <v>0</v>
      </c>
      <c r="R95" s="556">
        <f t="shared" si="28"/>
        <v>0</v>
      </c>
      <c r="S95" s="556">
        <f t="shared" si="28"/>
        <v>0</v>
      </c>
      <c r="T95" s="556">
        <f t="shared" si="28"/>
        <v>0</v>
      </c>
      <c r="U95" s="556">
        <f t="shared" si="28"/>
        <v>0</v>
      </c>
      <c r="V95" s="556">
        <f t="shared" si="28"/>
        <v>0</v>
      </c>
      <c r="W95" s="556">
        <f t="shared" si="28"/>
        <v>0</v>
      </c>
      <c r="X95" s="556">
        <f t="shared" si="28"/>
        <v>0</v>
      </c>
      <c r="Y95" s="556"/>
      <c r="Z95" s="556"/>
      <c r="AA95" s="556"/>
      <c r="AB95" s="556"/>
      <c r="AC95" s="822"/>
      <c r="AD95" s="556"/>
      <c r="AE95" s="819"/>
    </row>
    <row r="96" spans="2:31" x14ac:dyDescent="0.2">
      <c r="B96" s="720"/>
      <c r="C96" s="552" t="s">
        <v>10</v>
      </c>
      <c r="D96" s="553"/>
      <c r="E96" s="553"/>
      <c r="F96" s="553"/>
      <c r="G96" s="553">
        <f>IF(G23=1,(G94/G92)*G88,0)</f>
        <v>0</v>
      </c>
      <c r="H96" s="553">
        <f>IF(H23=1,(H94/H92)*H88,0)</f>
        <v>0</v>
      </c>
      <c r="I96" s="553">
        <f>IF($AB$68=1,(I$94/I$92)*I88,0)</f>
        <v>2093.5306259999998</v>
      </c>
      <c r="J96" s="553">
        <f t="shared" ref="J96:X98" si="29">IF($AB$68=1,(J$94/J$92)*J88,0)</f>
        <v>4424.5199632540498</v>
      </c>
      <c r="K96" s="553">
        <f t="shared" si="29"/>
        <v>5079.4964018144228</v>
      </c>
      <c r="L96" s="553">
        <f t="shared" si="29"/>
        <v>5248.2880672467163</v>
      </c>
      <c r="M96" s="553">
        <f t="shared" si="29"/>
        <v>5422.6886797213228</v>
      </c>
      <c r="N96" s="553">
        <f t="shared" si="29"/>
        <v>5602.8846245484638</v>
      </c>
      <c r="O96" s="553">
        <f t="shared" si="29"/>
        <v>5789.0684806222071</v>
      </c>
      <c r="P96" s="553">
        <f t="shared" si="29"/>
        <v>5981.439226233284</v>
      </c>
      <c r="Q96" s="553">
        <f t="shared" si="29"/>
        <v>6180.2024517210157</v>
      </c>
      <c r="R96" s="553">
        <f t="shared" si="29"/>
        <v>6385.5705791917053</v>
      </c>
      <c r="S96" s="553">
        <f t="shared" si="29"/>
        <v>6597.7630895382426</v>
      </c>
      <c r="T96" s="553">
        <f t="shared" si="29"/>
        <v>6817.006757003599</v>
      </c>
      <c r="U96" s="553">
        <f t="shared" si="29"/>
        <v>7043.5358915388288</v>
      </c>
      <c r="V96" s="553">
        <f t="shared" si="29"/>
        <v>7277.5925892146633</v>
      </c>
      <c r="W96" s="553">
        <f t="shared" si="29"/>
        <v>7519.4269909542636</v>
      </c>
      <c r="X96" s="553">
        <f t="shared" si="29"/>
        <v>7769.2975498636742</v>
      </c>
      <c r="Y96" s="553"/>
      <c r="Z96" s="553"/>
      <c r="AA96" s="553"/>
      <c r="AB96" s="553"/>
      <c r="AC96" s="814"/>
      <c r="AD96" s="553"/>
      <c r="AE96" s="542"/>
    </row>
    <row r="97" spans="2:31" x14ac:dyDescent="0.2">
      <c r="B97" s="720"/>
      <c r="C97" s="552" t="s">
        <v>44</v>
      </c>
      <c r="D97" s="553"/>
      <c r="E97" s="553"/>
      <c r="F97" s="553"/>
      <c r="G97" s="553">
        <f>IF(G23=1,(G94/G92)*G89,0)</f>
        <v>0</v>
      </c>
      <c r="H97" s="553">
        <f>IF(H23=1,(H94/H92)*H89,0)</f>
        <v>0</v>
      </c>
      <c r="I97" s="553">
        <f t="shared" ref="I97:X98" si="30">IF($AB$68=1,(I$94/I$92)*I89,0)</f>
        <v>1704.8295000000001</v>
      </c>
      <c r="J97" s="553">
        <f t="shared" si="30"/>
        <v>3603.0292860374998</v>
      </c>
      <c r="K97" s="553">
        <f t="shared" si="30"/>
        <v>4136.3977213472499</v>
      </c>
      <c r="L97" s="553">
        <f t="shared" si="30"/>
        <v>4273.8502176276188</v>
      </c>
      <c r="M97" s="553">
        <f t="shared" si="30"/>
        <v>4415.8702603593838</v>
      </c>
      <c r="N97" s="553">
        <f t="shared" si="30"/>
        <v>4562.6096291111271</v>
      </c>
      <c r="O97" s="553">
        <f t="shared" si="30"/>
        <v>4714.2251470864876</v>
      </c>
      <c r="P97" s="553">
        <f t="shared" si="30"/>
        <v>4870.8788487241727</v>
      </c>
      <c r="Q97" s="553">
        <f t="shared" si="30"/>
        <v>5032.7381528672768</v>
      </c>
      <c r="R97" s="553">
        <f t="shared" si="30"/>
        <v>5199.9760416870558</v>
      </c>
      <c r="S97" s="553">
        <f t="shared" si="30"/>
        <v>5372.7712455523142</v>
      </c>
      <c r="T97" s="553">
        <f t="shared" si="30"/>
        <v>5551.3084340420182</v>
      </c>
      <c r="U97" s="553">
        <f t="shared" si="30"/>
        <v>5735.7784133052337</v>
      </c>
      <c r="V97" s="553">
        <f t="shared" si="30"/>
        <v>5926.3783299793677</v>
      </c>
      <c r="W97" s="553">
        <f t="shared" si="30"/>
        <v>6123.3118818845787</v>
      </c>
      <c r="X97" s="553">
        <f t="shared" si="30"/>
        <v>6326.7895357196057</v>
      </c>
      <c r="Y97" s="553"/>
      <c r="Z97" s="553"/>
      <c r="AA97" s="553"/>
      <c r="AB97" s="553"/>
      <c r="AC97" s="814"/>
      <c r="AD97" s="553"/>
      <c r="AE97" s="542"/>
    </row>
    <row r="98" spans="2:31" x14ac:dyDescent="0.2">
      <c r="B98" s="720"/>
      <c r="C98" s="552" t="s">
        <v>45</v>
      </c>
      <c r="D98" s="553"/>
      <c r="E98" s="553"/>
      <c r="F98" s="553"/>
      <c r="G98" s="553">
        <f>IF(G23=1,(G94/G92)*G90,0)</f>
        <v>0</v>
      </c>
      <c r="H98" s="553">
        <f>IF(H23=1,(H94/H92)*H90,0)</f>
        <v>0</v>
      </c>
      <c r="I98" s="553">
        <f t="shared" si="30"/>
        <v>565.3137799655002</v>
      </c>
      <c r="J98" s="553">
        <f t="shared" si="29"/>
        <v>1194.7482754235873</v>
      </c>
      <c r="K98" s="553">
        <f t="shared" si="29"/>
        <v>1371.6108451287923</v>
      </c>
      <c r="L98" s="553">
        <f t="shared" si="29"/>
        <v>1417.1894735124222</v>
      </c>
      <c r="M98" s="553">
        <f t="shared" si="29"/>
        <v>1464.2826797172393</v>
      </c>
      <c r="N98" s="553">
        <f t="shared" si="29"/>
        <v>1512.9407931642438</v>
      </c>
      <c r="O98" s="553">
        <f t="shared" si="29"/>
        <v>1563.2158157210906</v>
      </c>
      <c r="P98" s="553">
        <f t="shared" si="29"/>
        <v>1615.1614772775029</v>
      </c>
      <c r="Q98" s="553">
        <f t="shared" si="29"/>
        <v>1668.8332931674342</v>
      </c>
      <c r="R98" s="553">
        <f t="shared" si="29"/>
        <v>1724.288623499388</v>
      </c>
      <c r="S98" s="553">
        <f t="shared" si="29"/>
        <v>1781.5867344582721</v>
      </c>
      <c r="T98" s="553">
        <f t="shared" si="29"/>
        <v>1840.7888616443204</v>
      </c>
      <c r="U98" s="553">
        <f t="shared" si="29"/>
        <v>1901.958275516761</v>
      </c>
      <c r="V98" s="553">
        <f t="shared" si="29"/>
        <v>1965.1603490121836</v>
      </c>
      <c r="W98" s="553">
        <f t="shared" si="29"/>
        <v>2030.4626274098569</v>
      </c>
      <c r="X98" s="553">
        <f t="shared" si="29"/>
        <v>2097.9349005186868</v>
      </c>
      <c r="Y98" s="553"/>
      <c r="Z98" s="553"/>
      <c r="AA98" s="553"/>
      <c r="AB98" s="553"/>
      <c r="AC98" s="814"/>
      <c r="AD98" s="553"/>
      <c r="AE98" s="542"/>
    </row>
    <row r="99" spans="2:31" x14ac:dyDescent="0.2">
      <c r="B99" s="720"/>
      <c r="C99" s="552"/>
      <c r="D99" s="542"/>
      <c r="E99" s="542"/>
      <c r="F99" s="542"/>
      <c r="G99" s="557"/>
      <c r="H99" s="557"/>
      <c r="I99" s="557"/>
      <c r="J99" s="557"/>
      <c r="K99" s="557"/>
      <c r="L99" s="557"/>
      <c r="M99" s="557"/>
      <c r="N99" s="557"/>
      <c r="O99" s="557"/>
      <c r="P99" s="557"/>
      <c r="Q99" s="557"/>
      <c r="R99" s="557"/>
      <c r="S99" s="557"/>
      <c r="T99" s="557"/>
      <c r="U99" s="557"/>
      <c r="V99" s="557"/>
      <c r="W99" s="557"/>
      <c r="X99" s="557"/>
      <c r="Y99" s="557"/>
      <c r="Z99" s="557"/>
      <c r="AA99" s="557"/>
      <c r="AB99" s="557"/>
      <c r="AC99" s="823"/>
      <c r="AD99" s="557"/>
      <c r="AE99" s="542"/>
    </row>
    <row r="100" spans="2:31" x14ac:dyDescent="0.2">
      <c r="B100" s="720"/>
      <c r="C100" s="536" t="s">
        <v>65</v>
      </c>
      <c r="D100" s="558">
        <f t="shared" ref="D100:X100" si="31">$AB$68*D$94*0.001</f>
        <v>0</v>
      </c>
      <c r="E100" s="558">
        <f t="shared" si="31"/>
        <v>0</v>
      </c>
      <c r="F100" s="558">
        <f t="shared" si="31"/>
        <v>0</v>
      </c>
      <c r="G100" s="558">
        <f t="shared" si="31"/>
        <v>0</v>
      </c>
      <c r="H100" s="558">
        <f t="shared" si="31"/>
        <v>0</v>
      </c>
      <c r="I100" s="558">
        <f t="shared" si="31"/>
        <v>4.3636739059655003</v>
      </c>
      <c r="J100" s="558">
        <f t="shared" si="31"/>
        <v>9.2222975247151382</v>
      </c>
      <c r="K100" s="558">
        <f t="shared" si="31"/>
        <v>10.587504968290467</v>
      </c>
      <c r="L100" s="558">
        <f t="shared" si="31"/>
        <v>10.939327758386757</v>
      </c>
      <c r="M100" s="558">
        <f t="shared" si="31"/>
        <v>11.302841619797945</v>
      </c>
      <c r="N100" s="558">
        <f t="shared" si="31"/>
        <v>11.678435046823836</v>
      </c>
      <c r="O100" s="558">
        <f t="shared" si="31"/>
        <v>12.066509443429787</v>
      </c>
      <c r="P100" s="558">
        <f t="shared" si="31"/>
        <v>12.467479552234959</v>
      </c>
      <c r="Q100" s="558">
        <f t="shared" si="31"/>
        <v>12.881773897755728</v>
      </c>
      <c r="R100" s="558">
        <f t="shared" si="31"/>
        <v>13.309835244378149</v>
      </c>
      <c r="S100" s="558">
        <f t="shared" si="31"/>
        <v>13.75212106954883</v>
      </c>
      <c r="T100" s="558">
        <f t="shared" si="31"/>
        <v>14.209104052689938</v>
      </c>
      <c r="U100" s="558">
        <f t="shared" si="31"/>
        <v>14.681272580360822</v>
      </c>
      <c r="V100" s="558">
        <f t="shared" si="31"/>
        <v>15.169131268206215</v>
      </c>
      <c r="W100" s="558">
        <f t="shared" si="31"/>
        <v>15.673201500248702</v>
      </c>
      <c r="X100" s="558">
        <f t="shared" si="31"/>
        <v>16.194021986101966</v>
      </c>
      <c r="Y100" s="558"/>
      <c r="Z100" s="558"/>
      <c r="AA100" s="558"/>
      <c r="AB100" s="558"/>
      <c r="AC100" s="808"/>
      <c r="AD100" s="558"/>
      <c r="AE100" s="542"/>
    </row>
    <row r="101" spans="2:31" ht="13.5" thickBot="1" x14ac:dyDescent="0.25">
      <c r="C101" s="540"/>
      <c r="D101" s="724"/>
      <c r="E101" s="724"/>
      <c r="F101" s="724"/>
      <c r="G101" s="724"/>
      <c r="H101" s="749"/>
      <c r="I101" s="749" t="str">
        <f>IF(I95=0," ",I95)</f>
        <v xml:space="preserve"> </v>
      </c>
      <c r="J101" s="749" t="str">
        <f t="shared" ref="J101:X101" si="32">IF(J95=0," ",J95)</f>
        <v xml:space="preserve"> </v>
      </c>
      <c r="K101" s="749" t="str">
        <f t="shared" si="32"/>
        <v xml:space="preserve"> </v>
      </c>
      <c r="L101" s="749" t="str">
        <f t="shared" si="32"/>
        <v xml:space="preserve"> </v>
      </c>
      <c r="M101" s="749" t="str">
        <f t="shared" si="32"/>
        <v xml:space="preserve"> </v>
      </c>
      <c r="N101" s="749" t="str">
        <f t="shared" si="32"/>
        <v xml:space="preserve"> </v>
      </c>
      <c r="O101" s="749" t="str">
        <f t="shared" si="32"/>
        <v xml:space="preserve"> </v>
      </c>
      <c r="P101" s="749" t="str">
        <f t="shared" si="32"/>
        <v xml:space="preserve"> </v>
      </c>
      <c r="Q101" s="749" t="str">
        <f t="shared" si="32"/>
        <v xml:space="preserve"> </v>
      </c>
      <c r="R101" s="749" t="str">
        <f t="shared" si="32"/>
        <v xml:space="preserve"> </v>
      </c>
      <c r="S101" s="749" t="str">
        <f t="shared" si="32"/>
        <v xml:space="preserve"> </v>
      </c>
      <c r="T101" s="749" t="str">
        <f t="shared" si="32"/>
        <v xml:space="preserve"> </v>
      </c>
      <c r="U101" s="749" t="str">
        <f t="shared" si="32"/>
        <v xml:space="preserve"> </v>
      </c>
      <c r="V101" s="749" t="str">
        <f t="shared" si="32"/>
        <v xml:space="preserve"> </v>
      </c>
      <c r="W101" s="749" t="str">
        <f t="shared" si="32"/>
        <v xml:space="preserve"> </v>
      </c>
      <c r="X101" s="749" t="str">
        <f t="shared" si="32"/>
        <v xml:space="preserve"> </v>
      </c>
      <c r="Y101" s="749"/>
      <c r="Z101" s="749"/>
      <c r="AA101" s="749"/>
      <c r="AB101" s="749"/>
      <c r="AC101" s="824"/>
      <c r="AD101" s="246"/>
      <c r="AE101" s="542"/>
    </row>
    <row r="102" spans="2:31" ht="13.5" thickBot="1" x14ac:dyDescent="0.25">
      <c r="C102" s="542"/>
      <c r="D102" s="542"/>
      <c r="E102" s="542"/>
      <c r="F102" s="542"/>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57"/>
      <c r="AC102" s="557"/>
      <c r="AD102" s="557"/>
      <c r="AE102" s="542"/>
    </row>
    <row r="103" spans="2:31" x14ac:dyDescent="0.2">
      <c r="C103" s="531"/>
      <c r="D103" s="752">
        <f>IF(D112=$D110,1,0)</f>
        <v>0</v>
      </c>
      <c r="E103" s="752">
        <f>IF(E112=$D110,1,0)</f>
        <v>0</v>
      </c>
      <c r="F103" s="752">
        <f>IF(F112=$D110,1,0)</f>
        <v>0</v>
      </c>
      <c r="G103" s="753" t="s">
        <v>140</v>
      </c>
      <c r="H103" s="754" t="str">
        <f t="shared" ref="H103:X103" si="33">IF(H112=$D110,H22," ")</f>
        <v xml:space="preserve"> </v>
      </c>
      <c r="I103" s="754" t="str">
        <f t="shared" si="33"/>
        <v xml:space="preserve"> </v>
      </c>
      <c r="J103" s="754" t="str">
        <f t="shared" si="33"/>
        <v xml:space="preserve"> </v>
      </c>
      <c r="K103" s="754" t="str">
        <f t="shared" si="33"/>
        <v xml:space="preserve"> </v>
      </c>
      <c r="L103" s="754" t="str">
        <f t="shared" si="33"/>
        <v xml:space="preserve"> </v>
      </c>
      <c r="M103" s="754" t="str">
        <f t="shared" si="33"/>
        <v xml:space="preserve"> </v>
      </c>
      <c r="N103" s="754" t="str">
        <f t="shared" si="33"/>
        <v xml:space="preserve"> </v>
      </c>
      <c r="O103" s="754" t="str">
        <f t="shared" si="33"/>
        <v xml:space="preserve"> </v>
      </c>
      <c r="P103" s="754" t="str">
        <f t="shared" si="33"/>
        <v xml:space="preserve"> </v>
      </c>
      <c r="Q103" s="755" t="str">
        <f t="shared" si="33"/>
        <v xml:space="preserve"> </v>
      </c>
      <c r="R103" s="755" t="str">
        <f t="shared" si="33"/>
        <v xml:space="preserve"> </v>
      </c>
      <c r="S103" s="755" t="str">
        <f t="shared" si="33"/>
        <v xml:space="preserve"> </v>
      </c>
      <c r="T103" s="755" t="str">
        <f t="shared" si="33"/>
        <v xml:space="preserve"> </v>
      </c>
      <c r="U103" s="755" t="str">
        <f t="shared" si="33"/>
        <v xml:space="preserve"> </v>
      </c>
      <c r="V103" s="755" t="str">
        <f t="shared" si="33"/>
        <v xml:space="preserve"> </v>
      </c>
      <c r="W103" s="755" t="str">
        <f t="shared" si="33"/>
        <v xml:space="preserve"> </v>
      </c>
      <c r="X103" s="755" t="str">
        <f t="shared" si="33"/>
        <v xml:space="preserve"> </v>
      </c>
      <c r="Y103" s="829"/>
      <c r="Z103" s="556"/>
      <c r="AA103" s="556"/>
      <c r="AB103" s="556"/>
      <c r="AC103" s="556"/>
      <c r="AD103" s="556"/>
      <c r="AE103" s="819"/>
    </row>
    <row r="104" spans="2:31" x14ac:dyDescent="0.2">
      <c r="C104" s="758" t="s">
        <v>615</v>
      </c>
      <c r="D104" s="533"/>
      <c r="E104" s="533"/>
      <c r="F104" s="533"/>
      <c r="G104" s="535"/>
      <c r="H104" s="535"/>
      <c r="I104" s="535"/>
      <c r="J104" s="535"/>
      <c r="K104" s="535"/>
      <c r="L104" s="535"/>
      <c r="M104" s="535"/>
      <c r="N104" s="535"/>
      <c r="O104" s="535"/>
      <c r="P104" s="535"/>
      <c r="Q104" s="535"/>
      <c r="R104" s="535"/>
      <c r="S104" s="535"/>
      <c r="T104" s="535"/>
      <c r="U104" s="535"/>
      <c r="V104" s="535"/>
      <c r="W104" s="535"/>
      <c r="X104" s="535"/>
      <c r="Y104" s="830"/>
      <c r="Z104" s="557"/>
      <c r="AA104" s="557"/>
      <c r="AB104" s="557"/>
      <c r="AC104" s="557"/>
      <c r="AD104" s="557"/>
      <c r="AE104" s="542"/>
    </row>
    <row r="105" spans="2:31" s="240" customFormat="1" x14ac:dyDescent="0.2">
      <c r="C105" s="703"/>
      <c r="D105" s="111">
        <v>2008</v>
      </c>
      <c r="E105" s="111">
        <v>2009</v>
      </c>
      <c r="F105" s="111">
        <f>E105+1</f>
        <v>2010</v>
      </c>
      <c r="G105" s="111">
        <f>F105+1</f>
        <v>2011</v>
      </c>
      <c r="H105" s="111">
        <f>G105+1</f>
        <v>2012</v>
      </c>
      <c r="I105" s="111">
        <f>H105+1</f>
        <v>2013</v>
      </c>
      <c r="J105" s="111">
        <f t="shared" ref="J105" si="34">I105+1</f>
        <v>2014</v>
      </c>
      <c r="K105" s="111">
        <f t="shared" ref="K105" si="35">J105+1</f>
        <v>2015</v>
      </c>
      <c r="L105" s="111">
        <f t="shared" ref="L105" si="36">K105+1</f>
        <v>2016</v>
      </c>
      <c r="M105" s="111">
        <f t="shared" ref="M105" si="37">L105+1</f>
        <v>2017</v>
      </c>
      <c r="N105" s="111">
        <f t="shared" ref="N105" si="38">M105+1</f>
        <v>2018</v>
      </c>
      <c r="O105" s="111">
        <f t="shared" ref="O105" si="39">N105+1</f>
        <v>2019</v>
      </c>
      <c r="P105" s="111">
        <f t="shared" ref="P105" si="40">O105+1</f>
        <v>2020</v>
      </c>
      <c r="Q105" s="111">
        <f t="shared" ref="Q105" si="41">P105+1</f>
        <v>2021</v>
      </c>
      <c r="R105" s="111">
        <f t="shared" ref="R105" si="42">Q105+1</f>
        <v>2022</v>
      </c>
      <c r="S105" s="111">
        <f t="shared" ref="S105" si="43">R105+1</f>
        <v>2023</v>
      </c>
      <c r="T105" s="111">
        <f t="shared" ref="T105" si="44">S105+1</f>
        <v>2024</v>
      </c>
      <c r="U105" s="111">
        <f t="shared" ref="U105" si="45">T105+1</f>
        <v>2025</v>
      </c>
      <c r="V105" s="111">
        <f t="shared" ref="V105" si="46">U105+1</f>
        <v>2026</v>
      </c>
      <c r="W105" s="111">
        <f t="shared" ref="W105" si="47">V105+1</f>
        <v>2027</v>
      </c>
      <c r="X105" s="111">
        <f t="shared" ref="X105" si="48">W105+1</f>
        <v>2028</v>
      </c>
      <c r="Y105" s="550"/>
      <c r="Z105" s="111"/>
      <c r="AA105" s="111"/>
      <c r="AB105" s="111"/>
      <c r="AC105" s="111"/>
      <c r="AD105" s="111"/>
      <c r="AE105" s="111"/>
    </row>
    <row r="106" spans="2:31" s="240" customFormat="1" x14ac:dyDescent="0.2">
      <c r="C106" s="703" t="s">
        <v>33</v>
      </c>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550"/>
      <c r="Z106" s="111"/>
      <c r="AA106" s="111"/>
      <c r="AB106" s="111"/>
      <c r="AC106" s="111"/>
      <c r="AD106" s="111"/>
      <c r="AE106" s="111"/>
    </row>
    <row r="107" spans="2:31" x14ac:dyDescent="0.2">
      <c r="C107" s="721" t="s">
        <v>67</v>
      </c>
      <c r="D107" s="810">
        <v>24.55</v>
      </c>
      <c r="E107" s="710">
        <f>IF(E$23=1,$D107*$AC68,0)</f>
        <v>0</v>
      </c>
      <c r="F107" s="710">
        <f t="shared" ref="F107:X107" si="49">IF(F$23=1,$D107*$AC68,0)</f>
        <v>0</v>
      </c>
      <c r="G107" s="710">
        <f t="shared" si="49"/>
        <v>0</v>
      </c>
      <c r="H107" s="710">
        <f t="shared" si="49"/>
        <v>0</v>
      </c>
      <c r="I107" s="710">
        <f t="shared" si="49"/>
        <v>24.55</v>
      </c>
      <c r="J107" s="710">
        <f t="shared" si="49"/>
        <v>24.55</v>
      </c>
      <c r="K107" s="710">
        <f t="shared" si="49"/>
        <v>24.55</v>
      </c>
      <c r="L107" s="710">
        <f t="shared" si="49"/>
        <v>24.55</v>
      </c>
      <c r="M107" s="710">
        <f t="shared" si="49"/>
        <v>24.55</v>
      </c>
      <c r="N107" s="710">
        <f t="shared" si="49"/>
        <v>24.55</v>
      </c>
      <c r="O107" s="710">
        <f t="shared" si="49"/>
        <v>24.55</v>
      </c>
      <c r="P107" s="710">
        <f t="shared" si="49"/>
        <v>24.55</v>
      </c>
      <c r="Q107" s="710">
        <f t="shared" si="49"/>
        <v>24.55</v>
      </c>
      <c r="R107" s="710">
        <f t="shared" si="49"/>
        <v>24.55</v>
      </c>
      <c r="S107" s="710">
        <f t="shared" si="49"/>
        <v>24.55</v>
      </c>
      <c r="T107" s="710">
        <f t="shared" si="49"/>
        <v>24.55</v>
      </c>
      <c r="U107" s="710">
        <f t="shared" si="49"/>
        <v>24.55</v>
      </c>
      <c r="V107" s="710">
        <f t="shared" si="49"/>
        <v>24.55</v>
      </c>
      <c r="W107" s="710">
        <f t="shared" si="49"/>
        <v>24.55</v>
      </c>
      <c r="X107" s="710">
        <f t="shared" si="49"/>
        <v>24.55</v>
      </c>
      <c r="Y107" s="696"/>
      <c r="Z107" s="710"/>
      <c r="AA107" s="710"/>
      <c r="AB107" s="710"/>
      <c r="AC107" s="710"/>
      <c r="AD107" s="710"/>
      <c r="AE107" s="542"/>
    </row>
    <row r="108" spans="2:31" x14ac:dyDescent="0.2">
      <c r="B108" s="543">
        <f>B151</f>
        <v>1</v>
      </c>
      <c r="C108" s="721" t="s">
        <v>69</v>
      </c>
      <c r="D108" s="722">
        <f>D107*0.85*Assumptions!C57*8.76*$AC68</f>
        <v>100.53961500000001</v>
      </c>
      <c r="E108" s="722">
        <f>D108</f>
        <v>100.53961500000001</v>
      </c>
      <c r="F108" s="722">
        <f t="shared" ref="F108:X108" si="50">E108</f>
        <v>100.53961500000001</v>
      </c>
      <c r="G108" s="722">
        <f t="shared" si="50"/>
        <v>100.53961500000001</v>
      </c>
      <c r="H108" s="722">
        <f t="shared" si="50"/>
        <v>100.53961500000001</v>
      </c>
      <c r="I108" s="722">
        <f t="shared" si="50"/>
        <v>100.53961500000001</v>
      </c>
      <c r="J108" s="722">
        <f t="shared" si="50"/>
        <v>100.53961500000001</v>
      </c>
      <c r="K108" s="722">
        <f t="shared" si="50"/>
        <v>100.53961500000001</v>
      </c>
      <c r="L108" s="722">
        <f t="shared" si="50"/>
        <v>100.53961500000001</v>
      </c>
      <c r="M108" s="722">
        <f t="shared" si="50"/>
        <v>100.53961500000001</v>
      </c>
      <c r="N108" s="722">
        <f t="shared" si="50"/>
        <v>100.53961500000001</v>
      </c>
      <c r="O108" s="722">
        <f t="shared" si="50"/>
        <v>100.53961500000001</v>
      </c>
      <c r="P108" s="722">
        <f t="shared" si="50"/>
        <v>100.53961500000001</v>
      </c>
      <c r="Q108" s="722">
        <f t="shared" si="50"/>
        <v>100.53961500000001</v>
      </c>
      <c r="R108" s="722">
        <f t="shared" si="50"/>
        <v>100.53961500000001</v>
      </c>
      <c r="S108" s="722">
        <f t="shared" si="50"/>
        <v>100.53961500000001</v>
      </c>
      <c r="T108" s="722">
        <f t="shared" si="50"/>
        <v>100.53961500000001</v>
      </c>
      <c r="U108" s="722">
        <f t="shared" si="50"/>
        <v>100.53961500000001</v>
      </c>
      <c r="V108" s="722">
        <f t="shared" si="50"/>
        <v>100.53961500000001</v>
      </c>
      <c r="W108" s="722">
        <f t="shared" si="50"/>
        <v>100.53961500000001</v>
      </c>
      <c r="X108" s="722">
        <f t="shared" si="50"/>
        <v>100.53961500000001</v>
      </c>
      <c r="Y108" s="825"/>
      <c r="Z108" s="722"/>
      <c r="AA108" s="722"/>
      <c r="AB108" s="722"/>
      <c r="AC108" s="722"/>
      <c r="AD108" s="722"/>
      <c r="AE108" s="542"/>
    </row>
    <row r="109" spans="2:31" x14ac:dyDescent="0.2">
      <c r="B109" s="543">
        <f>B152</f>
        <v>2</v>
      </c>
      <c r="C109" s="721" t="s">
        <v>68</v>
      </c>
      <c r="D109" s="810">
        <v>11.4</v>
      </c>
      <c r="E109" s="710">
        <f t="shared" ref="E109:X109" si="51">IF(E$23=1,$D109,0)</f>
        <v>0</v>
      </c>
      <c r="F109" s="710">
        <f t="shared" si="51"/>
        <v>0</v>
      </c>
      <c r="G109" s="710">
        <f t="shared" si="51"/>
        <v>0</v>
      </c>
      <c r="H109" s="710">
        <f t="shared" si="51"/>
        <v>0</v>
      </c>
      <c r="I109" s="710">
        <f t="shared" si="51"/>
        <v>11.4</v>
      </c>
      <c r="J109" s="710">
        <f t="shared" si="51"/>
        <v>11.4</v>
      </c>
      <c r="K109" s="710">
        <f t="shared" si="51"/>
        <v>11.4</v>
      </c>
      <c r="L109" s="710">
        <f t="shared" si="51"/>
        <v>11.4</v>
      </c>
      <c r="M109" s="710">
        <f t="shared" si="51"/>
        <v>11.4</v>
      </c>
      <c r="N109" s="710">
        <f t="shared" si="51"/>
        <v>11.4</v>
      </c>
      <c r="O109" s="710">
        <f t="shared" si="51"/>
        <v>11.4</v>
      </c>
      <c r="P109" s="710">
        <f t="shared" si="51"/>
        <v>11.4</v>
      </c>
      <c r="Q109" s="710">
        <f t="shared" si="51"/>
        <v>11.4</v>
      </c>
      <c r="R109" s="710">
        <f t="shared" si="51"/>
        <v>11.4</v>
      </c>
      <c r="S109" s="710">
        <f t="shared" si="51"/>
        <v>11.4</v>
      </c>
      <c r="T109" s="710">
        <f t="shared" si="51"/>
        <v>11.4</v>
      </c>
      <c r="U109" s="710">
        <f t="shared" si="51"/>
        <v>11.4</v>
      </c>
      <c r="V109" s="710">
        <f t="shared" si="51"/>
        <v>11.4</v>
      </c>
      <c r="W109" s="710">
        <f t="shared" si="51"/>
        <v>11.4</v>
      </c>
      <c r="X109" s="710">
        <f t="shared" si="51"/>
        <v>11.4</v>
      </c>
      <c r="Y109" s="696"/>
      <c r="Z109" s="710"/>
      <c r="AA109" s="710"/>
      <c r="AB109" s="710"/>
      <c r="AC109" s="710"/>
      <c r="AD109" s="710"/>
      <c r="AE109" s="542"/>
    </row>
    <row r="110" spans="2:31" x14ac:dyDescent="0.2">
      <c r="B110" s="543">
        <f>B153</f>
        <v>3</v>
      </c>
      <c r="C110" s="721" t="s">
        <v>72</v>
      </c>
      <c r="D110" s="722">
        <f>(D109*0.58*8760*0.001)+D108</f>
        <v>158.460735</v>
      </c>
      <c r="E110" s="710"/>
      <c r="F110" s="710"/>
      <c r="G110" s="710"/>
      <c r="H110" s="710"/>
      <c r="I110" s="710"/>
      <c r="J110" s="710"/>
      <c r="K110" s="710"/>
      <c r="L110" s="710"/>
      <c r="M110" s="710"/>
      <c r="N110" s="710"/>
      <c r="O110" s="710"/>
      <c r="P110" s="710"/>
      <c r="Q110" s="710"/>
      <c r="R110" s="710"/>
      <c r="S110" s="710"/>
      <c r="T110" s="710"/>
      <c r="U110" s="710"/>
      <c r="V110" s="710"/>
      <c r="W110" s="710"/>
      <c r="X110" s="710"/>
      <c r="Y110" s="696"/>
      <c r="Z110" s="710"/>
      <c r="AA110" s="710"/>
      <c r="AB110" s="710"/>
      <c r="AC110" s="710"/>
      <c r="AD110" s="710"/>
      <c r="AE110" s="542"/>
    </row>
    <row r="111" spans="2:31" x14ac:dyDescent="0.2">
      <c r="C111" s="721" t="s">
        <v>33</v>
      </c>
      <c r="D111" s="710"/>
      <c r="E111" s="710"/>
      <c r="F111" s="710"/>
      <c r="G111" s="710"/>
      <c r="H111" s="538">
        <f>IF(AC68=1,Assumptions!F34,0)</f>
        <v>32276</v>
      </c>
      <c r="I111" s="538">
        <f>IF(I103=" ",H111*(1+Assumptions!$C$56),H111)</f>
        <v>33018.347999999998</v>
      </c>
      <c r="J111" s="538">
        <f>IF(J103=" ",I111*(1+Assumptions!$C$56),I111)</f>
        <v>33777.770003999998</v>
      </c>
      <c r="K111" s="538">
        <f>IF(K103=" ",J111*(1+Assumptions!$C$56),J111)</f>
        <v>34554.658714091995</v>
      </c>
      <c r="L111" s="538">
        <f>IF(L103=" ",K111*(1+Assumptions!$C$56),K111)</f>
        <v>35349.415864516108</v>
      </c>
      <c r="M111" s="538">
        <f>IF(M103=" ",L111*(1+Assumptions!$C$56),L111)</f>
        <v>36162.452429399978</v>
      </c>
      <c r="N111" s="538">
        <f>IF(N103=" ",M111*(1+Assumptions!$C$56),M111)</f>
        <v>36994.188835276174</v>
      </c>
      <c r="O111" s="538">
        <f>IF(O103=" ",N111*(1+Assumptions!$C$56),N111)</f>
        <v>37845.055178487521</v>
      </c>
      <c r="P111" s="538">
        <f>IF(P103=" ",O111*(1+Assumptions!$C$56),O111)</f>
        <v>38715.491447592729</v>
      </c>
      <c r="Q111" s="538">
        <f>IF(Q103=" ",P111*(1+Assumptions!$C$56),P111)</f>
        <v>39605.947750887361</v>
      </c>
      <c r="R111" s="538">
        <f>IF(R103=" ",Q111*(1+Assumptions!$C$56),Q111)</f>
        <v>40516.884549157767</v>
      </c>
      <c r="S111" s="538">
        <f>IF(S103=" ",R111*(1+Assumptions!$C$56),R111)</f>
        <v>41448.772893788395</v>
      </c>
      <c r="T111" s="538">
        <f>IF(T103=" ",S111*(1+Assumptions!$C$56),S111)</f>
        <v>42402.094670345527</v>
      </c>
      <c r="U111" s="538">
        <f>IF(U103=" ",T111*(1+Assumptions!$C$56),T111)</f>
        <v>43377.342847763473</v>
      </c>
      <c r="V111" s="538">
        <f>IF(V103=" ",U111*(1+Assumptions!$C$56),U111)</f>
        <v>44375.02173326203</v>
      </c>
      <c r="W111" s="538">
        <f>IF(W103=" ",V111*(1+Assumptions!$C$56),V111)</f>
        <v>45395.647233127056</v>
      </c>
      <c r="X111" s="538">
        <f>IF(X103=" ",W111*(1+Assumptions!$C$56),W111)</f>
        <v>46439.747119488973</v>
      </c>
      <c r="Y111" s="826"/>
      <c r="Z111" s="538"/>
      <c r="AA111" s="538"/>
      <c r="AB111" s="538"/>
      <c r="AC111" s="538"/>
      <c r="AD111" s="538"/>
      <c r="AE111" s="542"/>
    </row>
    <row r="112" spans="2:31" x14ac:dyDescent="0.2">
      <c r="B112" s="543">
        <f>B154</f>
        <v>4</v>
      </c>
      <c r="C112" s="721" t="s">
        <v>96</v>
      </c>
      <c r="D112" s="722">
        <f>D109*Assumptions!C57*8760*0.001</f>
        <v>54.925200000000004</v>
      </c>
      <c r="E112" s="722">
        <f t="shared" ref="E112:X112" si="52">IF(E$23=0,D112,MIN((D112*(1+ss_growth)),$D110))</f>
        <v>54.925200000000004</v>
      </c>
      <c r="F112" s="722">
        <f t="shared" si="52"/>
        <v>54.925200000000004</v>
      </c>
      <c r="G112" s="722">
        <f t="shared" si="52"/>
        <v>54.925200000000004</v>
      </c>
      <c r="H112" s="722">
        <f t="shared" si="52"/>
        <v>54.925200000000004</v>
      </c>
      <c r="I112" s="722">
        <f t="shared" si="52"/>
        <v>55.474452000000007</v>
      </c>
      <c r="J112" s="722">
        <f t="shared" si="52"/>
        <v>56.029196520000006</v>
      </c>
      <c r="K112" s="722">
        <f t="shared" si="52"/>
        <v>56.589488485200008</v>
      </c>
      <c r="L112" s="722">
        <f t="shared" si="52"/>
        <v>57.155383370052007</v>
      </c>
      <c r="M112" s="722">
        <f t="shared" si="52"/>
        <v>57.726937203752527</v>
      </c>
      <c r="N112" s="722">
        <f t="shared" si="52"/>
        <v>58.304206575790055</v>
      </c>
      <c r="O112" s="722">
        <f t="shared" si="52"/>
        <v>58.887248641547956</v>
      </c>
      <c r="P112" s="722">
        <f t="shared" si="52"/>
        <v>59.476121127963438</v>
      </c>
      <c r="Q112" s="722">
        <f t="shared" si="52"/>
        <v>60.07088233924307</v>
      </c>
      <c r="R112" s="722">
        <f t="shared" si="52"/>
        <v>60.671591162635501</v>
      </c>
      <c r="S112" s="722">
        <f t="shared" si="52"/>
        <v>61.278307074261853</v>
      </c>
      <c r="T112" s="722">
        <f t="shared" si="52"/>
        <v>61.891090145004469</v>
      </c>
      <c r="U112" s="722">
        <f t="shared" si="52"/>
        <v>62.510001046454512</v>
      </c>
      <c r="V112" s="722">
        <f t="shared" si="52"/>
        <v>63.135101056919055</v>
      </c>
      <c r="W112" s="722">
        <f t="shared" si="52"/>
        <v>63.766452067488245</v>
      </c>
      <c r="X112" s="722">
        <f t="shared" si="52"/>
        <v>64.404116588163134</v>
      </c>
      <c r="Y112" s="825"/>
      <c r="Z112" s="722"/>
      <c r="AA112" s="722"/>
      <c r="AB112" s="722"/>
      <c r="AC112" s="722"/>
      <c r="AD112" s="722"/>
      <c r="AE112" s="542"/>
    </row>
    <row r="113" spans="2:31" x14ac:dyDescent="0.2">
      <c r="C113" s="721" t="s">
        <v>66</v>
      </c>
      <c r="D113" s="710">
        <v>0</v>
      </c>
      <c r="E113" s="710">
        <f t="shared" ref="E113:X113" si="53">E112-$D112</f>
        <v>0</v>
      </c>
      <c r="F113" s="710">
        <f t="shared" si="53"/>
        <v>0</v>
      </c>
      <c r="G113" s="710">
        <f t="shared" si="53"/>
        <v>0</v>
      </c>
      <c r="H113" s="710">
        <f t="shared" si="53"/>
        <v>0</v>
      </c>
      <c r="I113" s="710">
        <f t="shared" si="53"/>
        <v>0.54925200000000274</v>
      </c>
      <c r="J113" s="710">
        <f t="shared" si="53"/>
        <v>1.1039965200000026</v>
      </c>
      <c r="K113" s="710">
        <f t="shared" si="53"/>
        <v>1.6642884852000037</v>
      </c>
      <c r="L113" s="710">
        <f t="shared" si="53"/>
        <v>2.2301833700520035</v>
      </c>
      <c r="M113" s="710">
        <f t="shared" si="53"/>
        <v>2.8017372037525234</v>
      </c>
      <c r="N113" s="710">
        <f t="shared" si="53"/>
        <v>3.3790065757900507</v>
      </c>
      <c r="O113" s="710">
        <f t="shared" si="53"/>
        <v>3.9620486415479519</v>
      </c>
      <c r="P113" s="710">
        <f t="shared" si="53"/>
        <v>4.5509211279634343</v>
      </c>
      <c r="Q113" s="710">
        <f t="shared" si="53"/>
        <v>5.1456823392430664</v>
      </c>
      <c r="R113" s="710">
        <f t="shared" si="53"/>
        <v>5.7463911626354971</v>
      </c>
      <c r="S113" s="710">
        <f t="shared" si="53"/>
        <v>6.3531070742618496</v>
      </c>
      <c r="T113" s="710">
        <f t="shared" si="53"/>
        <v>6.9658901450044652</v>
      </c>
      <c r="U113" s="710">
        <f t="shared" si="53"/>
        <v>7.5848010464545084</v>
      </c>
      <c r="V113" s="710">
        <f t="shared" si="53"/>
        <v>8.2099010569190511</v>
      </c>
      <c r="W113" s="710">
        <f t="shared" si="53"/>
        <v>8.8412520674882416</v>
      </c>
      <c r="X113" s="710">
        <f t="shared" si="53"/>
        <v>9.4789165881631305</v>
      </c>
      <c r="Y113" s="696"/>
      <c r="Z113" s="710"/>
      <c r="AA113" s="710"/>
      <c r="AB113" s="710"/>
      <c r="AC113" s="710"/>
      <c r="AD113" s="710"/>
      <c r="AE113" s="542"/>
    </row>
    <row r="114" spans="2:31" x14ac:dyDescent="0.2">
      <c r="B114" s="543">
        <f>B155</f>
        <v>5</v>
      </c>
      <c r="C114" s="721" t="s">
        <v>80</v>
      </c>
      <c r="D114" s="710">
        <f>SUM(D113:D113)-(SUM(D113:D113)*(1-D51))</f>
        <v>0</v>
      </c>
      <c r="E114" s="710">
        <f>IF(E23=0,0,SUM(E113:E113))</f>
        <v>0</v>
      </c>
      <c r="F114" s="710">
        <f t="shared" ref="F114:X114" si="54">IF(F23=0,0,((SUM(F113:F113)*(1-F51))))</f>
        <v>0</v>
      </c>
      <c r="G114" s="710">
        <f t="shared" si="54"/>
        <v>0</v>
      </c>
      <c r="H114" s="710">
        <f t="shared" si="54"/>
        <v>0</v>
      </c>
      <c r="I114" s="710">
        <f t="shared" si="54"/>
        <v>0.54925200000000274</v>
      </c>
      <c r="J114" s="710">
        <f t="shared" si="54"/>
        <v>1.1039965200000026</v>
      </c>
      <c r="K114" s="710">
        <f t="shared" si="54"/>
        <v>1.6642884852000037</v>
      </c>
      <c r="L114" s="710">
        <f t="shared" si="54"/>
        <v>2.2301833700520035</v>
      </c>
      <c r="M114" s="710">
        <f t="shared" si="54"/>
        <v>2.8017372037525234</v>
      </c>
      <c r="N114" s="710">
        <f t="shared" si="54"/>
        <v>3.3790065757900507</v>
      </c>
      <c r="O114" s="710">
        <f t="shared" si="54"/>
        <v>3.9620486415479519</v>
      </c>
      <c r="P114" s="710">
        <f t="shared" si="54"/>
        <v>4.5509211279634343</v>
      </c>
      <c r="Q114" s="710">
        <f t="shared" si="54"/>
        <v>5.1456823392430664</v>
      </c>
      <c r="R114" s="710">
        <f t="shared" si="54"/>
        <v>5.7463911626354971</v>
      </c>
      <c r="S114" s="710">
        <f t="shared" si="54"/>
        <v>6.3531070742618496</v>
      </c>
      <c r="T114" s="710">
        <f t="shared" si="54"/>
        <v>6.9658901450044652</v>
      </c>
      <c r="U114" s="710">
        <f t="shared" si="54"/>
        <v>7.5848010464545084</v>
      </c>
      <c r="V114" s="710">
        <f t="shared" si="54"/>
        <v>8.2099010569190511</v>
      </c>
      <c r="W114" s="710">
        <f t="shared" si="54"/>
        <v>8.8412520674882416</v>
      </c>
      <c r="X114" s="710">
        <f t="shared" si="54"/>
        <v>9.4789165881631305</v>
      </c>
      <c r="Y114" s="696"/>
      <c r="Z114" s="710"/>
      <c r="AA114" s="710"/>
      <c r="AB114" s="710"/>
      <c r="AC114" s="710"/>
      <c r="AD114" s="710"/>
      <c r="AE114" s="542"/>
    </row>
    <row r="115" spans="2:31" x14ac:dyDescent="0.2">
      <c r="C115" s="552" t="s">
        <v>558</v>
      </c>
      <c r="D115" s="710">
        <f>D114*Assumptions!$C$75</f>
        <v>0</v>
      </c>
      <c r="E115" s="710">
        <f>E114*Assumptions!$C$75</f>
        <v>0</v>
      </c>
      <c r="F115" s="710">
        <f>F114*Assumptions!$C$75</f>
        <v>0</v>
      </c>
      <c r="G115" s="710">
        <f>G114*Assumptions!$C$75</f>
        <v>0</v>
      </c>
      <c r="H115" s="710">
        <f>H114*Assumptions!$C$75</f>
        <v>0</v>
      </c>
      <c r="I115" s="710">
        <f>I114*Assumptions!$C$75</f>
        <v>6.591024000000033E-3</v>
      </c>
      <c r="J115" s="710">
        <f>J114*Assumptions!$C$75</f>
        <v>1.3247958240000031E-2</v>
      </c>
      <c r="K115" s="710">
        <f>K114*Assumptions!$C$75</f>
        <v>1.9971461822400047E-2</v>
      </c>
      <c r="L115" s="710">
        <f>L114*Assumptions!$C$75</f>
        <v>2.6762200440624044E-2</v>
      </c>
      <c r="M115" s="710">
        <f>M114*Assumptions!$C$75</f>
        <v>3.3620846445030279E-2</v>
      </c>
      <c r="N115" s="710">
        <f>N114*Assumptions!$C$75</f>
        <v>4.054807890948061E-2</v>
      </c>
      <c r="O115" s="710">
        <f>O114*Assumptions!$C$75</f>
        <v>4.7544583698575421E-2</v>
      </c>
      <c r="P115" s="710">
        <f>P114*Assumptions!$C$75</f>
        <v>5.4611053535561213E-2</v>
      </c>
      <c r="Q115" s="710">
        <f>Q114*Assumptions!$C$75</f>
        <v>6.1748188070916796E-2</v>
      </c>
      <c r="R115" s="710">
        <f>R114*Assumptions!$C$75</f>
        <v>6.8956693951625972E-2</v>
      </c>
      <c r="S115" s="710">
        <f>S114*Assumptions!$C$75</f>
        <v>7.623728489114219E-2</v>
      </c>
      <c r="T115" s="710">
        <f>T114*Assumptions!$C$75</f>
        <v>8.3590681740053588E-2</v>
      </c>
      <c r="U115" s="710">
        <f>U114*Assumptions!$C$75</f>
        <v>9.1017612557454108E-2</v>
      </c>
      <c r="V115" s="710">
        <f>V114*Assumptions!$C$75</f>
        <v>9.8518812683028617E-2</v>
      </c>
      <c r="W115" s="710">
        <f>W114*Assumptions!$C$75</f>
        <v>0.1060950248098589</v>
      </c>
      <c r="X115" s="710">
        <f>X114*Assumptions!$C$75</f>
        <v>0.11374699905795757</v>
      </c>
      <c r="Y115" s="696"/>
      <c r="Z115" s="710"/>
      <c r="AA115" s="710"/>
      <c r="AB115" s="710"/>
      <c r="AC115" s="710"/>
      <c r="AD115" s="710"/>
      <c r="AE115" s="542"/>
    </row>
    <row r="116" spans="2:31" x14ac:dyDescent="0.2">
      <c r="C116" s="721" t="s">
        <v>81</v>
      </c>
      <c r="D116" s="710">
        <f t="shared" ref="D116:X116" si="55">D100</f>
        <v>0</v>
      </c>
      <c r="E116" s="710">
        <f t="shared" si="55"/>
        <v>0</v>
      </c>
      <c r="F116" s="710">
        <f t="shared" si="55"/>
        <v>0</v>
      </c>
      <c r="G116" s="710">
        <f t="shared" si="55"/>
        <v>0</v>
      </c>
      <c r="H116" s="710">
        <f t="shared" si="55"/>
        <v>0</v>
      </c>
      <c r="I116" s="710">
        <f t="shared" si="55"/>
        <v>4.3636739059655003</v>
      </c>
      <c r="J116" s="710">
        <f t="shared" si="55"/>
        <v>9.2222975247151382</v>
      </c>
      <c r="K116" s="710">
        <f t="shared" si="55"/>
        <v>10.587504968290467</v>
      </c>
      <c r="L116" s="710">
        <f t="shared" si="55"/>
        <v>10.939327758386757</v>
      </c>
      <c r="M116" s="710">
        <f t="shared" si="55"/>
        <v>11.302841619797945</v>
      </c>
      <c r="N116" s="710">
        <f t="shared" si="55"/>
        <v>11.678435046823836</v>
      </c>
      <c r="O116" s="710">
        <f t="shared" si="55"/>
        <v>12.066509443429787</v>
      </c>
      <c r="P116" s="710">
        <f t="shared" si="55"/>
        <v>12.467479552234959</v>
      </c>
      <c r="Q116" s="710">
        <f t="shared" si="55"/>
        <v>12.881773897755728</v>
      </c>
      <c r="R116" s="710">
        <f t="shared" si="55"/>
        <v>13.309835244378149</v>
      </c>
      <c r="S116" s="710">
        <f t="shared" si="55"/>
        <v>13.75212106954883</v>
      </c>
      <c r="T116" s="710">
        <f t="shared" si="55"/>
        <v>14.209104052689938</v>
      </c>
      <c r="U116" s="710">
        <f t="shared" si="55"/>
        <v>14.681272580360822</v>
      </c>
      <c r="V116" s="710">
        <f t="shared" si="55"/>
        <v>15.169131268206215</v>
      </c>
      <c r="W116" s="710">
        <f t="shared" si="55"/>
        <v>15.673201500248702</v>
      </c>
      <c r="X116" s="710">
        <f t="shared" si="55"/>
        <v>16.194021986101966</v>
      </c>
      <c r="Y116" s="696"/>
      <c r="Z116" s="710"/>
      <c r="AA116" s="710"/>
      <c r="AB116" s="710"/>
      <c r="AC116" s="710"/>
      <c r="AD116" s="710"/>
      <c r="AE116" s="542"/>
    </row>
    <row r="117" spans="2:31" x14ac:dyDescent="0.2">
      <c r="C117" s="723" t="s">
        <v>82</v>
      </c>
      <c r="D117" s="710">
        <f>SUM(D116+D114)</f>
        <v>0</v>
      </c>
      <c r="E117" s="710">
        <f>SUM(E116+E114)</f>
        <v>0</v>
      </c>
      <c r="F117" s="710">
        <f>SUM(F116+F114)</f>
        <v>0</v>
      </c>
      <c r="G117" s="710">
        <f>SUM(G116+G114)</f>
        <v>0</v>
      </c>
      <c r="H117" s="710">
        <f t="shared" ref="H117:X117" si="56">SUM(H116+H113)</f>
        <v>0</v>
      </c>
      <c r="I117" s="710">
        <f t="shared" si="56"/>
        <v>4.912925905965503</v>
      </c>
      <c r="J117" s="710">
        <f t="shared" si="56"/>
        <v>10.326294044715141</v>
      </c>
      <c r="K117" s="710">
        <f t="shared" si="56"/>
        <v>12.251793453490471</v>
      </c>
      <c r="L117" s="710">
        <f t="shared" si="56"/>
        <v>13.16951112843876</v>
      </c>
      <c r="M117" s="710">
        <f t="shared" si="56"/>
        <v>14.104578823550469</v>
      </c>
      <c r="N117" s="710">
        <f t="shared" si="56"/>
        <v>15.057441622613887</v>
      </c>
      <c r="O117" s="710">
        <f t="shared" si="56"/>
        <v>16.028558084977739</v>
      </c>
      <c r="P117" s="710">
        <f t="shared" si="56"/>
        <v>17.018400680198393</v>
      </c>
      <c r="Q117" s="710">
        <f t="shared" si="56"/>
        <v>18.027456236998795</v>
      </c>
      <c r="R117" s="710">
        <f t="shared" si="56"/>
        <v>19.056226407013646</v>
      </c>
      <c r="S117" s="710">
        <f t="shared" si="56"/>
        <v>20.105228143810677</v>
      </c>
      <c r="T117" s="710">
        <f t="shared" si="56"/>
        <v>21.174994197694403</v>
      </c>
      <c r="U117" s="710">
        <f t="shared" si="56"/>
        <v>22.266073626815331</v>
      </c>
      <c r="V117" s="710">
        <f t="shared" si="56"/>
        <v>23.379032325125266</v>
      </c>
      <c r="W117" s="710">
        <f t="shared" si="56"/>
        <v>24.514453567736943</v>
      </c>
      <c r="X117" s="710">
        <f t="shared" si="56"/>
        <v>25.672938574265096</v>
      </c>
      <c r="Y117" s="696"/>
      <c r="Z117" s="710"/>
      <c r="AA117" s="710"/>
      <c r="AB117" s="710"/>
      <c r="AC117" s="710"/>
      <c r="AD117" s="710"/>
      <c r="AE117" s="542"/>
    </row>
    <row r="118" spans="2:31" x14ac:dyDescent="0.2">
      <c r="C118" s="703"/>
      <c r="D118" s="542"/>
      <c r="E118" s="542"/>
      <c r="F118" s="542"/>
      <c r="G118" s="538"/>
      <c r="H118" s="542"/>
      <c r="I118" s="542"/>
      <c r="J118" s="542"/>
      <c r="K118" s="542"/>
      <c r="L118" s="542"/>
      <c r="M118" s="542"/>
      <c r="N118" s="542"/>
      <c r="O118" s="542"/>
      <c r="P118" s="538"/>
      <c r="Q118" s="542"/>
      <c r="R118" s="542"/>
      <c r="S118" s="542"/>
      <c r="T118" s="542"/>
      <c r="U118" s="542"/>
      <c r="V118" s="542"/>
      <c r="W118" s="542"/>
      <c r="X118" s="542"/>
      <c r="Y118" s="549"/>
      <c r="Z118" s="542"/>
      <c r="AA118" s="542"/>
      <c r="AB118" s="542"/>
      <c r="AC118" s="542"/>
      <c r="AD118" s="542"/>
      <c r="AE118" s="542"/>
    </row>
    <row r="119" spans="2:31" x14ac:dyDescent="0.2">
      <c r="C119" s="703"/>
      <c r="D119" s="542"/>
      <c r="E119" s="542"/>
      <c r="F119" s="542"/>
      <c r="G119" s="542"/>
      <c r="H119" s="676" t="s">
        <v>107</v>
      </c>
      <c r="I119" s="538">
        <f t="shared" ref="I119:X119" si="57">(I114/I116)*I79</f>
        <v>200.30772543409833</v>
      </c>
      <c r="J119" s="538">
        <f t="shared" si="57"/>
        <v>398.63220606191732</v>
      </c>
      <c r="K119" s="538">
        <f t="shared" si="57"/>
        <v>594.99307797064955</v>
      </c>
      <c r="L119" s="538">
        <f t="shared" si="57"/>
        <v>789.40978283078005</v>
      </c>
      <c r="M119" s="538">
        <f t="shared" si="57"/>
        <v>981.90156982100837</v>
      </c>
      <c r="N119" s="538">
        <f t="shared" si="57"/>
        <v>1172.4874975341058</v>
      </c>
      <c r="O119" s="538">
        <f t="shared" si="57"/>
        <v>1361.1864358639054</v>
      </c>
      <c r="P119" s="538">
        <f t="shared" si="57"/>
        <v>1548.017067873609</v>
      </c>
      <c r="Q119" s="538">
        <f t="shared" si="57"/>
        <v>1732.9978916455896</v>
      </c>
      <c r="R119" s="538">
        <f t="shared" si="57"/>
        <v>1916.1472221128995</v>
      </c>
      <c r="S119" s="538">
        <f t="shared" si="57"/>
        <v>2097.4831928726112</v>
      </c>
      <c r="T119" s="538">
        <f t="shared" si="57"/>
        <v>2277.023757981236</v>
      </c>
      <c r="U119" s="538">
        <f t="shared" si="57"/>
        <v>2454.7866937323506</v>
      </c>
      <c r="V119" s="538">
        <f t="shared" si="57"/>
        <v>2630.7896004166214</v>
      </c>
      <c r="W119" s="538">
        <f t="shared" si="57"/>
        <v>2805.0499040644154</v>
      </c>
      <c r="X119" s="538">
        <f t="shared" si="57"/>
        <v>2977.5848581711448</v>
      </c>
      <c r="Y119" s="826"/>
      <c r="Z119" s="538"/>
      <c r="AA119" s="538"/>
      <c r="AB119" s="538"/>
      <c r="AC119" s="538"/>
      <c r="AD119" s="538"/>
      <c r="AE119" s="557"/>
    </row>
    <row r="120" spans="2:31" ht="13.5" thickBot="1" x14ac:dyDescent="0.25">
      <c r="C120" s="540"/>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00"/>
      <c r="Z120" s="542"/>
      <c r="AA120" s="542"/>
      <c r="AB120" s="542"/>
      <c r="AC120" s="542"/>
      <c r="AD120" s="542"/>
      <c r="AE120" s="542"/>
    </row>
    <row r="121" spans="2:31" ht="13.5" thickBot="1" x14ac:dyDescent="0.25">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row>
    <row r="122" spans="2:31" x14ac:dyDescent="0.2">
      <c r="C122" s="739"/>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6"/>
      <c r="Z122" s="542"/>
      <c r="AA122" s="542"/>
      <c r="AB122" s="542"/>
      <c r="AC122" s="542"/>
      <c r="AD122" s="542"/>
      <c r="AE122" s="542"/>
    </row>
    <row r="123" spans="2:31" x14ac:dyDescent="0.2">
      <c r="C123" s="757" t="s">
        <v>83</v>
      </c>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7"/>
      <c r="Z123" s="542"/>
      <c r="AA123" s="542"/>
      <c r="AB123" s="542"/>
      <c r="AC123" s="542"/>
      <c r="AD123" s="542"/>
      <c r="AE123" s="542"/>
    </row>
    <row r="124" spans="2:31" x14ac:dyDescent="0.2">
      <c r="C124" s="703"/>
      <c r="D124" s="111">
        <v>2008</v>
      </c>
      <c r="E124" s="111">
        <v>2009</v>
      </c>
      <c r="F124" s="111">
        <f>E124+1</f>
        <v>2010</v>
      </c>
      <c r="G124" s="111">
        <f>F124+1</f>
        <v>2011</v>
      </c>
      <c r="H124" s="111">
        <f>G124+1</f>
        <v>2012</v>
      </c>
      <c r="I124" s="111">
        <f>H124+1</f>
        <v>2013</v>
      </c>
      <c r="J124" s="111">
        <f t="shared" ref="J124" si="58">I124+1</f>
        <v>2014</v>
      </c>
      <c r="K124" s="111">
        <f t="shared" ref="K124" si="59">J124+1</f>
        <v>2015</v>
      </c>
      <c r="L124" s="111">
        <f t="shared" ref="L124" si="60">K124+1</f>
        <v>2016</v>
      </c>
      <c r="M124" s="111">
        <f t="shared" ref="M124" si="61">L124+1</f>
        <v>2017</v>
      </c>
      <c r="N124" s="111">
        <f t="shared" ref="N124" si="62">M124+1</f>
        <v>2018</v>
      </c>
      <c r="O124" s="111">
        <f t="shared" ref="O124" si="63">N124+1</f>
        <v>2019</v>
      </c>
      <c r="P124" s="111">
        <f t="shared" ref="P124" si="64">O124+1</f>
        <v>2020</v>
      </c>
      <c r="Q124" s="111">
        <f t="shared" ref="Q124" si="65">P124+1</f>
        <v>2021</v>
      </c>
      <c r="R124" s="111">
        <f t="shared" ref="R124" si="66">Q124+1</f>
        <v>2022</v>
      </c>
      <c r="S124" s="111">
        <f t="shared" ref="S124" si="67">R124+1</f>
        <v>2023</v>
      </c>
      <c r="T124" s="111">
        <f t="shared" ref="T124" si="68">S124+1</f>
        <v>2024</v>
      </c>
      <c r="U124" s="111">
        <f t="shared" ref="U124" si="69">T124+1</f>
        <v>2025</v>
      </c>
      <c r="V124" s="111">
        <f t="shared" ref="V124" si="70">U124+1</f>
        <v>2026</v>
      </c>
      <c r="W124" s="111">
        <f t="shared" ref="W124" si="71">V124+1</f>
        <v>2027</v>
      </c>
      <c r="X124" s="111">
        <f t="shared" ref="X124" si="72">W124+1</f>
        <v>2028</v>
      </c>
      <c r="Y124" s="549"/>
      <c r="Z124" s="542"/>
      <c r="AA124" s="542"/>
      <c r="AB124" s="542"/>
      <c r="AC124" s="542"/>
      <c r="AD124" s="542"/>
      <c r="AE124" s="542"/>
    </row>
    <row r="125" spans="2:31" x14ac:dyDescent="0.2">
      <c r="C125" s="728" t="s">
        <v>70</v>
      </c>
      <c r="D125" s="553"/>
      <c r="E125" s="553"/>
      <c r="F125" s="553"/>
      <c r="G125" s="553"/>
      <c r="H125" s="553"/>
      <c r="I125" s="553"/>
      <c r="J125" s="542"/>
      <c r="K125" s="542"/>
      <c r="L125" s="542"/>
      <c r="M125" s="542"/>
      <c r="N125" s="542"/>
      <c r="O125" s="542"/>
      <c r="P125" s="542"/>
      <c r="Q125" s="542"/>
      <c r="R125" s="542"/>
      <c r="S125" s="542"/>
      <c r="T125" s="542"/>
      <c r="U125" s="542"/>
      <c r="V125" s="542"/>
      <c r="W125" s="542"/>
      <c r="X125" s="542"/>
      <c r="Y125" s="549"/>
      <c r="Z125" s="542"/>
      <c r="AA125" s="542"/>
      <c r="AB125" s="542"/>
      <c r="AC125" s="542"/>
      <c r="AD125" s="542"/>
      <c r="AE125" s="542"/>
    </row>
    <row r="126" spans="2:31" x14ac:dyDescent="0.2">
      <c r="C126" s="723" t="s">
        <v>84</v>
      </c>
      <c r="D126" s="542"/>
      <c r="E126" s="542"/>
      <c r="F126" s="542"/>
      <c r="G126" s="542"/>
      <c r="H126" s="542"/>
      <c r="I126" s="542"/>
      <c r="J126" s="542"/>
      <c r="K126" s="542"/>
      <c r="L126" s="542"/>
      <c r="M126" s="542"/>
      <c r="N126" s="542"/>
      <c r="O126" s="542"/>
      <c r="P126" s="542"/>
      <c r="Q126" s="542"/>
      <c r="R126" s="542"/>
      <c r="S126" s="542"/>
      <c r="T126" s="542"/>
      <c r="U126" s="542"/>
      <c r="V126" s="542"/>
      <c r="W126" s="542"/>
      <c r="X126" s="542"/>
      <c r="Y126" s="549"/>
      <c r="Z126" s="542"/>
      <c r="AA126" s="542"/>
      <c r="AB126" s="542"/>
      <c r="AC126" s="542"/>
      <c r="AD126" s="542"/>
      <c r="AE126" s="542"/>
    </row>
    <row r="127" spans="2:31" x14ac:dyDescent="0.2">
      <c r="C127" s="713" t="s">
        <v>10</v>
      </c>
      <c r="D127" s="730">
        <f>Assumptions!C48</f>
        <v>0.57000000000000006</v>
      </c>
      <c r="E127" s="730">
        <f>$D127</f>
        <v>0.57000000000000006</v>
      </c>
      <c r="F127" s="730">
        <f t="shared" ref="F127:X129" si="73">$D127</f>
        <v>0.57000000000000006</v>
      </c>
      <c r="G127" s="730">
        <f t="shared" si="73"/>
        <v>0.57000000000000006</v>
      </c>
      <c r="H127" s="730">
        <f t="shared" si="73"/>
        <v>0.57000000000000006</v>
      </c>
      <c r="I127" s="730">
        <f t="shared" si="73"/>
        <v>0.57000000000000006</v>
      </c>
      <c r="J127" s="730">
        <f t="shared" si="73"/>
        <v>0.57000000000000006</v>
      </c>
      <c r="K127" s="730">
        <f t="shared" si="73"/>
        <v>0.57000000000000006</v>
      </c>
      <c r="L127" s="730">
        <f t="shared" si="73"/>
        <v>0.57000000000000006</v>
      </c>
      <c r="M127" s="730">
        <f t="shared" si="73"/>
        <v>0.57000000000000006</v>
      </c>
      <c r="N127" s="730">
        <f t="shared" si="73"/>
        <v>0.57000000000000006</v>
      </c>
      <c r="O127" s="730">
        <f t="shared" si="73"/>
        <v>0.57000000000000006</v>
      </c>
      <c r="P127" s="730">
        <f t="shared" si="73"/>
        <v>0.57000000000000006</v>
      </c>
      <c r="Q127" s="730">
        <f t="shared" si="73"/>
        <v>0.57000000000000006</v>
      </c>
      <c r="R127" s="730">
        <f t="shared" si="73"/>
        <v>0.57000000000000006</v>
      </c>
      <c r="S127" s="730">
        <f t="shared" si="73"/>
        <v>0.57000000000000006</v>
      </c>
      <c r="T127" s="730">
        <f t="shared" si="73"/>
        <v>0.57000000000000006</v>
      </c>
      <c r="U127" s="730">
        <f t="shared" si="73"/>
        <v>0.57000000000000006</v>
      </c>
      <c r="V127" s="730">
        <f t="shared" si="73"/>
        <v>0.57000000000000006</v>
      </c>
      <c r="W127" s="730">
        <f t="shared" si="73"/>
        <v>0.57000000000000006</v>
      </c>
      <c r="X127" s="730">
        <f t="shared" si="73"/>
        <v>0.57000000000000006</v>
      </c>
      <c r="Y127" s="827"/>
      <c r="Z127" s="730"/>
      <c r="AA127" s="730"/>
      <c r="AB127" s="730"/>
      <c r="AC127" s="730"/>
      <c r="AD127" s="730"/>
      <c r="AE127" s="542"/>
    </row>
    <row r="128" spans="2:31" x14ac:dyDescent="0.2">
      <c r="C128" s="713" t="s">
        <v>44</v>
      </c>
      <c r="D128" s="730">
        <f>Assumptions!C49</f>
        <v>0.59699999999999998</v>
      </c>
      <c r="E128" s="730">
        <f>$D128</f>
        <v>0.59699999999999998</v>
      </c>
      <c r="F128" s="730">
        <f t="shared" si="73"/>
        <v>0.59699999999999998</v>
      </c>
      <c r="G128" s="730">
        <f t="shared" si="73"/>
        <v>0.59699999999999998</v>
      </c>
      <c r="H128" s="730">
        <f t="shared" si="73"/>
        <v>0.59699999999999998</v>
      </c>
      <c r="I128" s="730">
        <f t="shared" si="73"/>
        <v>0.59699999999999998</v>
      </c>
      <c r="J128" s="730">
        <f t="shared" si="73"/>
        <v>0.59699999999999998</v>
      </c>
      <c r="K128" s="730">
        <f t="shared" si="73"/>
        <v>0.59699999999999998</v>
      </c>
      <c r="L128" s="730">
        <f t="shared" si="73"/>
        <v>0.59699999999999998</v>
      </c>
      <c r="M128" s="730">
        <f t="shared" si="73"/>
        <v>0.59699999999999998</v>
      </c>
      <c r="N128" s="730">
        <f t="shared" si="73"/>
        <v>0.59699999999999998</v>
      </c>
      <c r="O128" s="730">
        <f t="shared" si="73"/>
        <v>0.59699999999999998</v>
      </c>
      <c r="P128" s="730">
        <f t="shared" si="73"/>
        <v>0.59699999999999998</v>
      </c>
      <c r="Q128" s="730">
        <f t="shared" si="73"/>
        <v>0.59699999999999998</v>
      </c>
      <c r="R128" s="730">
        <f t="shared" si="73"/>
        <v>0.59699999999999998</v>
      </c>
      <c r="S128" s="730">
        <f t="shared" si="73"/>
        <v>0.59699999999999998</v>
      </c>
      <c r="T128" s="730">
        <f t="shared" si="73"/>
        <v>0.59699999999999998</v>
      </c>
      <c r="U128" s="730">
        <f t="shared" si="73"/>
        <v>0.59699999999999998</v>
      </c>
      <c r="V128" s="730">
        <f t="shared" si="73"/>
        <v>0.59699999999999998</v>
      </c>
      <c r="W128" s="730">
        <f t="shared" si="73"/>
        <v>0.59699999999999998</v>
      </c>
      <c r="X128" s="730">
        <f t="shared" si="73"/>
        <v>0.59699999999999998</v>
      </c>
      <c r="Y128" s="827"/>
      <c r="Z128" s="730"/>
      <c r="AA128" s="730"/>
      <c r="AB128" s="730"/>
      <c r="AC128" s="730"/>
      <c r="AD128" s="730"/>
      <c r="AE128" s="542"/>
    </row>
    <row r="129" spans="2:31" x14ac:dyDescent="0.2">
      <c r="C129" s="713" t="s">
        <v>45</v>
      </c>
      <c r="D129" s="730">
        <f>Assumptions!C50</f>
        <v>0.69599999999999995</v>
      </c>
      <c r="E129" s="730">
        <f>$D129</f>
        <v>0.69599999999999995</v>
      </c>
      <c r="F129" s="730">
        <f t="shared" si="73"/>
        <v>0.69599999999999995</v>
      </c>
      <c r="G129" s="730">
        <f t="shared" si="73"/>
        <v>0.69599999999999995</v>
      </c>
      <c r="H129" s="730">
        <f t="shared" si="73"/>
        <v>0.69599999999999995</v>
      </c>
      <c r="I129" s="730">
        <f t="shared" si="73"/>
        <v>0.69599999999999995</v>
      </c>
      <c r="J129" s="730">
        <f t="shared" si="73"/>
        <v>0.69599999999999995</v>
      </c>
      <c r="K129" s="730">
        <f t="shared" si="73"/>
        <v>0.69599999999999995</v>
      </c>
      <c r="L129" s="730">
        <f t="shared" si="73"/>
        <v>0.69599999999999995</v>
      </c>
      <c r="M129" s="730">
        <f t="shared" si="73"/>
        <v>0.69599999999999995</v>
      </c>
      <c r="N129" s="730">
        <f t="shared" si="73"/>
        <v>0.69599999999999995</v>
      </c>
      <c r="O129" s="730">
        <f t="shared" si="73"/>
        <v>0.69599999999999995</v>
      </c>
      <c r="P129" s="730">
        <f t="shared" si="73"/>
        <v>0.69599999999999995</v>
      </c>
      <c r="Q129" s="730">
        <f t="shared" si="73"/>
        <v>0.69599999999999995</v>
      </c>
      <c r="R129" s="730">
        <f t="shared" si="73"/>
        <v>0.69599999999999995</v>
      </c>
      <c r="S129" s="730">
        <f t="shared" si="73"/>
        <v>0.69599999999999995</v>
      </c>
      <c r="T129" s="730">
        <f t="shared" si="73"/>
        <v>0.69599999999999995</v>
      </c>
      <c r="U129" s="730">
        <f t="shared" si="73"/>
        <v>0.69599999999999995</v>
      </c>
      <c r="V129" s="730">
        <f t="shared" si="73"/>
        <v>0.69599999999999995</v>
      </c>
      <c r="W129" s="730">
        <f t="shared" si="73"/>
        <v>0.69599999999999995</v>
      </c>
      <c r="X129" s="730">
        <f t="shared" si="73"/>
        <v>0.69599999999999995</v>
      </c>
      <c r="Y129" s="827"/>
      <c r="Z129" s="730"/>
      <c r="AA129" s="730"/>
      <c r="AB129" s="730"/>
      <c r="AC129" s="730"/>
      <c r="AD129" s="730"/>
      <c r="AE129" s="542"/>
    </row>
    <row r="130" spans="2:31" x14ac:dyDescent="0.2">
      <c r="C130" s="551"/>
      <c r="D130" s="730"/>
      <c r="E130" s="730"/>
      <c r="F130" s="730"/>
      <c r="G130" s="730"/>
      <c r="H130" s="730"/>
      <c r="I130" s="730"/>
      <c r="J130" s="730"/>
      <c r="K130" s="730"/>
      <c r="L130" s="730"/>
      <c r="M130" s="730"/>
      <c r="N130" s="730"/>
      <c r="O130" s="730"/>
      <c r="P130" s="730"/>
      <c r="Q130" s="730"/>
      <c r="R130" s="730"/>
      <c r="S130" s="730"/>
      <c r="T130" s="730"/>
      <c r="U130" s="730"/>
      <c r="V130" s="730"/>
      <c r="W130" s="730"/>
      <c r="X130" s="730"/>
      <c r="Y130" s="827"/>
      <c r="Z130" s="730"/>
      <c r="AA130" s="730"/>
      <c r="AB130" s="730"/>
      <c r="AC130" s="730"/>
      <c r="AD130" s="730"/>
      <c r="AE130" s="542"/>
    </row>
    <row r="131" spans="2:31" x14ac:dyDescent="0.2">
      <c r="C131" s="723" t="s">
        <v>85</v>
      </c>
      <c r="D131" s="553"/>
      <c r="E131" s="553"/>
      <c r="F131" s="553"/>
      <c r="G131" s="553"/>
      <c r="H131" s="553">
        <f>H96*$AB$68*H127</f>
        <v>0</v>
      </c>
      <c r="I131" s="553"/>
      <c r="J131" s="553"/>
      <c r="K131" s="553"/>
      <c r="L131" s="553"/>
      <c r="M131" s="553"/>
      <c r="N131" s="553"/>
      <c r="O131" s="553"/>
      <c r="P131" s="553"/>
      <c r="Q131" s="553"/>
      <c r="R131" s="553"/>
      <c r="S131" s="553"/>
      <c r="T131" s="553"/>
      <c r="U131" s="553"/>
      <c r="V131" s="553"/>
      <c r="W131" s="553"/>
      <c r="X131" s="553"/>
      <c r="Y131" s="814"/>
      <c r="Z131" s="553"/>
      <c r="AA131" s="553"/>
      <c r="AB131" s="553"/>
      <c r="AC131" s="553"/>
      <c r="AD131" s="553"/>
      <c r="AE131" s="542"/>
    </row>
    <row r="132" spans="2:31" x14ac:dyDescent="0.2">
      <c r="B132" s="720"/>
      <c r="C132" s="713" t="s">
        <v>10</v>
      </c>
      <c r="D132" s="553">
        <f t="shared" ref="D132:X132" si="74">D96*$AB$68*D127</f>
        <v>0</v>
      </c>
      <c r="E132" s="553">
        <f t="shared" si="74"/>
        <v>0</v>
      </c>
      <c r="F132" s="553">
        <f t="shared" si="74"/>
        <v>0</v>
      </c>
      <c r="G132" s="553">
        <f t="shared" si="74"/>
        <v>0</v>
      </c>
      <c r="H132" s="553">
        <f t="shared" si="74"/>
        <v>0</v>
      </c>
      <c r="I132" s="553">
        <f t="shared" si="74"/>
        <v>1193.3124568200001</v>
      </c>
      <c r="J132" s="553">
        <f t="shared" si="74"/>
        <v>2521.9763790548086</v>
      </c>
      <c r="K132" s="553">
        <f t="shared" si="74"/>
        <v>2895.3129490342212</v>
      </c>
      <c r="L132" s="553">
        <f t="shared" si="74"/>
        <v>2991.5241983306287</v>
      </c>
      <c r="M132" s="553">
        <f t="shared" si="74"/>
        <v>3090.9325474411544</v>
      </c>
      <c r="N132" s="553">
        <f t="shared" si="74"/>
        <v>3193.6442359926245</v>
      </c>
      <c r="O132" s="553">
        <f t="shared" si="74"/>
        <v>3299.7690339546584</v>
      </c>
      <c r="P132" s="553">
        <f t="shared" si="74"/>
        <v>3409.420358952972</v>
      </c>
      <c r="Q132" s="553">
        <f t="shared" si="74"/>
        <v>3522.7153974809794</v>
      </c>
      <c r="R132" s="553">
        <f t="shared" si="74"/>
        <v>3639.7752301392725</v>
      </c>
      <c r="S132" s="553">
        <f t="shared" si="74"/>
        <v>3760.7249610367985</v>
      </c>
      <c r="T132" s="553">
        <f t="shared" si="74"/>
        <v>3885.6938514920516</v>
      </c>
      <c r="U132" s="553">
        <f t="shared" si="74"/>
        <v>4014.8154581771328</v>
      </c>
      <c r="V132" s="553">
        <f t="shared" si="74"/>
        <v>4148.2277758523587</v>
      </c>
      <c r="W132" s="553">
        <f t="shared" si="74"/>
        <v>4286.0733848439304</v>
      </c>
      <c r="X132" s="553">
        <f t="shared" si="74"/>
        <v>4428.499603422295</v>
      </c>
      <c r="Y132" s="814"/>
      <c r="Z132" s="553"/>
      <c r="AA132" s="553"/>
      <c r="AB132" s="553"/>
      <c r="AC132" s="553"/>
      <c r="AD132" s="553"/>
      <c r="AE132" s="542"/>
    </row>
    <row r="133" spans="2:31" x14ac:dyDescent="0.2">
      <c r="C133" s="713" t="s">
        <v>44</v>
      </c>
      <c r="D133" s="553">
        <f t="shared" ref="D133:X133" si="75">D97*$AB$68*D128</f>
        <v>0</v>
      </c>
      <c r="E133" s="553">
        <f t="shared" si="75"/>
        <v>0</v>
      </c>
      <c r="F133" s="553">
        <f t="shared" si="75"/>
        <v>0</v>
      </c>
      <c r="G133" s="553">
        <f t="shared" si="75"/>
        <v>0</v>
      </c>
      <c r="H133" s="553">
        <f t="shared" si="75"/>
        <v>0</v>
      </c>
      <c r="I133" s="553">
        <f t="shared" si="75"/>
        <v>1017.7832115</v>
      </c>
      <c r="J133" s="553">
        <f t="shared" si="75"/>
        <v>2151.0084837643872</v>
      </c>
      <c r="K133" s="553">
        <f t="shared" si="75"/>
        <v>2469.4294396443079</v>
      </c>
      <c r="L133" s="553">
        <f t="shared" si="75"/>
        <v>2551.4885799236881</v>
      </c>
      <c r="M133" s="553">
        <f t="shared" si="75"/>
        <v>2636.2745454345522</v>
      </c>
      <c r="N133" s="553">
        <f t="shared" si="75"/>
        <v>2723.877948579343</v>
      </c>
      <c r="O133" s="553">
        <f t="shared" si="75"/>
        <v>2814.3924128106328</v>
      </c>
      <c r="P133" s="553">
        <f t="shared" si="75"/>
        <v>2907.9146726883309</v>
      </c>
      <c r="Q133" s="553">
        <f t="shared" si="75"/>
        <v>3004.5446772617643</v>
      </c>
      <c r="R133" s="553">
        <f t="shared" si="75"/>
        <v>3104.3856968871723</v>
      </c>
      <c r="S133" s="553">
        <f t="shared" si="75"/>
        <v>3207.5444335947313</v>
      </c>
      <c r="T133" s="553">
        <f t="shared" si="75"/>
        <v>3314.1311351230847</v>
      </c>
      <c r="U133" s="553">
        <f t="shared" si="75"/>
        <v>3424.2597127432246</v>
      </c>
      <c r="V133" s="553">
        <f t="shared" si="75"/>
        <v>3538.0478629976824</v>
      </c>
      <c r="W133" s="553">
        <f t="shared" si="75"/>
        <v>3655.6171934850931</v>
      </c>
      <c r="X133" s="553">
        <f t="shared" si="75"/>
        <v>3777.0933528246046</v>
      </c>
      <c r="Y133" s="814"/>
      <c r="Z133" s="553"/>
      <c r="AA133" s="553"/>
      <c r="AB133" s="553"/>
      <c r="AC133" s="553"/>
      <c r="AD133" s="553"/>
      <c r="AE133" s="542"/>
    </row>
    <row r="134" spans="2:31" x14ac:dyDescent="0.2">
      <c r="C134" s="713" t="s">
        <v>45</v>
      </c>
      <c r="D134" s="553">
        <f t="shared" ref="D134:X134" si="76">D98*$AB$68*D129</f>
        <v>0</v>
      </c>
      <c r="E134" s="553">
        <f t="shared" si="76"/>
        <v>0</v>
      </c>
      <c r="F134" s="553">
        <f t="shared" si="76"/>
        <v>0</v>
      </c>
      <c r="G134" s="553">
        <f t="shared" si="76"/>
        <v>0</v>
      </c>
      <c r="H134" s="553">
        <f t="shared" si="76"/>
        <v>0</v>
      </c>
      <c r="I134" s="553">
        <f t="shared" si="76"/>
        <v>393.45839085598811</v>
      </c>
      <c r="J134" s="553">
        <f t="shared" si="76"/>
        <v>831.54479969481667</v>
      </c>
      <c r="K134" s="553">
        <f t="shared" si="76"/>
        <v>954.64114820963937</v>
      </c>
      <c r="L134" s="553">
        <f t="shared" si="76"/>
        <v>986.36387356464581</v>
      </c>
      <c r="M134" s="553">
        <f t="shared" si="76"/>
        <v>1019.1407450831985</v>
      </c>
      <c r="N134" s="553">
        <f t="shared" si="76"/>
        <v>1053.0067920423137</v>
      </c>
      <c r="O134" s="553">
        <f t="shared" si="76"/>
        <v>1087.998207741879</v>
      </c>
      <c r="P134" s="553">
        <f t="shared" si="76"/>
        <v>1124.1523881851419</v>
      </c>
      <c r="Q134" s="553">
        <f t="shared" si="76"/>
        <v>1161.5079720445342</v>
      </c>
      <c r="R134" s="553">
        <f t="shared" si="76"/>
        <v>1200.104881955574</v>
      </c>
      <c r="S134" s="553">
        <f t="shared" si="76"/>
        <v>1239.9843671829574</v>
      </c>
      <c r="T134" s="553">
        <f t="shared" si="76"/>
        <v>1281.1890477044469</v>
      </c>
      <c r="U134" s="553">
        <f t="shared" si="76"/>
        <v>1323.7629597596656</v>
      </c>
      <c r="V134" s="553">
        <f t="shared" si="76"/>
        <v>1367.7516029124797</v>
      </c>
      <c r="W134" s="553">
        <f t="shared" si="76"/>
        <v>1413.2019886772603</v>
      </c>
      <c r="X134" s="553">
        <f t="shared" si="76"/>
        <v>1460.1626907610059</v>
      </c>
      <c r="Y134" s="814"/>
      <c r="Z134" s="553"/>
      <c r="AA134" s="553"/>
      <c r="AB134" s="553"/>
      <c r="AC134" s="553"/>
      <c r="AD134" s="553"/>
      <c r="AE134" s="542"/>
    </row>
    <row r="135" spans="2:31" x14ac:dyDescent="0.2">
      <c r="C135" s="552"/>
      <c r="D135" s="553"/>
      <c r="E135" s="553"/>
      <c r="F135" s="553"/>
      <c r="G135" s="553"/>
      <c r="H135" s="553"/>
      <c r="I135" s="553"/>
      <c r="J135" s="553"/>
      <c r="K135" s="553"/>
      <c r="L135" s="553"/>
      <c r="M135" s="553"/>
      <c r="N135" s="553"/>
      <c r="O135" s="553"/>
      <c r="P135" s="553"/>
      <c r="Q135" s="553"/>
      <c r="R135" s="553"/>
      <c r="S135" s="553"/>
      <c r="T135" s="553"/>
      <c r="U135" s="553"/>
      <c r="V135" s="553"/>
      <c r="W135" s="553"/>
      <c r="X135" s="553"/>
      <c r="Y135" s="814"/>
      <c r="Z135" s="553"/>
      <c r="AA135" s="553"/>
      <c r="AB135" s="553"/>
      <c r="AC135" s="553"/>
      <c r="AD135" s="553"/>
      <c r="AE135" s="542"/>
    </row>
    <row r="136" spans="2:31" x14ac:dyDescent="0.2">
      <c r="C136" s="723" t="s">
        <v>86</v>
      </c>
      <c r="D136" s="554">
        <f t="shared" ref="D136:X136" si="77">SUM(D132:D134)*0.001</f>
        <v>0</v>
      </c>
      <c r="E136" s="554">
        <f t="shared" si="77"/>
        <v>0</v>
      </c>
      <c r="F136" s="554">
        <f t="shared" si="77"/>
        <v>0</v>
      </c>
      <c r="G136" s="554">
        <f t="shared" si="77"/>
        <v>0</v>
      </c>
      <c r="H136" s="554">
        <f>SUM(H132:H134)*0.001</f>
        <v>0</v>
      </c>
      <c r="I136" s="554">
        <f t="shared" si="77"/>
        <v>2.6045540591759884</v>
      </c>
      <c r="J136" s="554">
        <f t="shared" si="77"/>
        <v>5.5045296625140132</v>
      </c>
      <c r="K136" s="554">
        <f t="shared" si="77"/>
        <v>6.3193835368881688</v>
      </c>
      <c r="L136" s="554">
        <f t="shared" si="77"/>
        <v>6.5293766518189624</v>
      </c>
      <c r="M136" s="554">
        <f t="shared" si="77"/>
        <v>6.746347837958905</v>
      </c>
      <c r="N136" s="554">
        <f t="shared" si="77"/>
        <v>6.9705289766142817</v>
      </c>
      <c r="O136" s="554">
        <f t="shared" si="77"/>
        <v>7.2021596545071702</v>
      </c>
      <c r="P136" s="554">
        <f t="shared" si="77"/>
        <v>7.4414874198264451</v>
      </c>
      <c r="Q136" s="554">
        <f t="shared" si="77"/>
        <v>7.6887680467872777</v>
      </c>
      <c r="R136" s="554">
        <f t="shared" si="77"/>
        <v>7.9442658089820197</v>
      </c>
      <c r="S136" s="554">
        <f t="shared" si="77"/>
        <v>8.208253761814488</v>
      </c>
      <c r="T136" s="554">
        <f t="shared" si="77"/>
        <v>8.4810140343195837</v>
      </c>
      <c r="U136" s="554">
        <f t="shared" si="77"/>
        <v>8.7628381306800236</v>
      </c>
      <c r="V136" s="554">
        <f t="shared" si="77"/>
        <v>9.0540272417625207</v>
      </c>
      <c r="W136" s="554">
        <f t="shared" si="77"/>
        <v>9.3548925670062832</v>
      </c>
      <c r="X136" s="554">
        <f t="shared" si="77"/>
        <v>9.6657556470079058</v>
      </c>
      <c r="Y136" s="816"/>
      <c r="Z136" s="554"/>
      <c r="AA136" s="554"/>
      <c r="AB136" s="554"/>
      <c r="AC136" s="554"/>
      <c r="AD136" s="554"/>
      <c r="AE136" s="542"/>
    </row>
    <row r="137" spans="2:31" x14ac:dyDescent="0.2">
      <c r="C137" s="551"/>
      <c r="D137" s="553"/>
      <c r="E137" s="553"/>
      <c r="F137" s="553"/>
      <c r="G137" s="553"/>
      <c r="H137" s="554"/>
      <c r="I137" s="554"/>
      <c r="J137" s="554"/>
      <c r="K137" s="554"/>
      <c r="L137" s="554"/>
      <c r="M137" s="554"/>
      <c r="N137" s="554"/>
      <c r="O137" s="554"/>
      <c r="P137" s="554"/>
      <c r="Q137" s="554"/>
      <c r="R137" s="554"/>
      <c r="S137" s="554"/>
      <c r="T137" s="554"/>
      <c r="U137" s="554"/>
      <c r="V137" s="554"/>
      <c r="W137" s="554"/>
      <c r="X137" s="554"/>
      <c r="Y137" s="816"/>
      <c r="Z137" s="554"/>
      <c r="AA137" s="554"/>
      <c r="AB137" s="554"/>
      <c r="AC137" s="554"/>
      <c r="AD137" s="554"/>
      <c r="AE137" s="542"/>
    </row>
    <row r="138" spans="2:31" x14ac:dyDescent="0.2">
      <c r="C138" s="723" t="s">
        <v>71</v>
      </c>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c r="AE138" s="542"/>
    </row>
    <row r="139" spans="2:31" x14ac:dyDescent="0.2">
      <c r="C139" s="723" t="s">
        <v>88</v>
      </c>
      <c r="D139" s="711">
        <f>IF(D23=1,(Assumptions!$C$51*D114),0)</f>
        <v>0</v>
      </c>
      <c r="E139" s="711">
        <f>IF(E23=1,(Assumptions!$C$51*E114),0)</f>
        <v>0</v>
      </c>
      <c r="F139" s="711">
        <f>IF(F23=1,(Assumptions!$C$51*F114),0)</f>
        <v>0</v>
      </c>
      <c r="G139" s="711">
        <f>IF(G23=1,(Assumptions!$C$51*G114),0)</f>
        <v>0</v>
      </c>
      <c r="H139" s="711">
        <f>IF(H23=1,(Assumptions!$C$51*H114),0)</f>
        <v>0</v>
      </c>
      <c r="I139" s="711">
        <f>IF(I23=1,(Assumptions!$C$51*I114),0)</f>
        <v>0.1620293400000008</v>
      </c>
      <c r="J139" s="711">
        <f>IF(J23=1,(Assumptions!$C$51*J114),0)</f>
        <v>0.32567897340000074</v>
      </c>
      <c r="K139" s="711">
        <f>IF(K23=1,(Assumptions!$C$51*K114),0)</f>
        <v>0.49096510313400105</v>
      </c>
      <c r="L139" s="711">
        <f>IF(L23=1,(Assumptions!$C$51*L114),0)</f>
        <v>0.65790409416534101</v>
      </c>
      <c r="M139" s="711">
        <f>IF(M23=1,(Assumptions!$C$51*M114),0)</f>
        <v>0.82651247510699433</v>
      </c>
      <c r="N139" s="711">
        <f>IF(N23=1,(Assumptions!$C$51*N114),0)</f>
        <v>0.9968069398580649</v>
      </c>
      <c r="O139" s="711">
        <f>IF(O23=1,(Assumptions!$C$51*O114),0)</f>
        <v>1.1688043492566458</v>
      </c>
      <c r="P139" s="711">
        <f>IF(P23=1,(Assumptions!$C$51*P114),0)</f>
        <v>1.3425217327492129</v>
      </c>
      <c r="Q139" s="711">
        <f>IF(Q23=1,(Assumptions!$C$51*Q114),0)</f>
        <v>1.5179762900767044</v>
      </c>
      <c r="R139" s="711">
        <f>IF(R23=1,(Assumptions!$C$51*R114),0)</f>
        <v>1.6951853929774716</v>
      </c>
      <c r="S139" s="711">
        <f>IF(S23=1,(Assumptions!$C$51*S114),0)</f>
        <v>1.8741665869072455</v>
      </c>
      <c r="T139" s="711">
        <f>IF(T23=1,(Assumptions!$C$51*T114),0)</f>
        <v>2.0549375927763172</v>
      </c>
      <c r="U139" s="711">
        <f>IF(U23=1,(Assumptions!$C$51*U114),0)</f>
        <v>2.2375163087040799</v>
      </c>
      <c r="V139" s="711">
        <f>IF(V23=1,(Assumptions!$C$51*V114),0)</f>
        <v>2.4219208117911202</v>
      </c>
      <c r="W139" s="711">
        <f>IF(W23=1,(Assumptions!$C$51*W114),0)</f>
        <v>2.6081693599090312</v>
      </c>
      <c r="X139" s="711">
        <f>IF(X23=1,(Assumptions!$C$51*X114),0)</f>
        <v>2.7962803935081233</v>
      </c>
      <c r="Y139" s="815"/>
      <c r="Z139" s="711"/>
      <c r="AA139" s="711"/>
      <c r="AB139" s="711"/>
      <c r="AC139" s="711"/>
      <c r="AD139" s="711"/>
      <c r="AE139" s="542"/>
    </row>
    <row r="140" spans="2:31" x14ac:dyDescent="0.2">
      <c r="C140" s="723" t="s">
        <v>87</v>
      </c>
      <c r="D140" s="554">
        <f>D136+D139</f>
        <v>0</v>
      </c>
      <c r="E140" s="554">
        <f t="shared" ref="E140:X140" si="78">E136+E139</f>
        <v>0</v>
      </c>
      <c r="F140" s="554">
        <f t="shared" si="78"/>
        <v>0</v>
      </c>
      <c r="G140" s="554">
        <f t="shared" si="78"/>
        <v>0</v>
      </c>
      <c r="H140" s="554">
        <f>H136+H139</f>
        <v>0</v>
      </c>
      <c r="I140" s="554">
        <f t="shared" si="78"/>
        <v>2.7665833991759889</v>
      </c>
      <c r="J140" s="554">
        <f t="shared" si="78"/>
        <v>5.8302086359140137</v>
      </c>
      <c r="K140" s="554">
        <f t="shared" si="78"/>
        <v>6.8103486400221698</v>
      </c>
      <c r="L140" s="554">
        <f t="shared" si="78"/>
        <v>7.1872807459843031</v>
      </c>
      <c r="M140" s="554">
        <f t="shared" si="78"/>
        <v>7.5728603130658989</v>
      </c>
      <c r="N140" s="554">
        <f t="shared" si="78"/>
        <v>7.9673359164723463</v>
      </c>
      <c r="O140" s="554">
        <f t="shared" si="78"/>
        <v>8.3709640037638167</v>
      </c>
      <c r="P140" s="554">
        <f t="shared" si="78"/>
        <v>8.7840091525756581</v>
      </c>
      <c r="Q140" s="554">
        <f t="shared" si="78"/>
        <v>9.2067443368639825</v>
      </c>
      <c r="R140" s="554">
        <f t="shared" si="78"/>
        <v>9.639451201959492</v>
      </c>
      <c r="S140" s="554">
        <f t="shared" si="78"/>
        <v>10.082420348721733</v>
      </c>
      <c r="T140" s="554">
        <f t="shared" si="78"/>
        <v>10.535951627095901</v>
      </c>
      <c r="U140" s="554">
        <f t="shared" si="78"/>
        <v>11.000354439384104</v>
      </c>
      <c r="V140" s="554">
        <f t="shared" si="78"/>
        <v>11.47594805355364</v>
      </c>
      <c r="W140" s="554">
        <f t="shared" si="78"/>
        <v>11.963061926915314</v>
      </c>
      <c r="X140" s="554">
        <f t="shared" si="78"/>
        <v>12.462036040516029</v>
      </c>
      <c r="Y140" s="816"/>
      <c r="Z140" s="554"/>
      <c r="AA140" s="554"/>
      <c r="AB140" s="554"/>
      <c r="AC140" s="554"/>
      <c r="AD140" s="554"/>
      <c r="AE140" s="542"/>
    </row>
    <row r="141" spans="2:31" x14ac:dyDescent="0.2">
      <c r="C141" s="723"/>
      <c r="D141" s="554"/>
      <c r="E141" s="554"/>
      <c r="F141" s="554"/>
      <c r="G141" s="554"/>
      <c r="H141" s="554"/>
      <c r="I141" s="554"/>
      <c r="J141" s="554"/>
      <c r="K141" s="554"/>
      <c r="L141" s="554"/>
      <c r="M141" s="554"/>
      <c r="N141" s="554"/>
      <c r="O141" s="554"/>
      <c r="P141" s="554"/>
      <c r="Q141" s="554"/>
      <c r="R141" s="554"/>
      <c r="S141" s="554"/>
      <c r="T141" s="554"/>
      <c r="U141" s="554"/>
      <c r="V141" s="554"/>
      <c r="W141" s="554"/>
      <c r="X141" s="554"/>
      <c r="Y141" s="816"/>
      <c r="Z141" s="554"/>
      <c r="AA141" s="554"/>
      <c r="AB141" s="554"/>
      <c r="AC141" s="554"/>
      <c r="AD141" s="554"/>
      <c r="AE141" s="542"/>
    </row>
    <row r="142" spans="2:31" x14ac:dyDescent="0.2">
      <c r="C142" s="536" t="s">
        <v>555</v>
      </c>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c r="AE142" s="542"/>
    </row>
    <row r="143" spans="2:31" x14ac:dyDescent="0.2">
      <c r="C143" s="536" t="s">
        <v>556</v>
      </c>
      <c r="D143" s="711">
        <f>D115*Assumptions!$C$51</f>
        <v>0</v>
      </c>
      <c r="E143" s="711">
        <f>E115*Assumptions!$C$51</f>
        <v>0</v>
      </c>
      <c r="F143" s="711">
        <f>F115*Assumptions!$C$51</f>
        <v>0</v>
      </c>
      <c r="G143" s="711">
        <f>G115*Assumptions!$C$51</f>
        <v>0</v>
      </c>
      <c r="H143" s="711">
        <f>H115*Assumptions!$C$51</f>
        <v>0</v>
      </c>
      <c r="I143" s="711">
        <f>I115*Assumptions!$C$51</f>
        <v>1.9443520800000095E-3</v>
      </c>
      <c r="J143" s="711">
        <f>J115*Assumptions!$C$51</f>
        <v>3.9081476808000091E-3</v>
      </c>
      <c r="K143" s="711">
        <f>K115*Assumptions!$C$51</f>
        <v>5.8915812376080139E-3</v>
      </c>
      <c r="L143" s="711">
        <f>L115*Assumptions!$C$51</f>
        <v>7.8948491299840919E-3</v>
      </c>
      <c r="M143" s="711">
        <f>M115*Assumptions!$C$51</f>
        <v>9.9181497012839313E-3</v>
      </c>
      <c r="N143" s="711">
        <f>N115*Assumptions!$C$51</f>
        <v>1.1961683278296779E-2</v>
      </c>
      <c r="O143" s="711">
        <f>O115*Assumptions!$C$51</f>
        <v>1.4025652191079749E-2</v>
      </c>
      <c r="P143" s="711">
        <f>P115*Assumptions!$C$51</f>
        <v>1.6110260792990556E-2</v>
      </c>
      <c r="Q143" s="711">
        <f>Q115*Assumptions!$C$51</f>
        <v>1.8215715480920453E-2</v>
      </c>
      <c r="R143" s="711">
        <f>R115*Assumptions!$C$51</f>
        <v>2.0342224715729662E-2</v>
      </c>
      <c r="S143" s="711">
        <f>S115*Assumptions!$C$51</f>
        <v>2.2489999042886944E-2</v>
      </c>
      <c r="T143" s="711">
        <f>T115*Assumptions!$C$51</f>
        <v>2.4659251113315808E-2</v>
      </c>
      <c r="U143" s="711">
        <f>U115*Assumptions!$C$51</f>
        <v>2.6850195704448961E-2</v>
      </c>
      <c r="V143" s="711">
        <f>V115*Assumptions!$C$51</f>
        <v>2.906304974149344E-2</v>
      </c>
      <c r="W143" s="711">
        <f>W115*Assumptions!$C$51</f>
        <v>3.1298032318908375E-2</v>
      </c>
      <c r="X143" s="711">
        <f>X115*Assumptions!$C$51</f>
        <v>3.3555364722097483E-2</v>
      </c>
      <c r="Y143" s="816"/>
      <c r="Z143" s="554"/>
      <c r="AA143" s="554"/>
      <c r="AB143" s="554"/>
      <c r="AC143" s="554"/>
      <c r="AD143" s="554"/>
      <c r="AE143" s="542"/>
    </row>
    <row r="144" spans="2:31" x14ac:dyDescent="0.2">
      <c r="C144" s="536"/>
      <c r="D144" s="811"/>
      <c r="E144" s="542"/>
      <c r="F144" s="542"/>
      <c r="G144" s="542"/>
      <c r="H144" s="542"/>
      <c r="I144" s="542"/>
      <c r="J144" s="542"/>
      <c r="K144" s="542"/>
      <c r="L144" s="542"/>
      <c r="M144" s="542"/>
      <c r="N144" s="542"/>
      <c r="O144" s="542"/>
      <c r="P144" s="542"/>
      <c r="Q144" s="542"/>
      <c r="R144" s="542"/>
      <c r="S144" s="542"/>
      <c r="T144" s="542"/>
      <c r="U144" s="542"/>
      <c r="V144" s="542"/>
      <c r="W144" s="542"/>
      <c r="X144" s="542"/>
      <c r="Y144" s="549"/>
      <c r="Z144" s="542"/>
      <c r="AA144" s="542"/>
      <c r="AB144" s="542"/>
      <c r="AC144" s="542"/>
      <c r="AD144" s="542"/>
      <c r="AE144" s="542"/>
    </row>
    <row r="145" spans="1:31" x14ac:dyDescent="0.2">
      <c r="C145" s="536" t="s">
        <v>89</v>
      </c>
      <c r="D145" s="554">
        <f>D140*'ERR &amp; Sensitivity Analysis'!$G$10</f>
        <v>0</v>
      </c>
      <c r="E145" s="554">
        <f>E140*'ERR &amp; Sensitivity Analysis'!$G$10</f>
        <v>0</v>
      </c>
      <c r="F145" s="554">
        <f>F140*'ERR &amp; Sensitivity Analysis'!$G$10</f>
        <v>0</v>
      </c>
      <c r="G145" s="554">
        <f>G140*'ERR &amp; Sensitivity Analysis'!$G$10</f>
        <v>0</v>
      </c>
      <c r="H145" s="554">
        <f>H140*'ERR &amp; Sensitivity Analysis'!$G$10</f>
        <v>0</v>
      </c>
      <c r="I145" s="554">
        <f>I140*'ERR &amp; Sensitivity Analysis'!$G$10</f>
        <v>2.7665833991759889</v>
      </c>
      <c r="J145" s="554">
        <f>J140*'ERR &amp; Sensitivity Analysis'!$G$10</f>
        <v>5.8302086359140137</v>
      </c>
      <c r="K145" s="554">
        <f>K140*'ERR &amp; Sensitivity Analysis'!$G$10</f>
        <v>6.8103486400221698</v>
      </c>
      <c r="L145" s="554">
        <f>L140*'ERR &amp; Sensitivity Analysis'!$G$10</f>
        <v>7.1872807459843031</v>
      </c>
      <c r="M145" s="554">
        <f>M140*'ERR &amp; Sensitivity Analysis'!$G$10</f>
        <v>7.5728603130658989</v>
      </c>
      <c r="N145" s="554">
        <f>N140*'ERR &amp; Sensitivity Analysis'!$G$10</f>
        <v>7.9673359164723463</v>
      </c>
      <c r="O145" s="554">
        <f>O140*'ERR &amp; Sensitivity Analysis'!$G$10</f>
        <v>8.3709640037638167</v>
      </c>
      <c r="P145" s="554">
        <f>P140*'ERR &amp; Sensitivity Analysis'!$G$10</f>
        <v>8.7840091525756581</v>
      </c>
      <c r="Q145" s="554">
        <f>Q140*'ERR &amp; Sensitivity Analysis'!$G$10</f>
        <v>9.2067443368639825</v>
      </c>
      <c r="R145" s="554">
        <f>R140*'ERR &amp; Sensitivity Analysis'!$G$10</f>
        <v>9.639451201959492</v>
      </c>
      <c r="S145" s="554">
        <f>S140*'ERR &amp; Sensitivity Analysis'!$G$10</f>
        <v>10.082420348721733</v>
      </c>
      <c r="T145" s="554">
        <f>T140*'ERR &amp; Sensitivity Analysis'!$G$10</f>
        <v>10.535951627095901</v>
      </c>
      <c r="U145" s="554">
        <f>U140*'ERR &amp; Sensitivity Analysis'!$G$10</f>
        <v>11.000354439384104</v>
      </c>
      <c r="V145" s="554">
        <f>V140*'ERR &amp; Sensitivity Analysis'!$G$10</f>
        <v>11.47594805355364</v>
      </c>
      <c r="W145" s="554">
        <f>W140*'ERR &amp; Sensitivity Analysis'!$G$10</f>
        <v>11.963061926915314</v>
      </c>
      <c r="X145" s="554">
        <f>X140*'ERR &amp; Sensitivity Analysis'!$G$10</f>
        <v>12.462036040516029</v>
      </c>
      <c r="Y145" s="816"/>
      <c r="Z145" s="554"/>
      <c r="AA145" s="554"/>
      <c r="AB145" s="554"/>
      <c r="AC145" s="554"/>
      <c r="AD145" s="554"/>
      <c r="AE145" s="542"/>
    </row>
    <row r="146" spans="1:31" x14ac:dyDescent="0.2">
      <c r="C146" s="536" t="s">
        <v>99</v>
      </c>
      <c r="D146" s="554">
        <f t="shared" ref="D146:X146" si="79">D145-D62</f>
        <v>0</v>
      </c>
      <c r="E146" s="554">
        <f t="shared" si="79"/>
        <v>-0.45138077191048409</v>
      </c>
      <c r="F146" s="554">
        <f t="shared" si="79"/>
        <v>-1.0439693440539632</v>
      </c>
      <c r="G146" s="554">
        <f t="shared" si="79"/>
        <v>-10.26222355553031</v>
      </c>
      <c r="H146" s="554">
        <f t="shared" si="79"/>
        <v>-9.8923188634573318</v>
      </c>
      <c r="I146" s="554">
        <f t="shared" si="79"/>
        <v>-11.976982324018062</v>
      </c>
      <c r="J146" s="554">
        <f t="shared" si="79"/>
        <v>2.3126720718146472</v>
      </c>
      <c r="K146" s="554">
        <f t="shared" si="79"/>
        <v>4.3441839255268881</v>
      </c>
      <c r="L146" s="554">
        <f t="shared" si="79"/>
        <v>4.7885618015368703</v>
      </c>
      <c r="M146" s="554">
        <f t="shared" si="79"/>
        <v>5.0948521333718624</v>
      </c>
      <c r="N146" s="554">
        <f t="shared" si="79"/>
        <v>5.4074133847358405</v>
      </c>
      <c r="O146" s="554">
        <f t="shared" si="79"/>
        <v>5.7264149928411534</v>
      </c>
      <c r="P146" s="554">
        <f t="shared" si="79"/>
        <v>6.0520316387339763</v>
      </c>
      <c r="Q146" s="554">
        <f t="shared" si="79"/>
        <v>6.3844434177477059</v>
      </c>
      <c r="R146" s="554">
        <f t="shared" si="79"/>
        <v>6.7238360155840873</v>
      </c>
      <c r="S146" s="554">
        <f t="shared" si="79"/>
        <v>7.0704008902086874</v>
      </c>
      <c r="T146" s="554">
        <f t="shared" si="79"/>
        <v>7.4243354597537126</v>
      </c>
      <c r="U146" s="554">
        <f t="shared" si="79"/>
        <v>7.7858432966272542</v>
      </c>
      <c r="V146" s="554">
        <f t="shared" si="79"/>
        <v>8.1551343280351016</v>
      </c>
      <c r="W146" s="554">
        <f t="shared" si="79"/>
        <v>8.5324250431276951</v>
      </c>
      <c r="X146" s="554">
        <f t="shared" si="79"/>
        <v>8.9179387069921372</v>
      </c>
      <c r="Y146" s="816"/>
      <c r="Z146" s="554"/>
      <c r="AA146" s="554"/>
      <c r="AB146" s="554"/>
      <c r="AC146" s="554"/>
      <c r="AD146" s="554"/>
      <c r="AE146" s="542"/>
    </row>
    <row r="147" spans="1:31" ht="13.5" thickBot="1" x14ac:dyDescent="0.25">
      <c r="C147" s="812"/>
      <c r="D147" s="733"/>
      <c r="E147" s="733"/>
      <c r="F147" s="733"/>
      <c r="G147" s="733"/>
      <c r="H147" s="733"/>
      <c r="I147" s="733"/>
      <c r="J147" s="733"/>
      <c r="K147" s="733"/>
      <c r="L147" s="733"/>
      <c r="M147" s="733"/>
      <c r="N147" s="733"/>
      <c r="O147" s="733"/>
      <c r="P147" s="733"/>
      <c r="Q147" s="733"/>
      <c r="R147" s="733"/>
      <c r="S147" s="733"/>
      <c r="T147" s="733"/>
      <c r="U147" s="733"/>
      <c r="V147" s="733"/>
      <c r="W147" s="733"/>
      <c r="X147" s="733"/>
      <c r="Y147" s="828"/>
      <c r="Z147" s="553"/>
      <c r="AA147" s="553"/>
      <c r="AB147" s="553"/>
      <c r="AC147" s="553"/>
      <c r="AD147" s="553"/>
      <c r="AE147" s="542"/>
    </row>
    <row r="148" spans="1:31" x14ac:dyDescent="0.2">
      <c r="C148" s="747"/>
      <c r="D148" s="553"/>
      <c r="E148" s="553"/>
      <c r="F148" s="553"/>
      <c r="G148" s="553"/>
      <c r="H148" s="553"/>
      <c r="I148" s="553"/>
      <c r="J148" s="553"/>
      <c r="K148" s="553"/>
      <c r="L148" s="553"/>
      <c r="M148" s="553"/>
      <c r="N148" s="553"/>
      <c r="O148" s="553"/>
      <c r="P148" s="553"/>
      <c r="Q148" s="553"/>
      <c r="R148" s="553"/>
      <c r="S148" s="553"/>
      <c r="T148" s="553"/>
      <c r="U148" s="553"/>
      <c r="V148" s="553"/>
      <c r="W148" s="553"/>
      <c r="X148" s="553"/>
      <c r="Y148" s="553"/>
      <c r="Z148" s="553"/>
      <c r="AA148" s="553"/>
      <c r="AB148" s="553"/>
      <c r="AC148" s="553"/>
      <c r="AD148" s="553"/>
      <c r="AE148" s="542"/>
    </row>
    <row r="149" spans="1:31" x14ac:dyDescent="0.2">
      <c r="A149" s="542"/>
      <c r="B149" s="542"/>
      <c r="M149" s="736"/>
      <c r="AA149" s="624"/>
      <c r="AB149" s="624"/>
      <c r="AC149" s="624"/>
      <c r="AD149" s="624"/>
    </row>
    <row r="150" spans="1:31" x14ac:dyDescent="0.2">
      <c r="A150" s="542"/>
      <c r="B150" s="542"/>
      <c r="C150" s="618" t="s">
        <v>585</v>
      </c>
      <c r="M150" s="736"/>
      <c r="AA150" s="624"/>
      <c r="AB150" s="624"/>
      <c r="AC150" s="624"/>
      <c r="AD150" s="624"/>
    </row>
    <row r="151" spans="1:31" x14ac:dyDescent="0.2">
      <c r="B151" s="543">
        <v>1</v>
      </c>
      <c r="C151" s="543" t="s">
        <v>607</v>
      </c>
    </row>
    <row r="152" spans="1:31" x14ac:dyDescent="0.2">
      <c r="B152" s="543">
        <v>2</v>
      </c>
      <c r="C152" s="543" t="s">
        <v>608</v>
      </c>
    </row>
    <row r="153" spans="1:31" x14ac:dyDescent="0.2">
      <c r="B153" s="543">
        <v>3</v>
      </c>
      <c r="C153" s="543" t="s">
        <v>609</v>
      </c>
    </row>
    <row r="154" spans="1:31" x14ac:dyDescent="0.2">
      <c r="B154" s="543">
        <v>4</v>
      </c>
      <c r="C154" s="543" t="s">
        <v>610</v>
      </c>
    </row>
    <row r="155" spans="1:31" x14ac:dyDescent="0.2">
      <c r="B155" s="543">
        <v>5</v>
      </c>
      <c r="C155" s="543" t="s">
        <v>606</v>
      </c>
    </row>
  </sheetData>
  <mergeCells count="8">
    <mergeCell ref="P66:R66"/>
    <mergeCell ref="AB66:AC66"/>
    <mergeCell ref="C4:D4"/>
    <mergeCell ref="C7:D7"/>
    <mergeCell ref="D66:F66"/>
    <mergeCell ref="G66:I66"/>
    <mergeCell ref="J66:L66"/>
    <mergeCell ref="M66:O66"/>
  </mergeCells>
  <phoneticPr fontId="2" type="noConversion"/>
  <pageMargins left="0.75" right="0.75" top="1" bottom="1"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156"/>
  <sheetViews>
    <sheetView showGridLines="0" zoomScale="70" zoomScaleNormal="70" workbookViewId="0"/>
  </sheetViews>
  <sheetFormatPr defaultColWidth="9.140625" defaultRowHeight="12.75" x14ac:dyDescent="0.2"/>
  <cols>
    <col min="1" max="1" width="4.140625" style="542" customWidth="1"/>
    <col min="2" max="2" width="3.5703125" style="542" customWidth="1"/>
    <col min="3" max="3" width="49.5703125" style="542" customWidth="1"/>
    <col min="4" max="4" width="12.7109375" style="542" customWidth="1"/>
    <col min="5" max="5" width="13.7109375" style="542" customWidth="1"/>
    <col min="6" max="7" width="13.28515625" style="542" customWidth="1"/>
    <col min="8" max="9" width="12.85546875" style="542" customWidth="1"/>
    <col min="10" max="10" width="12.28515625" style="542" customWidth="1"/>
    <col min="11" max="12" width="12.28515625" style="542" bestFit="1" customWidth="1"/>
    <col min="13" max="13" width="12.85546875" style="542" customWidth="1"/>
    <col min="14" max="15" width="12.28515625" style="542" bestFit="1" customWidth="1"/>
    <col min="16" max="16" width="13" style="542" customWidth="1"/>
    <col min="17" max="17" width="13.42578125" style="542" bestFit="1" customWidth="1"/>
    <col min="18" max="18" width="12.28515625" style="542" bestFit="1" customWidth="1"/>
    <col min="19" max="19" width="15" style="542" customWidth="1"/>
    <col min="20" max="20" width="12.28515625" style="542" customWidth="1"/>
    <col min="21" max="21" width="12.28515625" style="542" bestFit="1" customWidth="1"/>
    <col min="22" max="22" width="13.28515625" style="542" customWidth="1"/>
    <col min="23" max="24" width="12.28515625" style="542" bestFit="1" customWidth="1"/>
    <col min="25" max="25" width="11.5703125" style="542" customWidth="1"/>
    <col min="26" max="27" width="12.28515625" style="542" bestFit="1" customWidth="1"/>
    <col min="28" max="28" width="11.7109375" style="542" customWidth="1"/>
    <col min="29" max="30" width="12.28515625" style="542" bestFit="1" customWidth="1"/>
    <col min="31" max="16384" width="9.140625" style="542"/>
  </cols>
  <sheetData>
    <row r="1" spans="1:10" s="831" customFormat="1" ht="20.25" x14ac:dyDescent="0.3">
      <c r="B1" s="567" t="s">
        <v>370</v>
      </c>
      <c r="C1" s="832"/>
      <c r="I1" s="833" t="s">
        <v>668</v>
      </c>
    </row>
    <row r="2" spans="1:10" s="835" customFormat="1" ht="18" x14ac:dyDescent="0.25">
      <c r="A2" s="832"/>
      <c r="B2" s="834" t="s">
        <v>374</v>
      </c>
      <c r="D2" s="832"/>
      <c r="E2" s="832"/>
      <c r="F2" s="832"/>
      <c r="G2" s="836"/>
    </row>
    <row r="3" spans="1:10" ht="13.5" thickBot="1" x14ac:dyDescent="0.25"/>
    <row r="4" spans="1:10" x14ac:dyDescent="0.2">
      <c r="C4" s="941" t="s">
        <v>137</v>
      </c>
      <c r="D4" s="942"/>
      <c r="E4" s="519"/>
      <c r="F4" s="520"/>
    </row>
    <row r="5" spans="1:10" x14ac:dyDescent="0.2">
      <c r="C5" s="561"/>
      <c r="D5" s="562"/>
      <c r="E5" s="563"/>
      <c r="F5" s="564"/>
      <c r="G5" s="691"/>
      <c r="H5" s="690"/>
      <c r="I5" s="690"/>
      <c r="J5" s="690"/>
    </row>
    <row r="6" spans="1:10" x14ac:dyDescent="0.2">
      <c r="C6" s="688" t="s">
        <v>138</v>
      </c>
      <c r="D6" s="689"/>
      <c r="F6" s="549"/>
    </row>
    <row r="7" spans="1:10" x14ac:dyDescent="0.2">
      <c r="C7" s="943" t="s">
        <v>336</v>
      </c>
      <c r="D7" s="944"/>
      <c r="E7" s="761">
        <f>IRR(E147:X147,-0.9)</f>
        <v>0.1508254025055864</v>
      </c>
      <c r="F7" s="549"/>
    </row>
    <row r="8" spans="1:10" x14ac:dyDescent="0.2">
      <c r="C8" s="688" t="s">
        <v>373</v>
      </c>
      <c r="D8" s="236"/>
      <c r="E8" s="692"/>
      <c r="F8" s="549"/>
    </row>
    <row r="9" spans="1:10" x14ac:dyDescent="0.2">
      <c r="C9" s="693" t="s">
        <v>128</v>
      </c>
      <c r="D9" s="236"/>
      <c r="E9" s="694">
        <f>NPV(0.1,E147:X147)</f>
        <v>8.7986782614061791</v>
      </c>
      <c r="F9" s="549"/>
    </row>
    <row r="10" spans="1:10" x14ac:dyDescent="0.2">
      <c r="C10" s="693" t="s">
        <v>367</v>
      </c>
      <c r="D10" s="236"/>
      <c r="E10" s="695">
        <f>NPV(0.1,E63:I63)</f>
        <v>18.625588267557081</v>
      </c>
      <c r="F10" s="549"/>
    </row>
    <row r="11" spans="1:10" x14ac:dyDescent="0.2">
      <c r="C11" s="693" t="s">
        <v>384</v>
      </c>
      <c r="D11" s="236"/>
      <c r="E11" s="694">
        <f>E9+E10</f>
        <v>27.424266528963258</v>
      </c>
      <c r="F11" s="549"/>
    </row>
    <row r="12" spans="1:10" x14ac:dyDescent="0.2">
      <c r="C12" s="693" t="s">
        <v>368</v>
      </c>
      <c r="D12" s="236"/>
      <c r="E12" s="694">
        <f>NPV(0.1,E62:X62)</f>
        <v>28.330663027223771</v>
      </c>
      <c r="F12" s="549"/>
    </row>
    <row r="13" spans="1:10" x14ac:dyDescent="0.2">
      <c r="C13" s="693" t="s">
        <v>369</v>
      </c>
      <c r="D13" s="236"/>
      <c r="E13" s="694">
        <f>NPV(0.1,E146:X146)</f>
        <v>37.129341288629952</v>
      </c>
      <c r="F13" s="549"/>
    </row>
    <row r="14" spans="1:10" ht="13.5" thickBot="1" x14ac:dyDescent="0.25">
      <c r="C14" s="697" t="s">
        <v>136</v>
      </c>
      <c r="D14" s="698"/>
      <c r="E14" s="699">
        <f>E13/E12</f>
        <v>1.3105708557879945</v>
      </c>
      <c r="F14" s="700"/>
    </row>
    <row r="16" spans="1:10" ht="13.5" thickBot="1" x14ac:dyDescent="0.25"/>
    <row r="17" spans="3:30" x14ac:dyDescent="0.2">
      <c r="C17" s="521"/>
      <c r="D17" s="522"/>
      <c r="E17" s="522"/>
      <c r="F17" s="522"/>
      <c r="G17" s="522"/>
      <c r="H17" s="522"/>
      <c r="I17" s="522"/>
      <c r="J17" s="522"/>
      <c r="K17" s="522"/>
      <c r="L17" s="522"/>
      <c r="M17" s="522"/>
      <c r="N17" s="522"/>
      <c r="O17" s="522"/>
      <c r="P17" s="522"/>
      <c r="Q17" s="522"/>
      <c r="R17" s="522"/>
      <c r="S17" s="522"/>
      <c r="T17" s="522"/>
      <c r="U17" s="522"/>
      <c r="V17" s="522"/>
      <c r="W17" s="522"/>
      <c r="X17" s="522"/>
      <c r="Y17" s="523"/>
    </row>
    <row r="18" spans="3:30" x14ac:dyDescent="0.2">
      <c r="C18" s="760" t="s">
        <v>616</v>
      </c>
      <c r="D18" s="529" t="s">
        <v>130</v>
      </c>
      <c r="E18" s="526"/>
      <c r="F18" s="526"/>
      <c r="G18" s="526"/>
      <c r="H18" s="526"/>
      <c r="I18" s="526"/>
      <c r="J18" s="526"/>
      <c r="K18" s="526"/>
      <c r="L18" s="526"/>
      <c r="M18" s="526"/>
      <c r="N18" s="526"/>
      <c r="O18" s="526"/>
      <c r="P18" s="526"/>
      <c r="Q18" s="526"/>
      <c r="R18" s="526"/>
      <c r="S18" s="526"/>
      <c r="T18" s="526"/>
      <c r="U18" s="526"/>
      <c r="V18" s="526"/>
      <c r="W18" s="526"/>
      <c r="X18" s="526"/>
      <c r="Y18" s="528"/>
    </row>
    <row r="19" spans="3:30" x14ac:dyDescent="0.2">
      <c r="C19" s="703"/>
      <c r="D19" s="704"/>
      <c r="Y19" s="549"/>
    </row>
    <row r="20" spans="3:30" s="111" customFormat="1" x14ac:dyDescent="0.2">
      <c r="C20" s="705" t="s">
        <v>338</v>
      </c>
      <c r="D20" s="111">
        <v>0</v>
      </c>
      <c r="E20" s="111">
        <v>1</v>
      </c>
      <c r="F20" s="111">
        <v>2</v>
      </c>
      <c r="G20" s="111">
        <v>3</v>
      </c>
      <c r="H20" s="111">
        <v>4</v>
      </c>
      <c r="I20" s="111">
        <v>5</v>
      </c>
      <c r="J20" s="111">
        <v>6</v>
      </c>
      <c r="K20" s="111">
        <v>7</v>
      </c>
      <c r="L20" s="111">
        <v>8</v>
      </c>
      <c r="M20" s="111">
        <v>9</v>
      </c>
      <c r="N20" s="111">
        <v>10</v>
      </c>
      <c r="O20" s="111">
        <v>11</v>
      </c>
      <c r="P20" s="111">
        <v>12</v>
      </c>
      <c r="Q20" s="111">
        <v>13</v>
      </c>
      <c r="R20" s="111">
        <v>14</v>
      </c>
      <c r="S20" s="111">
        <v>15</v>
      </c>
      <c r="T20" s="111">
        <v>16</v>
      </c>
      <c r="U20" s="111">
        <v>17</v>
      </c>
      <c r="V20" s="111">
        <v>18</v>
      </c>
      <c r="W20" s="111">
        <v>19</v>
      </c>
      <c r="X20" s="111">
        <v>20</v>
      </c>
      <c r="Y20" s="550"/>
    </row>
    <row r="21" spans="3:30" x14ac:dyDescent="0.2">
      <c r="C21" s="706" t="s">
        <v>326</v>
      </c>
      <c r="D21" s="542">
        <v>-4</v>
      </c>
      <c r="E21" s="542">
        <v>-3</v>
      </c>
      <c r="F21" s="542">
        <f t="shared" ref="F21:X21" si="0">E21+1</f>
        <v>-2</v>
      </c>
      <c r="G21" s="542">
        <f t="shared" si="0"/>
        <v>-1</v>
      </c>
      <c r="H21" s="542">
        <f t="shared" si="0"/>
        <v>0</v>
      </c>
      <c r="I21" s="542">
        <v>1</v>
      </c>
      <c r="J21" s="542">
        <f t="shared" si="0"/>
        <v>2</v>
      </c>
      <c r="K21" s="542">
        <f t="shared" si="0"/>
        <v>3</v>
      </c>
      <c r="L21" s="542">
        <f t="shared" si="0"/>
        <v>4</v>
      </c>
      <c r="M21" s="542">
        <f t="shared" si="0"/>
        <v>5</v>
      </c>
      <c r="N21" s="542">
        <f t="shared" si="0"/>
        <v>6</v>
      </c>
      <c r="O21" s="542">
        <f t="shared" si="0"/>
        <v>7</v>
      </c>
      <c r="P21" s="542">
        <f t="shared" si="0"/>
        <v>8</v>
      </c>
      <c r="Q21" s="542">
        <f t="shared" si="0"/>
        <v>9</v>
      </c>
      <c r="R21" s="542">
        <f t="shared" si="0"/>
        <v>10</v>
      </c>
      <c r="S21" s="542">
        <f t="shared" si="0"/>
        <v>11</v>
      </c>
      <c r="T21" s="542">
        <f t="shared" si="0"/>
        <v>12</v>
      </c>
      <c r="U21" s="542">
        <f t="shared" si="0"/>
        <v>13</v>
      </c>
      <c r="V21" s="542">
        <f t="shared" si="0"/>
        <v>14</v>
      </c>
      <c r="W21" s="542">
        <f t="shared" si="0"/>
        <v>15</v>
      </c>
      <c r="X21" s="542">
        <f t="shared" si="0"/>
        <v>16</v>
      </c>
      <c r="Y21" s="549"/>
    </row>
    <row r="22" spans="3:30" x14ac:dyDescent="0.2">
      <c r="C22" s="548"/>
      <c r="D22" s="704">
        <v>2008</v>
      </c>
      <c r="E22" s="704">
        <f t="shared" ref="E22:X22" si="1">D22+1</f>
        <v>2009</v>
      </c>
      <c r="F22" s="704">
        <f t="shared" si="1"/>
        <v>2010</v>
      </c>
      <c r="G22" s="704">
        <f t="shared" si="1"/>
        <v>2011</v>
      </c>
      <c r="H22" s="704">
        <f t="shared" si="1"/>
        <v>2012</v>
      </c>
      <c r="I22" s="704">
        <f t="shared" si="1"/>
        <v>2013</v>
      </c>
      <c r="J22" s="704">
        <f t="shared" si="1"/>
        <v>2014</v>
      </c>
      <c r="K22" s="704">
        <f t="shared" si="1"/>
        <v>2015</v>
      </c>
      <c r="L22" s="704">
        <f t="shared" si="1"/>
        <v>2016</v>
      </c>
      <c r="M22" s="704">
        <f t="shared" si="1"/>
        <v>2017</v>
      </c>
      <c r="N22" s="704">
        <f t="shared" si="1"/>
        <v>2018</v>
      </c>
      <c r="O22" s="704">
        <f t="shared" si="1"/>
        <v>2019</v>
      </c>
      <c r="P22" s="704">
        <f t="shared" si="1"/>
        <v>2020</v>
      </c>
      <c r="Q22" s="704">
        <f t="shared" si="1"/>
        <v>2021</v>
      </c>
      <c r="R22" s="704">
        <f t="shared" si="1"/>
        <v>2022</v>
      </c>
      <c r="S22" s="704">
        <f t="shared" si="1"/>
        <v>2023</v>
      </c>
      <c r="T22" s="704">
        <f t="shared" si="1"/>
        <v>2024</v>
      </c>
      <c r="U22" s="704">
        <f t="shared" si="1"/>
        <v>2025</v>
      </c>
      <c r="V22" s="704">
        <f t="shared" si="1"/>
        <v>2026</v>
      </c>
      <c r="W22" s="704">
        <f t="shared" si="1"/>
        <v>2027</v>
      </c>
      <c r="X22" s="704">
        <f t="shared" si="1"/>
        <v>2028</v>
      </c>
      <c r="Y22" s="813"/>
      <c r="Z22" s="704"/>
      <c r="AA22" s="704"/>
      <c r="AB22" s="704"/>
      <c r="AC22" s="704"/>
      <c r="AD22" s="704"/>
    </row>
    <row r="23" spans="3:30" x14ac:dyDescent="0.2">
      <c r="C23" s="701" t="s">
        <v>7</v>
      </c>
      <c r="D23" s="553">
        <f>IF(AND(D22&gt;=Assumptions!$C$41,D22&lt;=Assumptions!$C$43),1,0)</f>
        <v>0</v>
      </c>
      <c r="E23" s="553">
        <f>IF(AND(E22&gt;=Assumptions!$C$41,E22&lt;=Assumptions!$C$43),1,0)</f>
        <v>0</v>
      </c>
      <c r="F23" s="553">
        <f>IF(AND(F22&gt;=Assumptions!$C$41,F22&lt;=Assumptions!$C$43),1,0)</f>
        <v>0</v>
      </c>
      <c r="G23" s="553">
        <f>IF(AND(G22&gt;=Assumptions!$C$41,G22&lt;=Assumptions!$C$43),1,0)</f>
        <v>0</v>
      </c>
      <c r="H23" s="553">
        <f>IF(AND(H22&gt;=Assumptions!$C$41,H22&lt;=Assumptions!$C$43),1,0)</f>
        <v>0</v>
      </c>
      <c r="I23" s="553">
        <f>IF(AND(I22&gt;=Assumptions!$C$41,I22&lt;=Assumptions!$C$43),1,0)</f>
        <v>1</v>
      </c>
      <c r="J23" s="553">
        <f>IF(AND(J22&gt;=Assumptions!$C$41,J22&lt;=Assumptions!$C$43),1,0)</f>
        <v>1</v>
      </c>
      <c r="K23" s="553">
        <f>IF(AND(K22&gt;=Assumptions!$C$41,K22&lt;=Assumptions!$C$43),1,0)</f>
        <v>1</v>
      </c>
      <c r="L23" s="553">
        <f>IF(AND(L22&gt;=Assumptions!$C$41,L22&lt;=Assumptions!$C$43),1,0)</f>
        <v>1</v>
      </c>
      <c r="M23" s="553">
        <f>IF(AND(M22&gt;=Assumptions!$C$41,M22&lt;=Assumptions!$C$43),1,0)</f>
        <v>1</v>
      </c>
      <c r="N23" s="553">
        <f>IF(AND(N22&gt;=Assumptions!$C$41,N22&lt;=Assumptions!$C$43),1,0)</f>
        <v>1</v>
      </c>
      <c r="O23" s="553">
        <f>IF(AND(O22&gt;=Assumptions!$C$41,O22&lt;=Assumptions!$C$43),1,0)</f>
        <v>1</v>
      </c>
      <c r="P23" s="553">
        <f>IF(AND(P22&gt;=Assumptions!$C$41,P22&lt;=Assumptions!$C$43),1,0)</f>
        <v>1</v>
      </c>
      <c r="Q23" s="553">
        <f>IF(AND(Q22&gt;=Assumptions!$C$41,Q22&lt;=Assumptions!$C$43),1,0)</f>
        <v>1</v>
      </c>
      <c r="R23" s="553">
        <f>IF(AND(R22&gt;=Assumptions!$C$41,R22&lt;=Assumptions!$C$43),1,0)</f>
        <v>1</v>
      </c>
      <c r="S23" s="553">
        <f>IF(AND(S22&gt;=Assumptions!$C$41,S22&lt;=Assumptions!$C$43),1,0)</f>
        <v>1</v>
      </c>
      <c r="T23" s="553">
        <f>IF(AND(T22&gt;=Assumptions!$C$41,T22&lt;=Assumptions!$C$43),1,0)</f>
        <v>1</v>
      </c>
      <c r="U23" s="553">
        <f>IF(AND(U22&gt;=Assumptions!$C$41,U22&lt;=Assumptions!$C$43),1,0)</f>
        <v>1</v>
      </c>
      <c r="V23" s="553">
        <f>IF(AND(V22&gt;=Assumptions!$C$41,V22&lt;=Assumptions!$C$43),1,0)</f>
        <v>1</v>
      </c>
      <c r="W23" s="553">
        <f>IF(AND(W22&gt;=Assumptions!$C$41,W22&lt;=Assumptions!$C$43),1,0)</f>
        <v>1</v>
      </c>
      <c r="X23" s="553">
        <f>IF(AND(X22&gt;=Assumptions!$C$41,X22&lt;=Assumptions!$C$43),1,0)</f>
        <v>1</v>
      </c>
      <c r="Y23" s="814"/>
      <c r="Z23" s="553"/>
      <c r="AA23" s="553"/>
      <c r="AB23" s="553"/>
      <c r="AC23" s="553"/>
      <c r="AD23" s="553"/>
    </row>
    <row r="24" spans="3:30" x14ac:dyDescent="0.2">
      <c r="C24" s="548"/>
      <c r="D24" s="542" t="s">
        <v>587</v>
      </c>
      <c r="E24" s="707">
        <f>F24-(F24*inflation)</f>
        <v>0.66195146881599998</v>
      </c>
      <c r="F24" s="707">
        <f>G24-(G24*inflation)</f>
        <v>0.73387080800000004</v>
      </c>
      <c r="G24" s="707">
        <f>H24-(H24*inflation)</f>
        <v>0.81360399999999999</v>
      </c>
      <c r="H24" s="542">
        <f>I24-inflation</f>
        <v>0.90200000000000002</v>
      </c>
      <c r="I24" s="542">
        <v>1</v>
      </c>
      <c r="J24" s="542">
        <f>I24+inflation</f>
        <v>1.0980000000000001</v>
      </c>
      <c r="P24" s="557"/>
      <c r="Y24" s="549"/>
    </row>
    <row r="25" spans="3:30" x14ac:dyDescent="0.2">
      <c r="C25" s="703"/>
      <c r="Y25" s="549"/>
    </row>
    <row r="26" spans="3:30" x14ac:dyDescent="0.2">
      <c r="C26" s="708" t="s">
        <v>55</v>
      </c>
      <c r="Y26" s="549"/>
    </row>
    <row r="27" spans="3:30" x14ac:dyDescent="0.2">
      <c r="C27" s="709" t="s">
        <v>30</v>
      </c>
      <c r="D27" s="702">
        <v>0</v>
      </c>
      <c r="E27" s="702">
        <f>Assumptions!$C33</f>
        <v>4.0000000000000001E-3</v>
      </c>
      <c r="F27" s="702">
        <f>Assumptions!$C34</f>
        <v>2.5000000000000001E-2</v>
      </c>
      <c r="G27" s="702">
        <f>Assumptions!$C35</f>
        <v>0.26600000000000001</v>
      </c>
      <c r="H27" s="702">
        <f>Assumptions!$C36</f>
        <v>0.27700000000000002</v>
      </c>
      <c r="I27" s="702">
        <f>Assumptions!$C37</f>
        <v>0.38900000000000001</v>
      </c>
      <c r="J27" s="702">
        <f>Assumptions!$C38</f>
        <v>3.9E-2</v>
      </c>
      <c r="Y27" s="549"/>
    </row>
    <row r="28" spans="3:30" x14ac:dyDescent="0.2">
      <c r="C28" s="709" t="s">
        <v>57</v>
      </c>
      <c r="D28" s="542">
        <v>0</v>
      </c>
      <c r="E28" s="710">
        <f>E27*$AA$69/E24</f>
        <v>0.11285633594195849</v>
      </c>
      <c r="F28" s="710">
        <f t="shared" ref="F28:J28" si="2">F27*$AA$69/F24</f>
        <v>0.63622759387279093</v>
      </c>
      <c r="G28" s="710">
        <f t="shared" si="2"/>
        <v>6.1060543621234595</v>
      </c>
      <c r="H28" s="710">
        <f t="shared" si="2"/>
        <v>5.7354214533608836</v>
      </c>
      <c r="I28" s="710">
        <f t="shared" si="2"/>
        <v>7.2651018365067142</v>
      </c>
      <c r="J28" s="710">
        <f t="shared" si="2"/>
        <v>0.66336777694373472</v>
      </c>
      <c r="Y28" s="549"/>
    </row>
    <row r="29" spans="3:30" x14ac:dyDescent="0.2">
      <c r="C29" s="709" t="s">
        <v>56</v>
      </c>
      <c r="D29" s="711">
        <f>IF(D23=1,Assumptions!$C$42*$Y$69,0)</f>
        <v>0</v>
      </c>
      <c r="E29" s="711">
        <f>IF(E23=1,Assumptions!$C$42*$AA$69,0)</f>
        <v>0</v>
      </c>
      <c r="F29" s="711">
        <f>IF(F23=1,Assumptions!$C$42*$AA$69,0)</f>
        <v>0</v>
      </c>
      <c r="G29" s="711">
        <f>IF(G23=1,Assumptions!$C$42*$AA$69,0)</f>
        <v>0</v>
      </c>
      <c r="H29" s="711">
        <f>IF(H23=1,Assumptions!$C$42*$AA$69,0)</f>
        <v>0</v>
      </c>
      <c r="I29" s="711">
        <f>IF(I23=1,Assumptions!$C$42*$AA$69,0)</f>
        <v>0</v>
      </c>
      <c r="J29" s="711">
        <f>IF(J23=1,Assumptions!$C$42*$AA$69,0)</f>
        <v>0</v>
      </c>
      <c r="K29" s="711">
        <f>IF(K23=1,Assumptions!$C$42*$AA$69,0)</f>
        <v>0</v>
      </c>
      <c r="L29" s="711">
        <f>IF(L23=1,Assumptions!$C$42*$AA$69,0)</f>
        <v>0</v>
      </c>
      <c r="M29" s="711">
        <f>IF(M23=1,Assumptions!$C$42*$AA$69,0)</f>
        <v>0</v>
      </c>
      <c r="N29" s="711">
        <f>IF(N23=1,Assumptions!$C$42*$AA$69,0)</f>
        <v>0</v>
      </c>
      <c r="O29" s="711">
        <f>IF(O23=1,Assumptions!$C$42*$AA$69,0)</f>
        <v>0</v>
      </c>
      <c r="P29" s="711">
        <f>IF(P23=1,Assumptions!$C$42*$AA$69,0)</f>
        <v>0</v>
      </c>
      <c r="Q29" s="711">
        <f>IF(Q23=1,Assumptions!$C$42*$AA$69,0)</f>
        <v>0</v>
      </c>
      <c r="R29" s="711">
        <f>IF(R23=1,Assumptions!$C$42*$AA$69,0)</f>
        <v>0</v>
      </c>
      <c r="S29" s="711">
        <f>IF(S23=1,Assumptions!$C$42*$AA$69,0)</f>
        <v>0</v>
      </c>
      <c r="T29" s="711">
        <f>IF(T23=1,Assumptions!$C$42*$AA$69,0)</f>
        <v>0</v>
      </c>
      <c r="U29" s="711">
        <f>IF(U23=1,Assumptions!$C$42*$AA$69,0)</f>
        <v>0</v>
      </c>
      <c r="V29" s="711">
        <f>IF(V23=1,Assumptions!$C$42*$AA$69,0)</f>
        <v>0</v>
      </c>
      <c r="W29" s="711">
        <f>IF(W23=1,Assumptions!$C$42*$AA$69,0)</f>
        <v>0</v>
      </c>
      <c r="X29" s="711">
        <f>IF(X23=1,Assumptions!$C$42*$AA$69,0)</f>
        <v>0</v>
      </c>
      <c r="Y29" s="815"/>
      <c r="Z29" s="711"/>
      <c r="AA29" s="711"/>
      <c r="AB29" s="711"/>
      <c r="AC29" s="711"/>
      <c r="AD29" s="711"/>
    </row>
    <row r="30" spans="3:30" x14ac:dyDescent="0.2">
      <c r="C30" s="806"/>
      <c r="Y30" s="549"/>
    </row>
    <row r="31" spans="3:30" x14ac:dyDescent="0.2">
      <c r="C31" s="708" t="s">
        <v>360</v>
      </c>
      <c r="D31" s="711">
        <v>0</v>
      </c>
      <c r="E31" s="711">
        <f>E$27*Assumptions!$F$21/10^6</f>
        <v>9.0652973193596567E-3</v>
      </c>
      <c r="F31" s="711">
        <f>F$27*Assumptions!$F$21/10^6</f>
        <v>5.665810824599786E-2</v>
      </c>
      <c r="G31" s="711">
        <f>G$27*Assumptions!$F$21/10^6</f>
        <v>0.60284227173741722</v>
      </c>
      <c r="H31" s="711">
        <f>H$27*Assumptions!$F$21/10^6</f>
        <v>0.62777183936565628</v>
      </c>
      <c r="I31" s="711">
        <f>I$27*Assumptions!$F$21/10^6</f>
        <v>0.8816001643077267</v>
      </c>
      <c r="J31" s="711"/>
      <c r="K31" s="711"/>
      <c r="L31" s="711"/>
      <c r="M31" s="711"/>
      <c r="N31" s="711"/>
      <c r="O31" s="711"/>
      <c r="P31" s="711"/>
      <c r="Q31" s="711"/>
      <c r="R31" s="711"/>
      <c r="S31" s="711"/>
      <c r="T31" s="711"/>
      <c r="U31" s="711"/>
      <c r="V31" s="711"/>
      <c r="W31" s="711"/>
      <c r="X31" s="711"/>
      <c r="Y31" s="815"/>
      <c r="Z31" s="711"/>
      <c r="AA31" s="711"/>
      <c r="AB31" s="711"/>
      <c r="AC31" s="711"/>
      <c r="AD31" s="711"/>
    </row>
    <row r="32" spans="3:30" x14ac:dyDescent="0.2">
      <c r="C32" s="708" t="s">
        <v>361</v>
      </c>
      <c r="D32" s="711">
        <v>0</v>
      </c>
      <c r="E32" s="711">
        <f>E$27*Assumptions!$G$21/10^6</f>
        <v>7.3777898695086509E-3</v>
      </c>
      <c r="F32" s="711">
        <f>F$27*Assumptions!$G$21/10^6</f>
        <v>4.611118668442906E-2</v>
      </c>
      <c r="G32" s="711">
        <f>G$27*Assumptions!$G$21/10^6</f>
        <v>0.4906230263223253</v>
      </c>
      <c r="H32" s="711">
        <f>H$27*Assumptions!$G$21/10^6</f>
        <v>0.5109119484634741</v>
      </c>
      <c r="I32" s="711">
        <f>I$27*Assumptions!$G$21/10^6</f>
        <v>0.71749006480971633</v>
      </c>
      <c r="J32" s="711"/>
      <c r="K32" s="711"/>
      <c r="L32" s="711"/>
      <c r="M32" s="711"/>
      <c r="N32" s="711"/>
      <c r="O32" s="711"/>
      <c r="P32" s="711"/>
      <c r="Q32" s="711"/>
      <c r="R32" s="711"/>
      <c r="S32" s="711"/>
      <c r="T32" s="711"/>
      <c r="U32" s="711"/>
      <c r="V32" s="711"/>
      <c r="W32" s="711"/>
      <c r="X32" s="711"/>
      <c r="Y32" s="815"/>
      <c r="Z32" s="711"/>
      <c r="AA32" s="711"/>
      <c r="AB32" s="711"/>
      <c r="AC32" s="711"/>
      <c r="AD32" s="711"/>
    </row>
    <row r="33" spans="3:30" x14ac:dyDescent="0.2">
      <c r="C33" s="708" t="s">
        <v>362</v>
      </c>
      <c r="D33" s="711">
        <v>0</v>
      </c>
      <c r="E33" s="711">
        <f>Assumptions!$H$21/10^6</f>
        <v>0.17439841694786681</v>
      </c>
      <c r="F33" s="711">
        <v>0</v>
      </c>
      <c r="G33" s="711">
        <v>0</v>
      </c>
      <c r="H33" s="711">
        <v>0</v>
      </c>
      <c r="I33" s="711">
        <v>0</v>
      </c>
      <c r="J33" s="711"/>
      <c r="K33" s="711"/>
      <c r="L33" s="711"/>
      <c r="M33" s="711"/>
      <c r="N33" s="711"/>
      <c r="O33" s="711"/>
      <c r="P33" s="711"/>
      <c r="Q33" s="711"/>
      <c r="R33" s="711"/>
      <c r="S33" s="711"/>
      <c r="T33" s="711"/>
      <c r="U33" s="711"/>
      <c r="V33" s="711"/>
      <c r="W33" s="711"/>
      <c r="X33" s="711"/>
      <c r="Y33" s="815"/>
      <c r="Z33" s="711"/>
      <c r="AA33" s="711"/>
      <c r="AB33" s="711"/>
      <c r="AC33" s="711"/>
      <c r="AD33" s="711"/>
    </row>
    <row r="34" spans="3:30" x14ac:dyDescent="0.2">
      <c r="C34" s="709"/>
      <c r="D34" s="711"/>
      <c r="E34" s="711"/>
      <c r="F34" s="711"/>
      <c r="G34" s="711"/>
      <c r="H34" s="711"/>
      <c r="I34" s="711"/>
      <c r="J34" s="711"/>
      <c r="K34" s="711"/>
      <c r="L34" s="711"/>
      <c r="M34" s="711"/>
      <c r="N34" s="711"/>
      <c r="O34" s="711"/>
      <c r="P34" s="711"/>
      <c r="Q34" s="711"/>
      <c r="R34" s="711"/>
      <c r="S34" s="711"/>
      <c r="T34" s="711"/>
      <c r="U34" s="711"/>
      <c r="V34" s="711"/>
      <c r="W34" s="711"/>
      <c r="X34" s="711"/>
      <c r="Y34" s="815"/>
      <c r="Z34" s="711"/>
      <c r="AA34" s="711"/>
      <c r="AB34" s="711"/>
      <c r="AC34" s="711"/>
      <c r="AD34" s="711"/>
    </row>
    <row r="35" spans="3:30" x14ac:dyDescent="0.2">
      <c r="C35" s="708" t="s">
        <v>31</v>
      </c>
      <c r="D35" s="553"/>
      <c r="E35" s="553"/>
      <c r="Y35" s="549"/>
    </row>
    <row r="36" spans="3:30" x14ac:dyDescent="0.2">
      <c r="C36" s="709" t="s">
        <v>10</v>
      </c>
      <c r="D36" s="553">
        <f>Assumptions!F48</f>
        <v>655.42500000000007</v>
      </c>
      <c r="E36" s="553">
        <f>D36</f>
        <v>655.42500000000007</v>
      </c>
      <c r="F36" s="553">
        <f t="shared" ref="F36:X39" si="3">E36</f>
        <v>655.42500000000007</v>
      </c>
      <c r="G36" s="553">
        <f t="shared" si="3"/>
        <v>655.42500000000007</v>
      </c>
      <c r="H36" s="553">
        <f t="shared" si="3"/>
        <v>655.42500000000007</v>
      </c>
      <c r="I36" s="553">
        <f t="shared" si="3"/>
        <v>655.42500000000007</v>
      </c>
      <c r="J36" s="553">
        <f t="shared" si="3"/>
        <v>655.42500000000007</v>
      </c>
      <c r="K36" s="553">
        <f t="shared" si="3"/>
        <v>655.42500000000007</v>
      </c>
      <c r="L36" s="553">
        <f t="shared" si="3"/>
        <v>655.42500000000007</v>
      </c>
      <c r="M36" s="553">
        <f t="shared" si="3"/>
        <v>655.42500000000007</v>
      </c>
      <c r="N36" s="553">
        <f t="shared" si="3"/>
        <v>655.42500000000007</v>
      </c>
      <c r="O36" s="553">
        <f t="shared" si="3"/>
        <v>655.42500000000007</v>
      </c>
      <c r="P36" s="553">
        <f t="shared" si="3"/>
        <v>655.42500000000007</v>
      </c>
      <c r="Q36" s="553">
        <f t="shared" si="3"/>
        <v>655.42500000000007</v>
      </c>
      <c r="R36" s="553">
        <f t="shared" si="3"/>
        <v>655.42500000000007</v>
      </c>
      <c r="S36" s="553">
        <f t="shared" si="3"/>
        <v>655.42500000000007</v>
      </c>
      <c r="T36" s="553">
        <f t="shared" si="3"/>
        <v>655.42500000000007</v>
      </c>
      <c r="U36" s="553">
        <f t="shared" si="3"/>
        <v>655.42500000000007</v>
      </c>
      <c r="V36" s="553">
        <f t="shared" si="3"/>
        <v>655.42500000000007</v>
      </c>
      <c r="W36" s="553">
        <f t="shared" si="3"/>
        <v>655.42500000000007</v>
      </c>
      <c r="X36" s="553">
        <f t="shared" si="3"/>
        <v>655.42500000000007</v>
      </c>
      <c r="Y36" s="814"/>
      <c r="Z36" s="553"/>
      <c r="AA36" s="553"/>
      <c r="AB36" s="553"/>
      <c r="AC36" s="553"/>
      <c r="AD36" s="553"/>
    </row>
    <row r="37" spans="3:30" x14ac:dyDescent="0.2">
      <c r="C37" s="709" t="s">
        <v>44</v>
      </c>
      <c r="D37" s="553">
        <f>Assumptions!F49</f>
        <v>296.7</v>
      </c>
      <c r="E37" s="553">
        <f>D37</f>
        <v>296.7</v>
      </c>
      <c r="F37" s="553">
        <f t="shared" si="3"/>
        <v>296.7</v>
      </c>
      <c r="G37" s="553">
        <f t="shared" si="3"/>
        <v>296.7</v>
      </c>
      <c r="H37" s="553">
        <f t="shared" si="3"/>
        <v>296.7</v>
      </c>
      <c r="I37" s="553">
        <f t="shared" si="3"/>
        <v>296.7</v>
      </c>
      <c r="J37" s="553">
        <f t="shared" si="3"/>
        <v>296.7</v>
      </c>
      <c r="K37" s="553">
        <f t="shared" si="3"/>
        <v>296.7</v>
      </c>
      <c r="L37" s="553">
        <f t="shared" si="3"/>
        <v>296.7</v>
      </c>
      <c r="M37" s="553">
        <f t="shared" si="3"/>
        <v>296.7</v>
      </c>
      <c r="N37" s="553">
        <f t="shared" si="3"/>
        <v>296.7</v>
      </c>
      <c r="O37" s="553">
        <f t="shared" si="3"/>
        <v>296.7</v>
      </c>
      <c r="P37" s="553">
        <f t="shared" si="3"/>
        <v>296.7</v>
      </c>
      <c r="Q37" s="553">
        <f t="shared" si="3"/>
        <v>296.7</v>
      </c>
      <c r="R37" s="553">
        <f t="shared" si="3"/>
        <v>296.7</v>
      </c>
      <c r="S37" s="553">
        <f t="shared" si="3"/>
        <v>296.7</v>
      </c>
      <c r="T37" s="553">
        <f t="shared" si="3"/>
        <v>296.7</v>
      </c>
      <c r="U37" s="553">
        <f t="shared" si="3"/>
        <v>296.7</v>
      </c>
      <c r="V37" s="553">
        <f t="shared" si="3"/>
        <v>296.7</v>
      </c>
      <c r="W37" s="553">
        <f t="shared" si="3"/>
        <v>296.7</v>
      </c>
      <c r="X37" s="553">
        <f t="shared" si="3"/>
        <v>296.7</v>
      </c>
      <c r="Y37" s="814"/>
      <c r="Z37" s="553"/>
      <c r="AA37" s="553"/>
      <c r="AB37" s="553"/>
      <c r="AC37" s="553"/>
      <c r="AD37" s="553"/>
    </row>
    <row r="38" spans="3:30" x14ac:dyDescent="0.2">
      <c r="C38" s="709" t="s">
        <v>45</v>
      </c>
      <c r="D38" s="553">
        <f>Assumptions!F50</f>
        <v>407.25</v>
      </c>
      <c r="E38" s="553">
        <f>D38</f>
        <v>407.25</v>
      </c>
      <c r="F38" s="553">
        <f t="shared" si="3"/>
        <v>407.25</v>
      </c>
      <c r="G38" s="553">
        <f t="shared" si="3"/>
        <v>407.25</v>
      </c>
      <c r="H38" s="553">
        <f t="shared" si="3"/>
        <v>407.25</v>
      </c>
      <c r="I38" s="553">
        <f t="shared" si="3"/>
        <v>407.25</v>
      </c>
      <c r="J38" s="553">
        <f t="shared" si="3"/>
        <v>407.25</v>
      </c>
      <c r="K38" s="553">
        <f t="shared" si="3"/>
        <v>407.25</v>
      </c>
      <c r="L38" s="553">
        <f t="shared" si="3"/>
        <v>407.25</v>
      </c>
      <c r="M38" s="553">
        <f t="shared" si="3"/>
        <v>407.25</v>
      </c>
      <c r="N38" s="553">
        <f t="shared" si="3"/>
        <v>407.25</v>
      </c>
      <c r="O38" s="553">
        <f t="shared" si="3"/>
        <v>407.25</v>
      </c>
      <c r="P38" s="553">
        <f t="shared" si="3"/>
        <v>407.25</v>
      </c>
      <c r="Q38" s="553">
        <f t="shared" si="3"/>
        <v>407.25</v>
      </c>
      <c r="R38" s="553">
        <f t="shared" si="3"/>
        <v>407.25</v>
      </c>
      <c r="S38" s="553">
        <f t="shared" si="3"/>
        <v>407.25</v>
      </c>
      <c r="T38" s="553">
        <f t="shared" si="3"/>
        <v>407.25</v>
      </c>
      <c r="U38" s="553">
        <f t="shared" si="3"/>
        <v>407.25</v>
      </c>
      <c r="V38" s="553">
        <f t="shared" si="3"/>
        <v>407.25</v>
      </c>
      <c r="W38" s="553">
        <f t="shared" si="3"/>
        <v>407.25</v>
      </c>
      <c r="X38" s="553">
        <f t="shared" si="3"/>
        <v>407.25</v>
      </c>
      <c r="Y38" s="814"/>
      <c r="Z38" s="553"/>
      <c r="AA38" s="553"/>
      <c r="AB38" s="553"/>
      <c r="AC38" s="553"/>
      <c r="AD38" s="553"/>
    </row>
    <row r="39" spans="3:30" x14ac:dyDescent="0.2">
      <c r="C39" s="712" t="s">
        <v>162</v>
      </c>
      <c r="D39" s="553">
        <f>Assumptions!F51</f>
        <v>400</v>
      </c>
      <c r="E39" s="553">
        <f>D39</f>
        <v>400</v>
      </c>
      <c r="F39" s="553">
        <f t="shared" si="3"/>
        <v>400</v>
      </c>
      <c r="G39" s="553">
        <f t="shared" si="3"/>
        <v>400</v>
      </c>
      <c r="H39" s="553">
        <f t="shared" si="3"/>
        <v>400</v>
      </c>
      <c r="I39" s="553">
        <f t="shared" si="3"/>
        <v>400</v>
      </c>
      <c r="J39" s="553">
        <f t="shared" si="3"/>
        <v>400</v>
      </c>
      <c r="K39" s="553">
        <f t="shared" si="3"/>
        <v>400</v>
      </c>
      <c r="L39" s="553">
        <f t="shared" si="3"/>
        <v>400</v>
      </c>
      <c r="M39" s="553">
        <f t="shared" si="3"/>
        <v>400</v>
      </c>
      <c r="N39" s="553">
        <f t="shared" si="3"/>
        <v>400</v>
      </c>
      <c r="O39" s="553">
        <f t="shared" si="3"/>
        <v>400</v>
      </c>
      <c r="P39" s="553">
        <f t="shared" si="3"/>
        <v>400</v>
      </c>
      <c r="Q39" s="553">
        <f t="shared" si="3"/>
        <v>400</v>
      </c>
      <c r="R39" s="553">
        <f t="shared" si="3"/>
        <v>400</v>
      </c>
      <c r="S39" s="553">
        <f t="shared" si="3"/>
        <v>400</v>
      </c>
      <c r="T39" s="553">
        <f t="shared" si="3"/>
        <v>400</v>
      </c>
      <c r="U39" s="553">
        <f t="shared" si="3"/>
        <v>400</v>
      </c>
      <c r="V39" s="553">
        <f t="shared" si="3"/>
        <v>400</v>
      </c>
      <c r="W39" s="553">
        <f t="shared" si="3"/>
        <v>400</v>
      </c>
      <c r="X39" s="553">
        <f t="shared" si="3"/>
        <v>400</v>
      </c>
      <c r="Y39" s="814"/>
      <c r="Z39" s="553"/>
      <c r="AA39" s="553"/>
      <c r="AB39" s="553"/>
      <c r="AC39" s="553"/>
      <c r="AD39" s="553"/>
    </row>
    <row r="40" spans="3:30" x14ac:dyDescent="0.2">
      <c r="C40" s="712"/>
      <c r="D40" s="553"/>
      <c r="E40" s="553"/>
      <c r="F40" s="553"/>
      <c r="G40" s="553"/>
      <c r="H40" s="553"/>
      <c r="I40" s="553"/>
      <c r="J40" s="553"/>
      <c r="K40" s="553"/>
      <c r="L40" s="553"/>
      <c r="M40" s="553"/>
      <c r="N40" s="553"/>
      <c r="O40" s="553"/>
      <c r="P40" s="553"/>
      <c r="Q40" s="553"/>
      <c r="R40" s="553"/>
      <c r="S40" s="553"/>
      <c r="T40" s="553"/>
      <c r="U40" s="553"/>
      <c r="V40" s="553"/>
      <c r="W40" s="553"/>
      <c r="X40" s="553"/>
      <c r="Y40" s="814"/>
      <c r="Z40" s="553"/>
      <c r="AA40" s="553"/>
      <c r="AB40" s="553"/>
      <c r="AC40" s="553"/>
      <c r="AD40" s="553"/>
    </row>
    <row r="41" spans="3:30" x14ac:dyDescent="0.2">
      <c r="C41" s="708" t="s">
        <v>28</v>
      </c>
      <c r="D41" s="553"/>
      <c r="E41" s="553"/>
      <c r="F41" s="553"/>
      <c r="G41" s="553"/>
      <c r="H41" s="553"/>
      <c r="I41" s="553"/>
      <c r="Y41" s="549"/>
    </row>
    <row r="42" spans="3:30" x14ac:dyDescent="0.2">
      <c r="C42" s="709" t="s">
        <v>10</v>
      </c>
      <c r="D42" s="553">
        <f>D77*D36*0.001</f>
        <v>0</v>
      </c>
      <c r="E42" s="553">
        <f t="shared" ref="E42:E44" si="4">(E77-D77)*E36*0.001</f>
        <v>0</v>
      </c>
      <c r="F42" s="553">
        <f t="shared" ref="F42:F44" si="5">(F77-E77)*F36*0.001</f>
        <v>0</v>
      </c>
      <c r="G42" s="553">
        <f t="shared" ref="G42:G44" si="6">(G77-F77)*G36*0.001</f>
        <v>0</v>
      </c>
      <c r="H42" s="553">
        <f t="shared" ref="H42:H44" si="7">(H77-G77)*H36*0.001</f>
        <v>0</v>
      </c>
      <c r="I42" s="553">
        <f t="shared" ref="I42:X42" si="8">(I77-H77)*I36*0.001</f>
        <v>73.754975250000001</v>
      </c>
      <c r="J42" s="553">
        <f t="shared" si="8"/>
        <v>80.577310460624986</v>
      </c>
      <c r="K42" s="553">
        <f t="shared" si="8"/>
        <v>21.09207904711872</v>
      </c>
      <c r="L42" s="553">
        <f t="shared" si="8"/>
        <v>4.0347603894280857</v>
      </c>
      <c r="M42" s="553">
        <f t="shared" si="8"/>
        <v>4.1275598783849379</v>
      </c>
      <c r="N42" s="553">
        <f t="shared" si="8"/>
        <v>4.2224937555878315</v>
      </c>
      <c r="O42" s="553">
        <f t="shared" si="8"/>
        <v>4.3196111119662719</v>
      </c>
      <c r="P42" s="553">
        <f t="shared" si="8"/>
        <v>4.4189621675415109</v>
      </c>
      <c r="Q42" s="553">
        <f t="shared" si="8"/>
        <v>4.5205982973949945</v>
      </c>
      <c r="R42" s="553">
        <f t="shared" si="8"/>
        <v>4.624572058235068</v>
      </c>
      <c r="S42" s="553">
        <f t="shared" si="8"/>
        <v>4.7309372155744791</v>
      </c>
      <c r="T42" s="553">
        <f t="shared" si="8"/>
        <v>4.8397487715326974</v>
      </c>
      <c r="U42" s="553">
        <f t="shared" si="8"/>
        <v>4.9510629932779411</v>
      </c>
      <c r="V42" s="553">
        <f t="shared" si="8"/>
        <v>5.0649374421233508</v>
      </c>
      <c r="W42" s="553">
        <f t="shared" si="8"/>
        <v>5.181431003292138</v>
      </c>
      <c r="X42" s="553">
        <f t="shared" si="8"/>
        <v>5.3006039163678897</v>
      </c>
      <c r="Y42" s="814"/>
      <c r="Z42" s="553"/>
      <c r="AA42" s="553"/>
      <c r="AB42" s="553"/>
      <c r="AC42" s="553"/>
      <c r="AD42" s="553"/>
    </row>
    <row r="43" spans="3:30" x14ac:dyDescent="0.2">
      <c r="C43" s="709" t="s">
        <v>44</v>
      </c>
      <c r="D43" s="553">
        <v>0</v>
      </c>
      <c r="E43" s="553">
        <f t="shared" si="4"/>
        <v>0</v>
      </c>
      <c r="F43" s="553">
        <f t="shared" si="5"/>
        <v>0</v>
      </c>
      <c r="G43" s="553">
        <f t="shared" si="6"/>
        <v>0</v>
      </c>
      <c r="H43" s="553">
        <f t="shared" si="7"/>
        <v>0</v>
      </c>
      <c r="I43" s="553">
        <f t="shared" ref="I43:X43" si="9">(I78-H78)*I37*0.001</f>
        <v>93.485422799999981</v>
      </c>
      <c r="J43" s="553">
        <f t="shared" si="9"/>
        <v>102.13282440899998</v>
      </c>
      <c r="K43" s="553">
        <f t="shared" si="9"/>
        <v>26.734493785229965</v>
      </c>
      <c r="L43" s="553">
        <f t="shared" si="9"/>
        <v>5.1141130428672765</v>
      </c>
      <c r="M43" s="553">
        <f t="shared" si="9"/>
        <v>5.2317376428531919</v>
      </c>
      <c r="N43" s="553">
        <f t="shared" si="9"/>
        <v>5.3520676086388734</v>
      </c>
      <c r="O43" s="553">
        <f t="shared" si="9"/>
        <v>5.4751651636375138</v>
      </c>
      <c r="P43" s="553">
        <f t="shared" si="9"/>
        <v>5.6010939624011744</v>
      </c>
      <c r="Q43" s="553">
        <f t="shared" si="9"/>
        <v>5.7299191235364306</v>
      </c>
      <c r="R43" s="553">
        <f t="shared" si="9"/>
        <v>5.861707263377741</v>
      </c>
      <c r="S43" s="553">
        <f t="shared" si="9"/>
        <v>5.996526530435454</v>
      </c>
      <c r="T43" s="553">
        <f t="shared" si="9"/>
        <v>6.1344466406354758</v>
      </c>
      <c r="U43" s="553">
        <f t="shared" si="9"/>
        <v>6.2755389133700623</v>
      </c>
      <c r="V43" s="553">
        <f t="shared" si="9"/>
        <v>6.4198763083776154</v>
      </c>
      <c r="W43" s="553">
        <f t="shared" si="9"/>
        <v>6.5675334634702107</v>
      </c>
      <c r="X43" s="553">
        <f t="shared" si="9"/>
        <v>6.7185867331300884</v>
      </c>
      <c r="Y43" s="814"/>
      <c r="Z43" s="553"/>
      <c r="AA43" s="553"/>
      <c r="AB43" s="553"/>
      <c r="AC43" s="553"/>
      <c r="AD43" s="553"/>
    </row>
    <row r="44" spans="3:30" x14ac:dyDescent="0.2">
      <c r="C44" s="709" t="s">
        <v>45</v>
      </c>
      <c r="D44" s="553">
        <v>0</v>
      </c>
      <c r="E44" s="553">
        <f t="shared" si="4"/>
        <v>0</v>
      </c>
      <c r="F44" s="553">
        <f t="shared" si="5"/>
        <v>0</v>
      </c>
      <c r="G44" s="553">
        <f t="shared" si="6"/>
        <v>0</v>
      </c>
      <c r="H44" s="553">
        <f t="shared" si="7"/>
        <v>0</v>
      </c>
      <c r="I44" s="553">
        <f t="shared" ref="I44:X44" si="10">(I79-H79)*I38*0.001</f>
        <v>185.71221734402701</v>
      </c>
      <c r="J44" s="553">
        <f t="shared" si="10"/>
        <v>202.89059744834947</v>
      </c>
      <c r="K44" s="553">
        <f t="shared" si="10"/>
        <v>53.109051354958119</v>
      </c>
      <c r="L44" s="553">
        <f t="shared" si="10"/>
        <v>10.159372921388622</v>
      </c>
      <c r="M44" s="553">
        <f t="shared" si="10"/>
        <v>10.393038498580573</v>
      </c>
      <c r="N44" s="553">
        <f t="shared" si="10"/>
        <v>10.632078384048002</v>
      </c>
      <c r="O44" s="553">
        <f t="shared" si="10"/>
        <v>10.876616186880936</v>
      </c>
      <c r="P44" s="553">
        <f t="shared" si="10"/>
        <v>11.126778359179367</v>
      </c>
      <c r="Q44" s="553">
        <f t="shared" si="10"/>
        <v>11.382694261440447</v>
      </c>
      <c r="R44" s="553">
        <f t="shared" si="10"/>
        <v>11.644496229453539</v>
      </c>
      <c r="S44" s="553">
        <f t="shared" si="10"/>
        <v>11.912319642731024</v>
      </c>
      <c r="T44" s="553">
        <f t="shared" si="10"/>
        <v>12.186302994513808</v>
      </c>
      <c r="U44" s="553">
        <f t="shared" si="10"/>
        <v>12.466587963387587</v>
      </c>
      <c r="V44" s="553">
        <f t="shared" si="10"/>
        <v>12.753319486545577</v>
      </c>
      <c r="W44" s="553">
        <f t="shared" si="10"/>
        <v>13.046645834735999</v>
      </c>
      <c r="X44" s="553">
        <f t="shared" si="10"/>
        <v>13.346718688934994</v>
      </c>
      <c r="Y44" s="814"/>
      <c r="Z44" s="553"/>
      <c r="AA44" s="553"/>
      <c r="AB44" s="553"/>
      <c r="AC44" s="553"/>
      <c r="AD44" s="553"/>
    </row>
    <row r="45" spans="3:30" x14ac:dyDescent="0.2">
      <c r="C45" s="712" t="s">
        <v>162</v>
      </c>
      <c r="D45" s="553">
        <v>0</v>
      </c>
      <c r="E45" s="553">
        <f t="shared" ref="E45" si="11">(E81-D81)*E39*0.001</f>
        <v>0</v>
      </c>
      <c r="F45" s="553">
        <f t="shared" ref="F45" si="12">(F81-E81)*F39*0.001</f>
        <v>0</v>
      </c>
      <c r="G45" s="553">
        <f t="shared" ref="G45" si="13">(G81-F81)*G39*0.001</f>
        <v>0</v>
      </c>
      <c r="H45" s="553">
        <f t="shared" ref="H45" si="14">(H81-G81)*H39*0.001</f>
        <v>0</v>
      </c>
      <c r="I45" s="553">
        <f t="shared" ref="I45:X45" si="15">(I81-H81)*I39*0.001</f>
        <v>435.96959999999962</v>
      </c>
      <c r="J45" s="553">
        <f t="shared" si="15"/>
        <v>10.027300799998921</v>
      </c>
      <c r="K45" s="553">
        <f t="shared" si="15"/>
        <v>10.257928718399489</v>
      </c>
      <c r="L45" s="553">
        <f t="shared" si="15"/>
        <v>10.493861078922055</v>
      </c>
      <c r="M45" s="553">
        <f t="shared" si="15"/>
        <v>10.735219883738319</v>
      </c>
      <c r="N45" s="553">
        <f t="shared" si="15"/>
        <v>10.982129941065796</v>
      </c>
      <c r="O45" s="553">
        <f t="shared" si="15"/>
        <v>11.234718929708469</v>
      </c>
      <c r="P45" s="553">
        <f t="shared" si="15"/>
        <v>11.493117465093382</v>
      </c>
      <c r="Q45" s="553">
        <f t="shared" si="15"/>
        <v>11.757459166788612</v>
      </c>
      <c r="R45" s="553">
        <f t="shared" si="15"/>
        <v>12.02788072762487</v>
      </c>
      <c r="S45" s="553">
        <f t="shared" si="15"/>
        <v>12.304521984359599</v>
      </c>
      <c r="T45" s="553">
        <f t="shared" si="15"/>
        <v>12.587525990002906</v>
      </c>
      <c r="U45" s="553">
        <f t="shared" si="15"/>
        <v>12.87703908777039</v>
      </c>
      <c r="V45" s="553">
        <f t="shared" si="15"/>
        <v>13.173210986790947</v>
      </c>
      <c r="W45" s="553">
        <f t="shared" si="15"/>
        <v>13.476194839485107</v>
      </c>
      <c r="X45" s="553">
        <f t="shared" si="15"/>
        <v>13.786147320794408</v>
      </c>
      <c r="Y45" s="814"/>
      <c r="Z45" s="553"/>
      <c r="AA45" s="553"/>
      <c r="AB45" s="553"/>
      <c r="AC45" s="553"/>
      <c r="AD45" s="553"/>
    </row>
    <row r="46" spans="3:30" x14ac:dyDescent="0.2">
      <c r="C46" s="713" t="s">
        <v>32</v>
      </c>
      <c r="D46" s="554">
        <f>SUM(D42:D44)*0.001</f>
        <v>0</v>
      </c>
      <c r="E46" s="554">
        <f>SUM(E42:E44)*0.001</f>
        <v>0</v>
      </c>
      <c r="F46" s="554">
        <f>SUM(F42:F44)*0.001</f>
        <v>0</v>
      </c>
      <c r="G46" s="554">
        <f>SUM(G42:G44)*0.001</f>
        <v>0</v>
      </c>
      <c r="H46" s="554">
        <f>SUM(H42:H44)*0.001</f>
        <v>0</v>
      </c>
      <c r="I46" s="554">
        <f>SUM(I42:I45)*0.001</f>
        <v>0.78892221539402663</v>
      </c>
      <c r="J46" s="554">
        <f t="shared" ref="J46:X46" si="16">SUM(J42:J45)*0.001</f>
        <v>0.39562803311797334</v>
      </c>
      <c r="K46" s="554">
        <f t="shared" si="16"/>
        <v>0.1111935529057063</v>
      </c>
      <c r="L46" s="554">
        <f t="shared" si="16"/>
        <v>2.9802107432606039E-2</v>
      </c>
      <c r="M46" s="554">
        <f t="shared" si="16"/>
        <v>3.0487555903557024E-2</v>
      </c>
      <c r="N46" s="554">
        <f t="shared" si="16"/>
        <v>3.1188769689340503E-2</v>
      </c>
      <c r="O46" s="554">
        <f t="shared" si="16"/>
        <v>3.1906111392193189E-2</v>
      </c>
      <c r="P46" s="554">
        <f t="shared" si="16"/>
        <v>3.2639951954215436E-2</v>
      </c>
      <c r="Q46" s="554">
        <f t="shared" si="16"/>
        <v>3.3390670849160489E-2</v>
      </c>
      <c r="R46" s="554">
        <f t="shared" si="16"/>
        <v>3.4158656278691218E-2</v>
      </c>
      <c r="S46" s="554">
        <f t="shared" si="16"/>
        <v>3.4944305373100559E-2</v>
      </c>
      <c r="T46" s="554">
        <f t="shared" si="16"/>
        <v>3.5748024396684883E-2</v>
      </c>
      <c r="U46" s="554">
        <f t="shared" si="16"/>
        <v>3.6570228957805984E-2</v>
      </c>
      <c r="V46" s="554">
        <f t="shared" si="16"/>
        <v>3.7411344223837489E-2</v>
      </c>
      <c r="W46" s="554">
        <f t="shared" si="16"/>
        <v>3.827180514098346E-2</v>
      </c>
      <c r="X46" s="554">
        <f t="shared" si="16"/>
        <v>3.9152056659227379E-2</v>
      </c>
      <c r="Y46" s="816"/>
      <c r="Z46" s="554"/>
      <c r="AA46" s="554"/>
      <c r="AB46" s="554"/>
      <c r="AC46" s="554"/>
      <c r="AD46" s="554"/>
    </row>
    <row r="47" spans="3:30" x14ac:dyDescent="0.2">
      <c r="C47" s="807"/>
      <c r="Y47" s="549"/>
    </row>
    <row r="48" spans="3:30" x14ac:dyDescent="0.2">
      <c r="C48" s="708" t="s">
        <v>58</v>
      </c>
      <c r="Y48" s="549"/>
    </row>
    <row r="49" spans="3:31" x14ac:dyDescent="0.2">
      <c r="C49" s="709" t="s">
        <v>59</v>
      </c>
      <c r="D49" s="707">
        <f>LRMC_energy</f>
        <v>0.21552001999999995</v>
      </c>
      <c r="E49" s="707">
        <f>D49</f>
        <v>0.21552001999999995</v>
      </c>
      <c r="F49" s="707">
        <f t="shared" ref="F49:U49" si="17">E49</f>
        <v>0.21552001999999995</v>
      </c>
      <c r="G49" s="707">
        <f t="shared" si="17"/>
        <v>0.21552001999999995</v>
      </c>
      <c r="H49" s="707">
        <f t="shared" si="17"/>
        <v>0.21552001999999995</v>
      </c>
      <c r="I49" s="707">
        <f t="shared" si="17"/>
        <v>0.21552001999999995</v>
      </c>
      <c r="J49" s="707">
        <f t="shared" si="17"/>
        <v>0.21552001999999995</v>
      </c>
      <c r="K49" s="707">
        <f t="shared" si="17"/>
        <v>0.21552001999999995</v>
      </c>
      <c r="L49" s="707">
        <f t="shared" si="17"/>
        <v>0.21552001999999995</v>
      </c>
      <c r="M49" s="707">
        <f t="shared" si="17"/>
        <v>0.21552001999999995</v>
      </c>
      <c r="N49" s="707">
        <f t="shared" si="17"/>
        <v>0.21552001999999995</v>
      </c>
      <c r="O49" s="707">
        <f t="shared" si="17"/>
        <v>0.21552001999999995</v>
      </c>
      <c r="P49" s="707">
        <f t="shared" si="17"/>
        <v>0.21552001999999995</v>
      </c>
      <c r="Q49" s="707">
        <f t="shared" si="17"/>
        <v>0.21552001999999995</v>
      </c>
      <c r="R49" s="707">
        <f t="shared" si="17"/>
        <v>0.21552001999999995</v>
      </c>
      <c r="S49" s="707">
        <f t="shared" si="17"/>
        <v>0.21552001999999995</v>
      </c>
      <c r="T49" s="707">
        <f t="shared" si="17"/>
        <v>0.21552001999999995</v>
      </c>
      <c r="U49" s="707">
        <f t="shared" si="17"/>
        <v>0.21552001999999995</v>
      </c>
      <c r="V49" s="707">
        <f t="shared" ref="V49:X49" si="18">U49</f>
        <v>0.21552001999999995</v>
      </c>
      <c r="W49" s="707">
        <f t="shared" si="18"/>
        <v>0.21552001999999995</v>
      </c>
      <c r="X49" s="707">
        <f t="shared" si="18"/>
        <v>0.21552001999999995</v>
      </c>
      <c r="Y49" s="817"/>
      <c r="Z49" s="707"/>
      <c r="AA49" s="707"/>
      <c r="AB49" s="707"/>
      <c r="AC49" s="707"/>
      <c r="AD49" s="707"/>
    </row>
    <row r="50" spans="3:31" x14ac:dyDescent="0.2">
      <c r="C50" s="709" t="s">
        <v>61</v>
      </c>
      <c r="D50" s="539">
        <v>0</v>
      </c>
      <c r="E50" s="539">
        <v>0</v>
      </c>
      <c r="F50" s="539">
        <v>0</v>
      </c>
      <c r="G50" s="539">
        <v>0</v>
      </c>
      <c r="H50" s="539">
        <v>0</v>
      </c>
      <c r="I50" s="539">
        <v>0</v>
      </c>
      <c r="J50" s="539">
        <v>0</v>
      </c>
      <c r="K50" s="539">
        <v>0</v>
      </c>
      <c r="L50" s="539">
        <v>0</v>
      </c>
      <c r="M50" s="539">
        <v>0</v>
      </c>
      <c r="N50" s="539">
        <v>0</v>
      </c>
      <c r="O50" s="539">
        <v>0</v>
      </c>
      <c r="P50" s="539">
        <v>0</v>
      </c>
      <c r="Q50" s="539">
        <v>0</v>
      </c>
      <c r="R50" s="539">
        <v>0</v>
      </c>
      <c r="S50" s="539">
        <v>0</v>
      </c>
      <c r="T50" s="539">
        <v>0</v>
      </c>
      <c r="U50" s="539">
        <v>0</v>
      </c>
      <c r="V50" s="539">
        <v>0</v>
      </c>
      <c r="W50" s="539">
        <v>0</v>
      </c>
      <c r="X50" s="539">
        <v>0</v>
      </c>
      <c r="Y50" s="818"/>
      <c r="Z50" s="539"/>
      <c r="AA50" s="539"/>
      <c r="AB50" s="539"/>
      <c r="AC50" s="539"/>
      <c r="AD50" s="539"/>
    </row>
    <row r="51" spans="3:31" x14ac:dyDescent="0.2">
      <c r="C51" s="709" t="s">
        <v>62</v>
      </c>
      <c r="D51" s="539">
        <v>0</v>
      </c>
      <c r="E51" s="539">
        <v>0</v>
      </c>
      <c r="F51" s="539">
        <v>0</v>
      </c>
      <c r="G51" s="539">
        <v>0</v>
      </c>
      <c r="H51" s="539">
        <v>0</v>
      </c>
      <c r="I51" s="539">
        <v>0</v>
      </c>
      <c r="J51" s="539">
        <v>0</v>
      </c>
      <c r="K51" s="539">
        <v>0</v>
      </c>
      <c r="L51" s="539">
        <v>0</v>
      </c>
      <c r="M51" s="539">
        <v>0</v>
      </c>
      <c r="N51" s="539">
        <v>0</v>
      </c>
      <c r="O51" s="539">
        <v>0</v>
      </c>
      <c r="P51" s="539">
        <v>0</v>
      </c>
      <c r="Q51" s="539">
        <v>0</v>
      </c>
      <c r="R51" s="539">
        <v>0</v>
      </c>
      <c r="S51" s="539">
        <v>0</v>
      </c>
      <c r="T51" s="539">
        <v>0</v>
      </c>
      <c r="U51" s="539">
        <v>0</v>
      </c>
      <c r="V51" s="539">
        <v>0</v>
      </c>
      <c r="W51" s="539">
        <v>0</v>
      </c>
      <c r="X51" s="539">
        <v>0</v>
      </c>
      <c r="Y51" s="818"/>
      <c r="Z51" s="539"/>
      <c r="AA51" s="539"/>
      <c r="AB51" s="539"/>
      <c r="AC51" s="539"/>
      <c r="AD51" s="539"/>
    </row>
    <row r="52" spans="3:31" x14ac:dyDescent="0.2">
      <c r="C52" s="713" t="s">
        <v>60</v>
      </c>
      <c r="D52" s="558">
        <f t="shared" ref="D52:H52" si="19">IF(D23=1,(D49*D117*(1+D50)*(1+D51)),0)</f>
        <v>0</v>
      </c>
      <c r="E52" s="558">
        <f t="shared" si="19"/>
        <v>0</v>
      </c>
      <c r="F52" s="558">
        <f t="shared" si="19"/>
        <v>0</v>
      </c>
      <c r="G52" s="558">
        <f t="shared" si="19"/>
        <v>0</v>
      </c>
      <c r="H52" s="558">
        <f t="shared" si="19"/>
        <v>0</v>
      </c>
      <c r="I52" s="558">
        <f>IF(I23=1,(I49*I117*(1+I50)*(1+I51)),0)</f>
        <v>0.61199355724708071</v>
      </c>
      <c r="J52" s="558">
        <f t="shared" ref="J52:X52" si="20">IF(J23=1,(J49*J117*(1+J50)*(1+J51)),0)</f>
        <v>1.2934024837249116</v>
      </c>
      <c r="K52" s="558">
        <f t="shared" si="20"/>
        <v>1.4848691647323224</v>
      </c>
      <c r="L52" s="558">
        <f t="shared" si="20"/>
        <v>1.5342113670763773</v>
      </c>
      <c r="M52" s="558">
        <f t="shared" si="20"/>
        <v>1.585193210804325</v>
      </c>
      <c r="N52" s="558">
        <f t="shared" si="20"/>
        <v>1.6378691811993531</v>
      </c>
      <c r="O52" s="558">
        <f t="shared" si="20"/>
        <v>1.6922955740906072</v>
      </c>
      <c r="P52" s="558">
        <f t="shared" si="20"/>
        <v>1.7485305560176378</v>
      </c>
      <c r="Q52" s="558">
        <f t="shared" si="20"/>
        <v>1.806634226394104</v>
      </c>
      <c r="R52" s="558">
        <f t="shared" si="20"/>
        <v>1.86666868173718</v>
      </c>
      <c r="S52" s="558">
        <f t="shared" si="20"/>
        <v>1.9286980820313055</v>
      </c>
      <c r="T52" s="558">
        <f t="shared" si="20"/>
        <v>1.992788719297206</v>
      </c>
      <c r="U52" s="558">
        <f t="shared" si="20"/>
        <v>2.0590090884394519</v>
      </c>
      <c r="V52" s="558">
        <f t="shared" si="20"/>
        <v>2.1274299604482954</v>
      </c>
      <c r="W52" s="558">
        <f t="shared" si="20"/>
        <v>2.1981244580339907</v>
      </c>
      <c r="X52" s="558">
        <f t="shared" si="20"/>
        <v>2.2711681337744611</v>
      </c>
      <c r="Y52" s="808"/>
      <c r="Z52" s="558"/>
      <c r="AA52" s="558"/>
      <c r="AB52" s="558"/>
      <c r="AC52" s="558"/>
      <c r="AD52" s="558"/>
      <c r="AE52" s="558"/>
    </row>
    <row r="53" spans="3:31" x14ac:dyDescent="0.2">
      <c r="C53" s="703"/>
      <c r="H53" s="714"/>
      <c r="Y53" s="549"/>
    </row>
    <row r="54" spans="3:31" x14ac:dyDescent="0.2">
      <c r="C54" s="708" t="s">
        <v>77</v>
      </c>
      <c r="D54" s="553"/>
      <c r="E54" s="553"/>
      <c r="Y54" s="549"/>
    </row>
    <row r="55" spans="3:31" x14ac:dyDescent="0.2">
      <c r="C55" s="713" t="s">
        <v>352</v>
      </c>
      <c r="D55" s="711">
        <v>0</v>
      </c>
      <c r="E55" s="711">
        <f>Assumptions!I21/10^6</f>
        <v>3.7619582907202832E-2</v>
      </c>
      <c r="F55" s="711">
        <v>0</v>
      </c>
      <c r="G55" s="711">
        <v>0</v>
      </c>
      <c r="H55" s="711">
        <v>0</v>
      </c>
      <c r="I55" s="711">
        <v>0</v>
      </c>
      <c r="J55" s="711"/>
      <c r="K55" s="711"/>
      <c r="L55" s="711"/>
      <c r="M55" s="711"/>
      <c r="N55" s="711"/>
      <c r="O55" s="711"/>
      <c r="P55" s="711"/>
      <c r="Q55" s="711"/>
      <c r="R55" s="711"/>
      <c r="S55" s="711"/>
      <c r="T55" s="711"/>
      <c r="U55" s="711"/>
      <c r="V55" s="711"/>
      <c r="W55" s="711"/>
      <c r="X55" s="711"/>
      <c r="Y55" s="815"/>
      <c r="Z55" s="711"/>
      <c r="AA55" s="711"/>
      <c r="AB55" s="711"/>
      <c r="AC55" s="711"/>
      <c r="AD55" s="711"/>
    </row>
    <row r="56" spans="3:31" x14ac:dyDescent="0.2">
      <c r="C56" s="713" t="s">
        <v>29</v>
      </c>
      <c r="D56" s="711">
        <v>0</v>
      </c>
      <c r="E56" s="711">
        <f>E27*Assumptions!$J$21/10^6</f>
        <v>7.5348476426379089E-3</v>
      </c>
      <c r="F56" s="711">
        <f>F27*Assumptions!$J$21/10^6</f>
        <v>4.7092797766486942E-2</v>
      </c>
      <c r="G56" s="711">
        <f>G27*Assumptions!$J$21/10^6</f>
        <v>0.50106736823542097</v>
      </c>
      <c r="H56" s="711">
        <f>H27*Assumptions!$J$21/10^6</f>
        <v>0.52178819925267528</v>
      </c>
      <c r="I56" s="711">
        <f>I27*Assumptions!$J$21/10^6</f>
        <v>0.73276393324653677</v>
      </c>
      <c r="J56" s="711"/>
      <c r="K56" s="711"/>
      <c r="L56" s="711"/>
      <c r="M56" s="711"/>
      <c r="N56" s="711"/>
      <c r="O56" s="711"/>
      <c r="P56" s="711"/>
      <c r="Q56" s="711"/>
      <c r="R56" s="711"/>
      <c r="S56" s="711"/>
      <c r="T56" s="711"/>
      <c r="U56" s="711"/>
      <c r="V56" s="711"/>
      <c r="W56" s="711"/>
      <c r="X56" s="711"/>
      <c r="Y56" s="815"/>
      <c r="Z56" s="711"/>
      <c r="AA56" s="711"/>
      <c r="AB56" s="711"/>
      <c r="AC56" s="711"/>
      <c r="AD56" s="711"/>
    </row>
    <row r="57" spans="3:31" x14ac:dyDescent="0.2">
      <c r="C57" s="709" t="s">
        <v>79</v>
      </c>
      <c r="D57" s="711">
        <f>SUM(D55:D56)</f>
        <v>0</v>
      </c>
      <c r="E57" s="711">
        <f>SUM(E55:E56)</f>
        <v>4.5154430549840738E-2</v>
      </c>
      <c r="F57" s="711">
        <f t="shared" ref="F57:I57" si="21">SUM(F55:F56)</f>
        <v>4.7092797766486942E-2</v>
      </c>
      <c r="G57" s="711">
        <f t="shared" si="21"/>
        <v>0.50106736823542097</v>
      </c>
      <c r="H57" s="711">
        <f t="shared" si="21"/>
        <v>0.52178819925267528</v>
      </c>
      <c r="I57" s="711">
        <f t="shared" si="21"/>
        <v>0.73276393324653677</v>
      </c>
      <c r="J57" s="711"/>
      <c r="K57" s="711"/>
      <c r="L57" s="711"/>
      <c r="M57" s="711"/>
      <c r="N57" s="711"/>
      <c r="O57" s="711"/>
      <c r="P57" s="711"/>
      <c r="Q57" s="711"/>
      <c r="R57" s="711"/>
      <c r="S57" s="711"/>
      <c r="T57" s="711"/>
      <c r="U57" s="711"/>
      <c r="V57" s="711"/>
      <c r="W57" s="711"/>
      <c r="X57" s="711"/>
      <c r="Y57" s="815"/>
      <c r="Z57" s="711"/>
      <c r="AA57" s="711"/>
      <c r="AB57" s="711"/>
      <c r="AC57" s="711"/>
      <c r="AD57" s="711"/>
    </row>
    <row r="58" spans="3:31" x14ac:dyDescent="0.2">
      <c r="C58" s="715"/>
      <c r="D58" s="711"/>
      <c r="E58" s="711"/>
      <c r="F58" s="711"/>
      <c r="G58" s="711"/>
      <c r="H58" s="711"/>
      <c r="I58" s="711"/>
      <c r="J58" s="711"/>
      <c r="K58" s="711"/>
      <c r="L58" s="711"/>
      <c r="M58" s="711"/>
      <c r="N58" s="711"/>
      <c r="O58" s="711"/>
      <c r="P58" s="711"/>
      <c r="Q58" s="711"/>
      <c r="R58" s="711"/>
      <c r="S58" s="711"/>
      <c r="T58" s="711"/>
      <c r="U58" s="711"/>
      <c r="V58" s="711"/>
      <c r="W58" s="711"/>
      <c r="X58" s="711"/>
      <c r="Y58" s="815"/>
      <c r="Z58" s="711"/>
      <c r="AA58" s="711"/>
      <c r="AB58" s="711"/>
      <c r="AC58" s="711"/>
      <c r="AD58" s="711"/>
    </row>
    <row r="59" spans="3:31" x14ac:dyDescent="0.2">
      <c r="C59" s="708" t="s">
        <v>363</v>
      </c>
      <c r="D59" s="711">
        <v>0</v>
      </c>
      <c r="E59" s="711">
        <f>E$27*Assumptions!$K$21/10^6</f>
        <v>3.6264279597452466E-3</v>
      </c>
      <c r="F59" s="711">
        <f>F$27*Assumptions!$K$21/10^6</f>
        <v>2.2665174748407794E-2</v>
      </c>
      <c r="G59" s="711">
        <f>G$27*Assumptions!$K$21/10^6</f>
        <v>0.2411574593230589</v>
      </c>
      <c r="H59" s="711">
        <f>H$27*Assumptions!$K$21/10^6</f>
        <v>0.25113013621235836</v>
      </c>
      <c r="I59" s="711">
        <f>I$27*Assumptions!$K$21/10^6</f>
        <v>0.35267011908522522</v>
      </c>
      <c r="J59" s="711"/>
      <c r="K59" s="711"/>
      <c r="L59" s="711"/>
      <c r="M59" s="711"/>
      <c r="N59" s="711"/>
      <c r="O59" s="711"/>
      <c r="P59" s="711"/>
      <c r="Q59" s="711"/>
      <c r="R59" s="711"/>
      <c r="S59" s="711"/>
      <c r="T59" s="711"/>
      <c r="U59" s="711"/>
      <c r="V59" s="711"/>
      <c r="W59" s="711"/>
      <c r="X59" s="711"/>
      <c r="Y59" s="815"/>
      <c r="Z59" s="711"/>
      <c r="AA59" s="711"/>
      <c r="AB59" s="711"/>
      <c r="AC59" s="711"/>
      <c r="AD59" s="711"/>
    </row>
    <row r="60" spans="3:31" x14ac:dyDescent="0.2">
      <c r="C60" s="708" t="s">
        <v>364</v>
      </c>
      <c r="D60" s="711">
        <v>0</v>
      </c>
      <c r="E60" s="711">
        <f>E$27*Assumptions!$L$21/10^6</f>
        <v>1.6433868535268225E-3</v>
      </c>
      <c r="F60" s="711">
        <f>F$27*Assumptions!$L$21/10^6</f>
        <v>1.0271167834542641E-2</v>
      </c>
      <c r="G60" s="711">
        <f>G$27*Assumptions!$L$21/10^6</f>
        <v>0.1092852257595337</v>
      </c>
      <c r="H60" s="711">
        <f>H$27*Assumptions!$L$21/10^6</f>
        <v>0.11380453960673248</v>
      </c>
      <c r="I60" s="711">
        <f>I$27*Assumptions!$L$21/10^6</f>
        <v>0.1598193715054835</v>
      </c>
      <c r="J60" s="711"/>
      <c r="K60" s="711"/>
      <c r="L60" s="711"/>
      <c r="M60" s="711"/>
      <c r="N60" s="711"/>
      <c r="O60" s="711"/>
      <c r="P60" s="711"/>
      <c r="Q60" s="711"/>
      <c r="R60" s="711"/>
      <c r="S60" s="711"/>
      <c r="T60" s="711"/>
      <c r="U60" s="711"/>
      <c r="V60" s="711"/>
      <c r="W60" s="711"/>
      <c r="X60" s="711"/>
      <c r="Y60" s="815"/>
      <c r="Z60" s="711"/>
      <c r="AA60" s="711"/>
      <c r="AB60" s="711"/>
      <c r="AC60" s="711"/>
      <c r="AD60" s="711"/>
    </row>
    <row r="61" spans="3:31" x14ac:dyDescent="0.2">
      <c r="C61" s="709"/>
      <c r="D61" s="711"/>
      <c r="E61" s="711"/>
      <c r="F61" s="711"/>
      <c r="G61" s="711"/>
      <c r="H61" s="711"/>
      <c r="I61" s="711"/>
      <c r="J61" s="711"/>
      <c r="K61" s="711"/>
      <c r="L61" s="711"/>
      <c r="M61" s="711"/>
      <c r="N61" s="711"/>
      <c r="O61" s="711"/>
      <c r="P61" s="711"/>
      <c r="Q61" s="711"/>
      <c r="R61" s="711"/>
      <c r="S61" s="711"/>
      <c r="T61" s="711"/>
      <c r="U61" s="711"/>
      <c r="V61" s="711"/>
      <c r="W61" s="711"/>
      <c r="X61" s="711"/>
      <c r="Y61" s="815"/>
      <c r="Z61" s="711"/>
      <c r="AA61" s="711"/>
      <c r="AB61" s="711"/>
      <c r="AC61" s="711"/>
      <c r="AD61" s="711"/>
    </row>
    <row r="62" spans="3:31" x14ac:dyDescent="0.2">
      <c r="C62" s="716" t="s">
        <v>100</v>
      </c>
      <c r="D62" s="711">
        <f>SUM(D28:D29,D31:D33,D46,D52,D57,D59:D60)*'ERR &amp; Sensitivity Analysis'!$G$9</f>
        <v>0</v>
      </c>
      <c r="E62" s="711">
        <f>SUM(E28:E29,E31:E33,E46,E52,E57,E59:E60)*'ERR &amp; Sensitivity Analysis'!$G$9</f>
        <v>0.35412208544180646</v>
      </c>
      <c r="F62" s="711">
        <f>SUM(F28:F29,F31:F33,F46,F52,F57,F59:F60)*'ERR &amp; Sensitivity Analysis'!$G$9</f>
        <v>0.8190260291526551</v>
      </c>
      <c r="G62" s="711">
        <f>SUM(G28:G29,G31:G33,G46,G52,G57,G59:G60)*'ERR &amp; Sensitivity Analysis'!$G$9</f>
        <v>8.0510297135012152</v>
      </c>
      <c r="H62" s="711">
        <f>SUM(H28:H29,H31:H33,H46,H52,H57,H59:H60)*'ERR &amp; Sensitivity Analysis'!$G$9</f>
        <v>7.7608281162617807</v>
      </c>
      <c r="I62" s="711">
        <f>SUM(I28:I29,I31:I33,I46,I52,I57,I59:I60)*'ERR &amp; Sensitivity Analysis'!$G$9</f>
        <v>11.51036126210251</v>
      </c>
      <c r="J62" s="711">
        <f>SUM(J28:J29,J31:J33,J46,J52,J57,J59:J60)*'ERR &amp; Sensitivity Analysis'!$G$9</f>
        <v>2.3523982937866199</v>
      </c>
      <c r="K62" s="711">
        <f>SUM(K28:K29,K31:K33,K46,K52,K57,K59:K60)*'ERR &amp; Sensitivity Analysis'!$G$9</f>
        <v>1.5960627176380286</v>
      </c>
      <c r="L62" s="711">
        <f>SUM(L28:L29,L31:L33,L46,L52,L57,L59:L60)*'ERR &amp; Sensitivity Analysis'!$G$9</f>
        <v>1.5640134745089833</v>
      </c>
      <c r="M62" s="711">
        <f>SUM(M28:M29,M31:M33,M46,M52,M57,M59:M60)*'ERR &amp; Sensitivity Analysis'!$G$9</f>
        <v>1.6156807667078821</v>
      </c>
      <c r="N62" s="711">
        <f>SUM(N28:N29,N31:N33,N46,N52,N57,N59:N60)*'ERR &amp; Sensitivity Analysis'!$G$9</f>
        <v>1.6690579508886936</v>
      </c>
      <c r="O62" s="711">
        <f>SUM(O28:O29,O31:O33,O46,O52,O57,O59:O60)*'ERR &amp; Sensitivity Analysis'!$G$9</f>
        <v>1.7242016854828004</v>
      </c>
      <c r="P62" s="711">
        <f>SUM(P28:P29,P31:P33,P46,P52,P57,P59:P60)*'ERR &amp; Sensitivity Analysis'!$G$9</f>
        <v>1.7811705079718534</v>
      </c>
      <c r="Q62" s="711">
        <f>SUM(Q28:Q29,Q31:Q33,Q46,Q52,Q57,Q59:Q60)*'ERR &amp; Sensitivity Analysis'!$G$9</f>
        <v>1.8400248972432645</v>
      </c>
      <c r="R62" s="711">
        <f>SUM(R28:R29,R31:R33,R46,R52,R57,R59:R60)*'ERR &amp; Sensitivity Analysis'!$G$9</f>
        <v>1.9008273380158713</v>
      </c>
      <c r="S62" s="711">
        <f>SUM(S28:S29,S31:S33,S46,S52,S57,S59:S60)*'ERR &amp; Sensitivity Analysis'!$G$9</f>
        <v>1.963642387404406</v>
      </c>
      <c r="T62" s="711">
        <f>SUM(T28:T29,T31:T33,T46,T52,T57,T59:T60)*'ERR &amp; Sensitivity Analysis'!$G$9</f>
        <v>2.0285367436938908</v>
      </c>
      <c r="U62" s="711">
        <f>SUM(U28:U29,U31:U33,U46,U52,U57,U59:U60)*'ERR &amp; Sensitivity Analysis'!$G$9</f>
        <v>2.0955793173972577</v>
      </c>
      <c r="V62" s="711">
        <f>SUM(V28:V29,V31:V33,V46,V52,V57,V59:V60)*'ERR &amp; Sensitivity Analysis'!$G$9</f>
        <v>2.1648413046721329</v>
      </c>
      <c r="W62" s="711">
        <f>SUM(W28:W29,W31:W33,W46,W52,W57,W59:W60)*'ERR &amp; Sensitivity Analysis'!$G$9</f>
        <v>2.2363962631749743</v>
      </c>
      <c r="X62" s="711">
        <f>SUM(X28:X29,X31:X33,X46,X52,X57,X59:X60)*'ERR &amp; Sensitivity Analysis'!$G$9</f>
        <v>2.3103201904336883</v>
      </c>
      <c r="Y62" s="815"/>
      <c r="Z62" s="711"/>
      <c r="AA62" s="711"/>
      <c r="AB62" s="711"/>
      <c r="AC62" s="711"/>
      <c r="AD62" s="711"/>
    </row>
    <row r="63" spans="3:31" x14ac:dyDescent="0.2">
      <c r="C63" s="708" t="s">
        <v>367</v>
      </c>
      <c r="D63" s="711">
        <f t="shared" ref="D63:I63" si="22">SUM(D28,D31:D33,D57,D59:D60)</f>
        <v>0</v>
      </c>
      <c r="E63" s="711">
        <f t="shared" si="22"/>
        <v>0.35412208544180646</v>
      </c>
      <c r="F63" s="711">
        <f t="shared" si="22"/>
        <v>0.8190260291526551</v>
      </c>
      <c r="G63" s="711">
        <f t="shared" si="22"/>
        <v>8.0510297135012152</v>
      </c>
      <c r="H63" s="711">
        <f t="shared" si="22"/>
        <v>7.7608281162617807</v>
      </c>
      <c r="I63" s="711">
        <f t="shared" si="22"/>
        <v>10.109445489461402</v>
      </c>
      <c r="J63" s="711"/>
      <c r="K63" s="711"/>
      <c r="L63" s="711"/>
      <c r="M63" s="711"/>
      <c r="N63" s="711"/>
      <c r="O63" s="711"/>
      <c r="P63" s="711"/>
      <c r="Q63" s="711"/>
      <c r="R63" s="711"/>
      <c r="S63" s="711"/>
      <c r="T63" s="711"/>
      <c r="U63" s="711"/>
      <c r="V63" s="711"/>
      <c r="W63" s="711"/>
      <c r="X63" s="711"/>
      <c r="Y63" s="815"/>
      <c r="Z63" s="711"/>
      <c r="AA63" s="711"/>
      <c r="AB63" s="711"/>
      <c r="AC63" s="711"/>
      <c r="AD63" s="711"/>
    </row>
    <row r="64" spans="3:31" ht="13.5" thickBot="1" x14ac:dyDescent="0.25">
      <c r="C64" s="540"/>
      <c r="D64" s="724"/>
      <c r="E64" s="724"/>
      <c r="F64" s="724"/>
      <c r="G64" s="724"/>
      <c r="H64" s="724"/>
      <c r="I64" s="724"/>
      <c r="J64" s="724"/>
      <c r="K64" s="724"/>
      <c r="L64" s="724"/>
      <c r="M64" s="724"/>
      <c r="N64" s="724"/>
      <c r="O64" s="724"/>
      <c r="P64" s="724"/>
      <c r="Q64" s="733"/>
      <c r="R64" s="724"/>
      <c r="S64" s="724"/>
      <c r="T64" s="724"/>
      <c r="U64" s="724"/>
      <c r="V64" s="724"/>
      <c r="W64" s="724"/>
      <c r="X64" s="724"/>
      <c r="Y64" s="700"/>
    </row>
    <row r="65" spans="3:31" x14ac:dyDescent="0.2">
      <c r="Q65" s="553"/>
    </row>
    <row r="66" spans="3:31" ht="13.5" thickBot="1" x14ac:dyDescent="0.25"/>
    <row r="67" spans="3:31" s="543" customFormat="1" ht="28.5" customHeight="1" x14ac:dyDescent="0.2">
      <c r="C67" s="530" t="s">
        <v>614</v>
      </c>
      <c r="D67" s="947" t="s">
        <v>617</v>
      </c>
      <c r="E67" s="947"/>
      <c r="F67" s="947"/>
      <c r="G67" s="948" t="s">
        <v>174</v>
      </c>
      <c r="H67" s="948"/>
      <c r="I67" s="948"/>
      <c r="J67" s="947" t="s">
        <v>42</v>
      </c>
      <c r="K67" s="947"/>
      <c r="L67" s="947"/>
      <c r="M67" s="947" t="s">
        <v>49</v>
      </c>
      <c r="N67" s="947"/>
      <c r="O67" s="947"/>
      <c r="P67" s="947" t="s">
        <v>43</v>
      </c>
      <c r="Q67" s="947"/>
      <c r="R67" s="947"/>
      <c r="S67" s="745"/>
      <c r="T67" s="745"/>
      <c r="U67" s="745"/>
      <c r="V67" s="745"/>
      <c r="W67" s="745"/>
      <c r="X67" s="745"/>
      <c r="Y67" s="745"/>
      <c r="Z67" s="745"/>
      <c r="AA67" s="745"/>
      <c r="AB67" s="945" t="s">
        <v>74</v>
      </c>
      <c r="AC67" s="946"/>
    </row>
    <row r="68" spans="3:31" s="543" customFormat="1" ht="38.25" x14ac:dyDescent="0.2">
      <c r="C68" s="703"/>
      <c r="D68" s="741" t="s">
        <v>1</v>
      </c>
      <c r="E68" s="741" t="s">
        <v>40</v>
      </c>
      <c r="F68" s="741" t="s">
        <v>41</v>
      </c>
      <c r="G68" s="741" t="s">
        <v>1</v>
      </c>
      <c r="H68" s="741" t="s">
        <v>40</v>
      </c>
      <c r="I68" s="741" t="s">
        <v>41</v>
      </c>
      <c r="J68" s="741" t="s">
        <v>1</v>
      </c>
      <c r="K68" s="741" t="s">
        <v>40</v>
      </c>
      <c r="L68" s="741" t="s">
        <v>41</v>
      </c>
      <c r="M68" s="741" t="s">
        <v>1</v>
      </c>
      <c r="N68" s="741" t="s">
        <v>40</v>
      </c>
      <c r="O68" s="741" t="s">
        <v>41</v>
      </c>
      <c r="P68" s="741" t="s">
        <v>1</v>
      </c>
      <c r="Q68" s="741" t="s">
        <v>40</v>
      </c>
      <c r="R68" s="741" t="s">
        <v>41</v>
      </c>
      <c r="S68" s="741" t="s">
        <v>98</v>
      </c>
      <c r="T68" s="741" t="s">
        <v>97</v>
      </c>
      <c r="U68" s="741" t="s">
        <v>108</v>
      </c>
      <c r="V68" s="741" t="s">
        <v>51</v>
      </c>
      <c r="W68" s="741" t="s">
        <v>53</v>
      </c>
      <c r="X68" s="741" t="s">
        <v>54</v>
      </c>
      <c r="Y68" s="741" t="s">
        <v>611</v>
      </c>
      <c r="Z68" s="741" t="s">
        <v>612</v>
      </c>
      <c r="AA68" s="741" t="s">
        <v>613</v>
      </c>
      <c r="AB68" s="742" t="s">
        <v>75</v>
      </c>
      <c r="AC68" s="746" t="s">
        <v>73</v>
      </c>
    </row>
    <row r="69" spans="3:31" x14ac:dyDescent="0.2">
      <c r="C69" s="536"/>
      <c r="D69" s="537">
        <v>250</v>
      </c>
      <c r="E69" s="537">
        <v>700</v>
      </c>
      <c r="F69" s="537">
        <f>E70-D69-E69</f>
        <v>1013.0971000000002</v>
      </c>
      <c r="G69" s="542">
        <v>15000</v>
      </c>
      <c r="H69" s="542">
        <v>3615</v>
      </c>
      <c r="I69" s="542">
        <v>1181</v>
      </c>
      <c r="J69" s="539">
        <f>custnopa</f>
        <v>2.3E-2</v>
      </c>
      <c r="K69" s="539">
        <f>Assumptions!D62</f>
        <v>2.3E-2</v>
      </c>
      <c r="L69" s="539">
        <f>Assumptions!E62</f>
        <v>2.3E-2</v>
      </c>
      <c r="M69" s="539">
        <f>unitconspa</f>
        <v>0.01</v>
      </c>
      <c r="N69" s="539">
        <f>Assumptions!D61</f>
        <v>0.01</v>
      </c>
      <c r="O69" s="539">
        <f>Assumptions!E61</f>
        <v>0.01</v>
      </c>
      <c r="P69" s="743">
        <f>G69*D69*0.001</f>
        <v>3750</v>
      </c>
      <c r="Q69" s="743">
        <f>H69*E69*0.001*Assumptions!$C14</f>
        <v>1897.875</v>
      </c>
      <c r="R69" s="743">
        <f>I69*F69*0.001*Assumptions!$C13</f>
        <v>598.23383755000009</v>
      </c>
      <c r="S69" s="538">
        <f>(SUM(P69:R69)/8.76)/T69</f>
        <v>1248.9495533470431</v>
      </c>
      <c r="T69" s="684">
        <f>SUMPRODUCT(P69:R69,P70:R70)/SUM(P69:R69)</f>
        <v>0.57090065895548925</v>
      </c>
      <c r="U69" s="118" t="str">
        <f>IF(S69/X69&gt;1,"Constrained"," ")</f>
        <v xml:space="preserve"> </v>
      </c>
      <c r="V69" s="538">
        <v>10650</v>
      </c>
      <c r="W69" s="538">
        <v>1</v>
      </c>
      <c r="X69" s="538">
        <f>V69*W69</f>
        <v>10650</v>
      </c>
      <c r="Y69" s="710">
        <f>Assumptions!C21*10^-6</f>
        <v>9.8966745574063495</v>
      </c>
      <c r="Z69" s="710">
        <f>Assumptions!D21*10^-6</f>
        <v>8.779679778086491</v>
      </c>
      <c r="AA69" s="710">
        <f>SUMPRODUCT(Y69:Z69,AB69:AC69)</f>
        <v>18.676354335492839</v>
      </c>
      <c r="AB69" s="111">
        <f>Assumptions!F10</f>
        <v>1</v>
      </c>
      <c r="AC69" s="550">
        <f>Assumptions!G10</f>
        <v>1</v>
      </c>
    </row>
    <row r="70" spans="3:31" x14ac:dyDescent="0.2">
      <c r="C70" s="703"/>
      <c r="D70" s="748" t="s">
        <v>0</v>
      </c>
      <c r="E70" s="537">
        <f>Summary!D50</f>
        <v>1963.0971000000002</v>
      </c>
      <c r="F70" s="537">
        <f>SUM(D69:F69)</f>
        <v>1963.0971000000002</v>
      </c>
      <c r="G70" s="538"/>
      <c r="H70" s="538"/>
      <c r="I70" s="538"/>
      <c r="J70" s="539"/>
      <c r="K70" s="539"/>
      <c r="L70" s="539"/>
      <c r="M70" s="539"/>
      <c r="N70" s="539"/>
      <c r="O70" s="539"/>
      <c r="P70" s="684">
        <f>Assumptions!F55</f>
        <v>0.65</v>
      </c>
      <c r="Q70" s="684">
        <f>Assumptions!F56</f>
        <v>0.5</v>
      </c>
      <c r="R70" s="684">
        <f>Assumptions!F57</f>
        <v>0.3</v>
      </c>
      <c r="S70" s="744">
        <f>S69/E70</f>
        <v>0.63621384461677566</v>
      </c>
      <c r="T70" s="684"/>
      <c r="U70" s="111"/>
      <c r="X70" s="558">
        <f>X69/S69</f>
        <v>8.5271658662747498</v>
      </c>
      <c r="Y70" s="710"/>
      <c r="Z70" s="710"/>
      <c r="AA70" s="710"/>
      <c r="AC70" s="549"/>
    </row>
    <row r="71" spans="3:31" x14ac:dyDescent="0.2">
      <c r="C71" s="703"/>
      <c r="Q71" s="542" t="s">
        <v>64</v>
      </c>
      <c r="R71" s="538">
        <f>IF(R69=0,0,(SUM(P69:R69)/SUM(D69:F69))*1000)</f>
        <v>3181.7625514041051</v>
      </c>
      <c r="V71" s="542">
        <f>V69/F70</f>
        <v>5.4251009794675973</v>
      </c>
      <c r="AC71" s="549"/>
    </row>
    <row r="72" spans="3:31" x14ac:dyDescent="0.2">
      <c r="C72" s="703"/>
      <c r="H72" s="740" t="s">
        <v>175</v>
      </c>
      <c r="I72" s="684">
        <v>0.44</v>
      </c>
      <c r="J72" s="684">
        <v>0.9</v>
      </c>
      <c r="K72" s="684">
        <v>1</v>
      </c>
      <c r="L72" s="684">
        <v>1</v>
      </c>
      <c r="M72" s="684">
        <v>1</v>
      </c>
      <c r="N72" s="684">
        <v>1</v>
      </c>
      <c r="O72" s="684">
        <v>1</v>
      </c>
      <c r="P72" s="684">
        <v>1</v>
      </c>
      <c r="Q72" s="684">
        <v>1</v>
      </c>
      <c r="R72" s="684">
        <v>1</v>
      </c>
      <c r="S72" s="684">
        <v>1</v>
      </c>
      <c r="T72" s="684">
        <v>1</v>
      </c>
      <c r="U72" s="684">
        <v>1</v>
      </c>
      <c r="V72" s="684">
        <v>1</v>
      </c>
      <c r="W72" s="684">
        <v>1</v>
      </c>
      <c r="X72" s="684">
        <v>1</v>
      </c>
      <c r="Y72" s="684"/>
      <c r="Z72" s="684"/>
      <c r="AA72" s="684"/>
      <c r="AB72" s="684"/>
      <c r="AC72" s="820"/>
      <c r="AD72" s="684"/>
    </row>
    <row r="73" spans="3:31" x14ac:dyDescent="0.2">
      <c r="C73" s="548"/>
      <c r="AC73" s="549"/>
    </row>
    <row r="74" spans="3:31" x14ac:dyDescent="0.2">
      <c r="C74" s="548"/>
      <c r="D74" s="111">
        <v>2008</v>
      </c>
      <c r="E74" s="111">
        <v>2009</v>
      </c>
      <c r="F74" s="111">
        <f>E74+1</f>
        <v>2010</v>
      </c>
      <c r="G74" s="111">
        <f>F74+1</f>
        <v>2011</v>
      </c>
      <c r="H74" s="111">
        <f>G74+1</f>
        <v>2012</v>
      </c>
      <c r="I74" s="111">
        <v>2010</v>
      </c>
      <c r="J74" s="111">
        <v>2011</v>
      </c>
      <c r="K74" s="111">
        <f t="shared" ref="K74:M74" si="23">J74+1</f>
        <v>2012</v>
      </c>
      <c r="L74" s="111">
        <f t="shared" si="23"/>
        <v>2013</v>
      </c>
      <c r="M74" s="111">
        <f t="shared" si="23"/>
        <v>2014</v>
      </c>
      <c r="N74" s="111">
        <v>2012</v>
      </c>
      <c r="O74" s="111">
        <v>2013</v>
      </c>
      <c r="P74" s="111">
        <f t="shared" ref="P74:R74" si="24">O74+1</f>
        <v>2014</v>
      </c>
      <c r="Q74" s="111">
        <f t="shared" si="24"/>
        <v>2015</v>
      </c>
      <c r="R74" s="111">
        <f t="shared" si="24"/>
        <v>2016</v>
      </c>
      <c r="S74" s="111">
        <v>2014</v>
      </c>
      <c r="T74" s="111">
        <v>2015</v>
      </c>
      <c r="U74" s="111">
        <f t="shared" ref="U74:W74" si="25">T74+1</f>
        <v>2016</v>
      </c>
      <c r="V74" s="111">
        <f t="shared" si="25"/>
        <v>2017</v>
      </c>
      <c r="W74" s="111">
        <f t="shared" si="25"/>
        <v>2018</v>
      </c>
      <c r="X74" s="111">
        <v>2016</v>
      </c>
      <c r="AC74" s="549"/>
    </row>
    <row r="75" spans="3:31" x14ac:dyDescent="0.2">
      <c r="C75" s="551" t="s">
        <v>33</v>
      </c>
      <c r="AC75" s="549"/>
    </row>
    <row r="76" spans="3:31" x14ac:dyDescent="0.2">
      <c r="C76" s="551"/>
      <c r="AC76" s="549"/>
    </row>
    <row r="77" spans="3:31" x14ac:dyDescent="0.2">
      <c r="C77" s="552" t="s">
        <v>10</v>
      </c>
      <c r="D77" s="553">
        <f>$D$69*(1+$J$69)^D$21*(D$23=1)</f>
        <v>0</v>
      </c>
      <c r="E77" s="553">
        <f>$D$69*(1+$J$69)^E$21*(E$23=1)</f>
        <v>0</v>
      </c>
      <c r="F77" s="553">
        <f>$D$69*(1+$J$69)^F$21*(F$23=1)</f>
        <v>0</v>
      </c>
      <c r="G77" s="553">
        <f>$D$69*(1+$J$69)^G$21*(G$23=1)</f>
        <v>0</v>
      </c>
      <c r="H77" s="553">
        <f>$D$69*(1+$J$69)^H$21*(H$23=1)</f>
        <v>0</v>
      </c>
      <c r="I77" s="553">
        <f t="shared" ref="I77:X77" si="26">IF(H96=0,$D$69*(1+$J$69)^I$21*(I$23)*I72,H77)*$AB$69</f>
        <v>112.52999999999999</v>
      </c>
      <c r="J77" s="553">
        <f t="shared" si="26"/>
        <v>235.46902499999996</v>
      </c>
      <c r="K77" s="553">
        <f t="shared" si="26"/>
        <v>267.64979174999991</v>
      </c>
      <c r="L77" s="553">
        <f t="shared" si="26"/>
        <v>273.80573696024987</v>
      </c>
      <c r="M77" s="553">
        <f t="shared" si="26"/>
        <v>280.1032689103356</v>
      </c>
      <c r="N77" s="553">
        <f t="shared" si="26"/>
        <v>286.54564409527336</v>
      </c>
      <c r="O77" s="553">
        <f t="shared" si="26"/>
        <v>293.13619390946457</v>
      </c>
      <c r="P77" s="553">
        <f t="shared" si="26"/>
        <v>299.87832636938219</v>
      </c>
      <c r="Q77" s="553">
        <f t="shared" si="26"/>
        <v>306.77552787587797</v>
      </c>
      <c r="R77" s="553">
        <f t="shared" si="26"/>
        <v>313.83136501702313</v>
      </c>
      <c r="S77" s="553">
        <f t="shared" si="26"/>
        <v>321.04948641241464</v>
      </c>
      <c r="T77" s="553">
        <f t="shared" si="26"/>
        <v>328.43362459990016</v>
      </c>
      <c r="U77" s="553">
        <f t="shared" si="26"/>
        <v>335.98759796569783</v>
      </c>
      <c r="V77" s="553">
        <f t="shared" si="26"/>
        <v>343.71531271890888</v>
      </c>
      <c r="W77" s="553">
        <f t="shared" si="26"/>
        <v>351.6207649114437</v>
      </c>
      <c r="X77" s="553">
        <f t="shared" si="26"/>
        <v>359.70804250440688</v>
      </c>
      <c r="Y77" s="553"/>
      <c r="Z77" s="553"/>
      <c r="AA77" s="553"/>
      <c r="AB77" s="553"/>
      <c r="AC77" s="814"/>
      <c r="AD77" s="553"/>
    </row>
    <row r="78" spans="3:31" x14ac:dyDescent="0.2">
      <c r="C78" s="552" t="s">
        <v>44</v>
      </c>
      <c r="D78" s="553">
        <f>$E$69*(1+$K$69)^D$21*(D$23=1)</f>
        <v>0</v>
      </c>
      <c r="E78" s="553">
        <f>$E$69*(1+$K$69)^E$21*(E$23=1)</f>
        <v>0</v>
      </c>
      <c r="F78" s="553">
        <f>$E$69*(1+$K$69)^F$21*(F$23=1)</f>
        <v>0</v>
      </c>
      <c r="G78" s="553">
        <f>$E$69*(1+$K$69)^G$21*(G$23=1)</f>
        <v>0</v>
      </c>
      <c r="H78" s="553">
        <f>$E$69*(1+$K$69)^H$21*(H$23=1)</f>
        <v>0</v>
      </c>
      <c r="I78" s="553">
        <f t="shared" ref="I78:X78" si="27">IF(H96=0,$E$69*(1+$K$69)^I$21*(I$23)*I72,H78)*$AB$69</f>
        <v>315.08399999999995</v>
      </c>
      <c r="J78" s="553">
        <f t="shared" si="27"/>
        <v>659.31326999999987</v>
      </c>
      <c r="K78" s="553">
        <f t="shared" si="27"/>
        <v>749.41941689999976</v>
      </c>
      <c r="L78" s="553">
        <f t="shared" si="27"/>
        <v>766.65606348869971</v>
      </c>
      <c r="M78" s="553">
        <f t="shared" si="27"/>
        <v>784.28915294893966</v>
      </c>
      <c r="N78" s="553">
        <f t="shared" si="27"/>
        <v>802.32780346676532</v>
      </c>
      <c r="O78" s="553">
        <f t="shared" si="27"/>
        <v>820.78134294650079</v>
      </c>
      <c r="P78" s="553">
        <f t="shared" si="27"/>
        <v>839.65931383427016</v>
      </c>
      <c r="Q78" s="553">
        <f t="shared" si="27"/>
        <v>858.97147805245834</v>
      </c>
      <c r="R78" s="553">
        <f t="shared" si="27"/>
        <v>878.72782204766474</v>
      </c>
      <c r="S78" s="553">
        <f t="shared" si="27"/>
        <v>898.93856195476098</v>
      </c>
      <c r="T78" s="553">
        <f t="shared" si="27"/>
        <v>919.61414887972046</v>
      </c>
      <c r="U78" s="553">
        <f t="shared" si="27"/>
        <v>940.7652743039539</v>
      </c>
      <c r="V78" s="553">
        <f t="shared" si="27"/>
        <v>962.40287561294485</v>
      </c>
      <c r="W78" s="553">
        <f t="shared" si="27"/>
        <v>984.53814175204229</v>
      </c>
      <c r="X78" s="553">
        <f t="shared" si="27"/>
        <v>1007.1825190123392</v>
      </c>
      <c r="Y78" s="553"/>
      <c r="Z78" s="553"/>
      <c r="AA78" s="553"/>
      <c r="AB78" s="553"/>
      <c r="AC78" s="814"/>
      <c r="AD78" s="553"/>
    </row>
    <row r="79" spans="3:31" x14ac:dyDescent="0.2">
      <c r="C79" s="552" t="s">
        <v>45</v>
      </c>
      <c r="D79" s="553">
        <f>$F$69*(1+$L$69)^D$21*(D$23=1)</f>
        <v>0</v>
      </c>
      <c r="E79" s="553">
        <f>$F$69*(1+$L$69)^E$21*(E$23=1)</f>
        <v>0</v>
      </c>
      <c r="F79" s="553">
        <f>$F$69*(1+$L$69)^F$21*(F$23=1)</f>
        <v>0</v>
      </c>
      <c r="G79" s="553">
        <f>$F$69*(1+$L$69)^G$21*(G$23=1)</f>
        <v>0</v>
      </c>
      <c r="H79" s="553">
        <f>$F$69*(1+$L$69)^H$21*(H$23=1)</f>
        <v>0</v>
      </c>
      <c r="I79" s="553">
        <f t="shared" ref="I79:X79" si="28">IF(H96=0,$F$69*(1+$L$69)^I$21*(I$23)*I72,H79)*$AB$69</f>
        <v>456.01526665200004</v>
      </c>
      <c r="J79" s="553">
        <f t="shared" si="28"/>
        <v>954.21194546930997</v>
      </c>
      <c r="K79" s="553">
        <f t="shared" si="28"/>
        <v>1084.6209113501156</v>
      </c>
      <c r="L79" s="553">
        <f t="shared" si="28"/>
        <v>1109.5671923111681</v>
      </c>
      <c r="M79" s="553">
        <f t="shared" si="28"/>
        <v>1135.0872377343248</v>
      </c>
      <c r="N79" s="553">
        <f t="shared" si="28"/>
        <v>1161.1942442022143</v>
      </c>
      <c r="O79" s="553">
        <f t="shared" si="28"/>
        <v>1187.9017118188649</v>
      </c>
      <c r="P79" s="553">
        <f t="shared" si="28"/>
        <v>1215.2234511906988</v>
      </c>
      <c r="Q79" s="553">
        <f t="shared" si="28"/>
        <v>1243.1735905680848</v>
      </c>
      <c r="R79" s="553">
        <f t="shared" si="28"/>
        <v>1271.7665831511506</v>
      </c>
      <c r="S79" s="553">
        <f t="shared" si="28"/>
        <v>1301.017214563627</v>
      </c>
      <c r="T79" s="553">
        <f t="shared" si="28"/>
        <v>1330.9406104985903</v>
      </c>
      <c r="U79" s="553">
        <f t="shared" si="28"/>
        <v>1361.5522445400577</v>
      </c>
      <c r="V79" s="553">
        <f t="shared" si="28"/>
        <v>1392.867946164479</v>
      </c>
      <c r="W79" s="553">
        <f t="shared" si="28"/>
        <v>1424.9039089262617</v>
      </c>
      <c r="X79" s="553">
        <f t="shared" si="28"/>
        <v>1457.6766988315655</v>
      </c>
      <c r="Y79" s="553"/>
      <c r="Z79" s="553"/>
      <c r="AA79" s="553"/>
      <c r="AB79" s="553"/>
      <c r="AC79" s="814"/>
      <c r="AD79" s="553"/>
    </row>
    <row r="80" spans="3:31" x14ac:dyDescent="0.2">
      <c r="C80" s="552" t="s">
        <v>163</v>
      </c>
      <c r="D80" s="554"/>
      <c r="E80" s="554"/>
      <c r="F80" s="554"/>
      <c r="G80" s="554"/>
      <c r="H80" s="554"/>
      <c r="I80" s="553">
        <f>SUM(I77:I79)</f>
        <v>883.62926665199996</v>
      </c>
      <c r="J80" s="553">
        <f t="shared" ref="J80:X80" si="29">SUM(J77:J79)</f>
        <v>1848.9942404693097</v>
      </c>
      <c r="K80" s="553">
        <f t="shared" si="29"/>
        <v>2101.6901200001153</v>
      </c>
      <c r="L80" s="553">
        <f t="shared" si="29"/>
        <v>2150.0289927601179</v>
      </c>
      <c r="M80" s="553">
        <f t="shared" si="29"/>
        <v>2199.4796595936</v>
      </c>
      <c r="N80" s="553">
        <f t="shared" si="29"/>
        <v>2250.0676917642531</v>
      </c>
      <c r="O80" s="553">
        <f t="shared" si="29"/>
        <v>2301.8192486748303</v>
      </c>
      <c r="P80" s="553">
        <f t="shared" si="29"/>
        <v>2354.7610913943508</v>
      </c>
      <c r="Q80" s="553">
        <f t="shared" si="29"/>
        <v>2408.9205964964212</v>
      </c>
      <c r="R80" s="553">
        <f t="shared" si="29"/>
        <v>2464.3257702158385</v>
      </c>
      <c r="S80" s="553">
        <f t="shared" si="29"/>
        <v>2521.0052629308029</v>
      </c>
      <c r="T80" s="553">
        <f t="shared" si="29"/>
        <v>2578.988383978211</v>
      </c>
      <c r="U80" s="553">
        <f t="shared" si="29"/>
        <v>2638.3051168097095</v>
      </c>
      <c r="V80" s="553">
        <f t="shared" si="29"/>
        <v>2698.9861344963329</v>
      </c>
      <c r="W80" s="553">
        <f t="shared" si="29"/>
        <v>2761.0628155897475</v>
      </c>
      <c r="X80" s="553">
        <f t="shared" si="29"/>
        <v>2824.5672603483117</v>
      </c>
      <c r="Y80" s="553"/>
      <c r="Z80" s="553"/>
      <c r="AA80" s="553"/>
      <c r="AB80" s="553"/>
      <c r="AC80" s="814"/>
      <c r="AD80" s="553"/>
      <c r="AE80" s="557"/>
    </row>
    <row r="81" spans="2:31" x14ac:dyDescent="0.2">
      <c r="C81" s="552" t="s">
        <v>168</v>
      </c>
      <c r="I81" s="553">
        <f>IF(I104=" ",I112-H112,H81)</f>
        <v>1089.9239999999991</v>
      </c>
      <c r="J81" s="553">
        <f t="shared" ref="J81:X81" si="30">IF(J104=" ",J112-I112,I81)</f>
        <v>1114.9922519999964</v>
      </c>
      <c r="K81" s="553">
        <f t="shared" si="30"/>
        <v>1140.6370737959951</v>
      </c>
      <c r="L81" s="553">
        <f t="shared" si="30"/>
        <v>1166.8717264933002</v>
      </c>
      <c r="M81" s="553">
        <f t="shared" si="30"/>
        <v>1193.709776202646</v>
      </c>
      <c r="N81" s="553">
        <f t="shared" si="30"/>
        <v>1221.1651010553105</v>
      </c>
      <c r="O81" s="553">
        <f t="shared" si="30"/>
        <v>1249.2518983795817</v>
      </c>
      <c r="P81" s="553">
        <f t="shared" si="30"/>
        <v>1277.9846920423151</v>
      </c>
      <c r="Q81" s="553">
        <f t="shared" si="30"/>
        <v>1307.3783399592867</v>
      </c>
      <c r="R81" s="553">
        <f t="shared" si="30"/>
        <v>1337.4480417783489</v>
      </c>
      <c r="S81" s="553">
        <f t="shared" si="30"/>
        <v>1368.2093467392478</v>
      </c>
      <c r="T81" s="553">
        <f t="shared" si="30"/>
        <v>1399.6781617142551</v>
      </c>
      <c r="U81" s="553">
        <f t="shared" si="30"/>
        <v>1431.8707594336811</v>
      </c>
      <c r="V81" s="553">
        <f t="shared" si="30"/>
        <v>1464.8037869006585</v>
      </c>
      <c r="W81" s="553">
        <f t="shared" si="30"/>
        <v>1498.4942739993712</v>
      </c>
      <c r="X81" s="553">
        <f t="shared" si="30"/>
        <v>1532.9596423013572</v>
      </c>
      <c r="Y81" s="553"/>
      <c r="Z81" s="553"/>
      <c r="AA81" s="553"/>
      <c r="AB81" s="553"/>
      <c r="AC81" s="814"/>
      <c r="AD81" s="553"/>
      <c r="AE81" s="557"/>
    </row>
    <row r="82" spans="2:31" x14ac:dyDescent="0.2">
      <c r="C82" s="551"/>
      <c r="AC82" s="549"/>
    </row>
    <row r="83" spans="2:31" x14ac:dyDescent="0.2">
      <c r="B83" s="702"/>
      <c r="C83" s="551" t="s">
        <v>46</v>
      </c>
      <c r="J83" s="553"/>
      <c r="K83" s="553"/>
      <c r="L83" s="553"/>
      <c r="M83" s="553"/>
      <c r="N83" s="553"/>
      <c r="O83" s="553"/>
      <c r="P83" s="553"/>
      <c r="Q83" s="553"/>
      <c r="R83" s="553"/>
      <c r="S83" s="553"/>
      <c r="T83" s="553"/>
      <c r="U83" s="553"/>
      <c r="V83" s="553"/>
      <c r="W83" s="553"/>
      <c r="X83" s="553"/>
      <c r="Y83" s="553"/>
      <c r="Z83" s="553"/>
      <c r="AA83" s="553"/>
      <c r="AB83" s="553"/>
      <c r="AC83" s="814"/>
      <c r="AD83" s="553"/>
    </row>
    <row r="84" spans="2:31" x14ac:dyDescent="0.2">
      <c r="B84" s="702"/>
      <c r="C84" s="552" t="s">
        <v>10</v>
      </c>
      <c r="D84" s="553">
        <f t="shared" ref="D84:X84" si="31">$G$69*(1+$M$69)^D$21*(D$23=1)</f>
        <v>0</v>
      </c>
      <c r="E84" s="553">
        <f t="shared" si="31"/>
        <v>0</v>
      </c>
      <c r="F84" s="553">
        <f t="shared" si="31"/>
        <v>0</v>
      </c>
      <c r="G84" s="553">
        <f t="shared" si="31"/>
        <v>0</v>
      </c>
      <c r="H84" s="553">
        <f t="shared" si="31"/>
        <v>0</v>
      </c>
      <c r="I84" s="553">
        <f t="shared" si="31"/>
        <v>15150</v>
      </c>
      <c r="J84" s="553">
        <f t="shared" si="31"/>
        <v>15301.5</v>
      </c>
      <c r="K84" s="553">
        <f t="shared" si="31"/>
        <v>15454.514999999999</v>
      </c>
      <c r="L84" s="553">
        <f t="shared" si="31"/>
        <v>15609.060150000001</v>
      </c>
      <c r="M84" s="553">
        <f t="shared" si="31"/>
        <v>15765.150751499999</v>
      </c>
      <c r="N84" s="553">
        <f t="shared" si="31"/>
        <v>15922.802259015001</v>
      </c>
      <c r="O84" s="553">
        <f t="shared" si="31"/>
        <v>16082.030281605148</v>
      </c>
      <c r="P84" s="553">
        <f t="shared" si="31"/>
        <v>16242.850584421203</v>
      </c>
      <c r="Q84" s="553">
        <f t="shared" si="31"/>
        <v>16405.279090265416</v>
      </c>
      <c r="R84" s="553">
        <f t="shared" si="31"/>
        <v>16569.331881168073</v>
      </c>
      <c r="S84" s="553">
        <f t="shared" si="31"/>
        <v>16735.025199979747</v>
      </c>
      <c r="T84" s="553">
        <f t="shared" si="31"/>
        <v>16902.375451979548</v>
      </c>
      <c r="U84" s="553">
        <f t="shared" si="31"/>
        <v>17071.399206499344</v>
      </c>
      <c r="V84" s="553">
        <f t="shared" si="31"/>
        <v>17242.113198564337</v>
      </c>
      <c r="W84" s="553">
        <f t="shared" si="31"/>
        <v>17414.534330549977</v>
      </c>
      <c r="X84" s="553">
        <f t="shared" si="31"/>
        <v>17588.67967385548</v>
      </c>
      <c r="Y84" s="553"/>
      <c r="Z84" s="553"/>
      <c r="AA84" s="553"/>
      <c r="AB84" s="553"/>
      <c r="AC84" s="814"/>
      <c r="AD84" s="553"/>
    </row>
    <row r="85" spans="2:31" x14ac:dyDescent="0.2">
      <c r="C85" s="552" t="s">
        <v>44</v>
      </c>
      <c r="D85" s="553">
        <f>$H$69*(1+$N$69)^D$21*(D$23=1)</f>
        <v>0</v>
      </c>
      <c r="E85" s="553">
        <f>$H$69*(1+$N$69)^E$21*(E$23=1)</f>
        <v>0</v>
      </c>
      <c r="F85" s="553">
        <f>$H$69*(1+$N$69)^F$21*(F$23=1)</f>
        <v>0</v>
      </c>
      <c r="G85" s="553">
        <f>$H$69*(1+$N$69)^G$21*(G$23=1)</f>
        <v>0</v>
      </c>
      <c r="H85" s="553">
        <f>$H$69*(1+$N$69)^H$21*(H$23=1)</f>
        <v>0</v>
      </c>
      <c r="I85" s="553">
        <f>$H$69*(1+$N$69)^I$21*(I$23=1)*Assumptions!$C$14</f>
        <v>2738.3625000000002</v>
      </c>
      <c r="J85" s="553">
        <f>$H$69*(1+$N$69)^J$21*(J$23=1)*Assumptions!$C$14</f>
        <v>2765.7461250000001</v>
      </c>
      <c r="K85" s="553">
        <f>$H$69*(1+$N$69)^K$21*(K$23=1)*Assumptions!$C$14</f>
        <v>2793.40358625</v>
      </c>
      <c r="L85" s="553">
        <f>$H$69*(1+$N$69)^L$21*(L$23=1)*Assumptions!$C$14</f>
        <v>2821.3376221125</v>
      </c>
      <c r="M85" s="553">
        <f>$H$69*(1+$N$69)^M$21*(M$23=1)*Assumptions!$C$14</f>
        <v>2849.5509983336246</v>
      </c>
      <c r="N85" s="553">
        <f>$H$69*(1+$N$69)^N$21*(N$23=1)*Assumptions!$C$14</f>
        <v>2878.0465083169615</v>
      </c>
      <c r="O85" s="553">
        <f>$H$69*(1+$N$69)^O$21*(O$23=1)*Assumptions!$C$14</f>
        <v>2906.8269734001306</v>
      </c>
      <c r="P85" s="553">
        <f>$H$69*(1+$N$69)^P$21*(P$23=1)*Assumptions!$C$14</f>
        <v>2935.8952431341327</v>
      </c>
      <c r="Q85" s="553">
        <f>$H$69*(1+$N$69)^Q$21*(Q$23=1)*Assumptions!$C$14</f>
        <v>2965.2541955654742</v>
      </c>
      <c r="R85" s="553">
        <f>$H$69*(1+$N$69)^R$21*(R$23=1)*Assumptions!$C$14</f>
        <v>2994.9067375211289</v>
      </c>
      <c r="S85" s="553">
        <f>$H$69*(1+$N$69)^S$21*(S$23=1)*Assumptions!$C$14</f>
        <v>3024.8558048963396</v>
      </c>
      <c r="T85" s="553">
        <f>$H$69*(1+$N$69)^T$21*(T$23=1)*Assumptions!$C$14</f>
        <v>3055.1043629453029</v>
      </c>
      <c r="U85" s="553">
        <f>$H$69*(1+$N$69)^U$21*(U$23=1)*Assumptions!$C$14</f>
        <v>3085.6554065747564</v>
      </c>
      <c r="V85" s="553">
        <f>$H$69*(1+$N$69)^V$21*(V$23=1)*Assumptions!$C$14</f>
        <v>3116.5119606405042</v>
      </c>
      <c r="W85" s="553">
        <f>$H$69*(1+$N$69)^W$21*(W$23=1)*Assumptions!$C$14</f>
        <v>3147.6770802469082</v>
      </c>
      <c r="X85" s="553">
        <f>$H$69*(1+$N$69)^X$21*(X$23=1)*Assumptions!$C$14</f>
        <v>3179.1538510493783</v>
      </c>
      <c r="Y85" s="553"/>
      <c r="Z85" s="553"/>
      <c r="AA85" s="553"/>
      <c r="AB85" s="553"/>
      <c r="AC85" s="814"/>
      <c r="AD85" s="553"/>
    </row>
    <row r="86" spans="2:31" x14ac:dyDescent="0.2">
      <c r="C86" s="552" t="s">
        <v>45</v>
      </c>
      <c r="D86" s="553">
        <f>$I$69*(1+$O$69)^D$21*(D$23=1)</f>
        <v>0</v>
      </c>
      <c r="E86" s="553">
        <f>$I$69*(1+$O$69)^E$21*(E$23=1)</f>
        <v>0</v>
      </c>
      <c r="F86" s="553">
        <f>$I$69*(1+$O$69)^F$21*(F$23=1)</f>
        <v>0</v>
      </c>
      <c r="G86" s="553">
        <f>$I$69*(1+$O$69)^G$21*(G$23=1)</f>
        <v>0</v>
      </c>
      <c r="H86" s="553">
        <f>$I$69*(1+$O$69)^H$21*(H$23=1)</f>
        <v>0</v>
      </c>
      <c r="I86" s="553">
        <f t="shared" ref="I86:X86" si="32">$I$69*(1+$O$69)^I$21*(I$23=1)*Demand_scalar</f>
        <v>596.40499999999997</v>
      </c>
      <c r="J86" s="553">
        <f t="shared" si="32"/>
        <v>602.36905000000002</v>
      </c>
      <c r="K86" s="553">
        <f t="shared" si="32"/>
        <v>608.39274049999995</v>
      </c>
      <c r="L86" s="553">
        <f t="shared" si="32"/>
        <v>614.476667905</v>
      </c>
      <c r="M86" s="553">
        <f t="shared" si="32"/>
        <v>620.62143458405001</v>
      </c>
      <c r="N86" s="553">
        <f t="shared" si="32"/>
        <v>626.82764892989053</v>
      </c>
      <c r="O86" s="553">
        <f t="shared" si="32"/>
        <v>633.09592541918926</v>
      </c>
      <c r="P86" s="553">
        <f t="shared" si="32"/>
        <v>639.42688467338132</v>
      </c>
      <c r="Q86" s="553">
        <f t="shared" si="32"/>
        <v>645.82115352011522</v>
      </c>
      <c r="R86" s="553">
        <f t="shared" si="32"/>
        <v>652.27936505531636</v>
      </c>
      <c r="S86" s="553">
        <f t="shared" si="32"/>
        <v>658.80215870586937</v>
      </c>
      <c r="T86" s="553">
        <f t="shared" si="32"/>
        <v>665.39018029292811</v>
      </c>
      <c r="U86" s="553">
        <f t="shared" si="32"/>
        <v>672.04408209585745</v>
      </c>
      <c r="V86" s="553">
        <f t="shared" si="32"/>
        <v>678.76452291681608</v>
      </c>
      <c r="W86" s="553">
        <f t="shared" si="32"/>
        <v>685.55216814598407</v>
      </c>
      <c r="X86" s="553">
        <f t="shared" si="32"/>
        <v>692.40768982744419</v>
      </c>
      <c r="Y86" s="553"/>
      <c r="Z86" s="553"/>
      <c r="AA86" s="553"/>
      <c r="AB86" s="553"/>
      <c r="AC86" s="814"/>
      <c r="AD86" s="553"/>
    </row>
    <row r="87" spans="2:31" x14ac:dyDescent="0.2">
      <c r="C87" s="551"/>
      <c r="AC87" s="549"/>
    </row>
    <row r="88" spans="2:31" x14ac:dyDescent="0.2">
      <c r="C88" s="551" t="s">
        <v>50</v>
      </c>
      <c r="AC88" s="549"/>
    </row>
    <row r="89" spans="2:31" x14ac:dyDescent="0.2">
      <c r="C89" s="552" t="s">
        <v>10</v>
      </c>
      <c r="D89" s="555">
        <f t="shared" ref="D89:X89" si="33">D77*D84*0.001</f>
        <v>0</v>
      </c>
      <c r="E89" s="555">
        <f t="shared" si="33"/>
        <v>0</v>
      </c>
      <c r="F89" s="555">
        <f t="shared" si="33"/>
        <v>0</v>
      </c>
      <c r="G89" s="555">
        <f t="shared" si="33"/>
        <v>0</v>
      </c>
      <c r="H89" s="555">
        <f t="shared" si="33"/>
        <v>0</v>
      </c>
      <c r="I89" s="555">
        <f t="shared" si="33"/>
        <v>1704.8294999999998</v>
      </c>
      <c r="J89" s="555">
        <f t="shared" si="33"/>
        <v>3603.0292860374998</v>
      </c>
      <c r="K89" s="555">
        <f t="shared" si="33"/>
        <v>4136.3977213472499</v>
      </c>
      <c r="L89" s="555">
        <f t="shared" si="33"/>
        <v>4273.8502176276188</v>
      </c>
      <c r="M89" s="555">
        <f t="shared" si="33"/>
        <v>4415.8702603593838</v>
      </c>
      <c r="N89" s="555">
        <f t="shared" si="33"/>
        <v>4562.6096291111271</v>
      </c>
      <c r="O89" s="555">
        <f t="shared" si="33"/>
        <v>4714.2251470864885</v>
      </c>
      <c r="P89" s="555">
        <f t="shared" si="33"/>
        <v>4870.8788487241718</v>
      </c>
      <c r="Q89" s="555">
        <f t="shared" si="33"/>
        <v>5032.7381528672768</v>
      </c>
      <c r="R89" s="555">
        <f t="shared" si="33"/>
        <v>5199.9760416870567</v>
      </c>
      <c r="S89" s="555">
        <f t="shared" si="33"/>
        <v>5372.7712455523142</v>
      </c>
      <c r="T89" s="555">
        <f t="shared" si="33"/>
        <v>5551.3084340420191</v>
      </c>
      <c r="U89" s="555">
        <f t="shared" si="33"/>
        <v>5735.7784133052346</v>
      </c>
      <c r="V89" s="555">
        <f t="shared" si="33"/>
        <v>5926.3783299793677</v>
      </c>
      <c r="W89" s="555">
        <f t="shared" si="33"/>
        <v>6123.3118818845796</v>
      </c>
      <c r="X89" s="555">
        <f t="shared" si="33"/>
        <v>6326.7895357196039</v>
      </c>
      <c r="Y89" s="555"/>
      <c r="Z89" s="555"/>
      <c r="AA89" s="555"/>
      <c r="AB89" s="555"/>
      <c r="AC89" s="821"/>
      <c r="AD89" s="555"/>
    </row>
    <row r="90" spans="2:31" x14ac:dyDescent="0.2">
      <c r="C90" s="552" t="s">
        <v>44</v>
      </c>
      <c r="D90" s="555">
        <f t="shared" ref="D90:X90" si="34">D78*D85*0.001</f>
        <v>0</v>
      </c>
      <c r="E90" s="555">
        <f t="shared" si="34"/>
        <v>0</v>
      </c>
      <c r="F90" s="555">
        <f t="shared" si="34"/>
        <v>0</v>
      </c>
      <c r="G90" s="555">
        <f t="shared" si="34"/>
        <v>0</v>
      </c>
      <c r="H90" s="555">
        <f t="shared" si="34"/>
        <v>0</v>
      </c>
      <c r="I90" s="555">
        <f t="shared" si="34"/>
        <v>862.81420994999996</v>
      </c>
      <c r="J90" s="555">
        <f t="shared" si="34"/>
        <v>1823.4931216635787</v>
      </c>
      <c r="K90" s="555">
        <f t="shared" si="34"/>
        <v>2093.4308867738432</v>
      </c>
      <c r="L90" s="555">
        <f t="shared" si="34"/>
        <v>2162.9955951413376</v>
      </c>
      <c r="M90" s="555">
        <f t="shared" si="34"/>
        <v>2234.8719387678839</v>
      </c>
      <c r="N90" s="555">
        <f t="shared" si="34"/>
        <v>2309.1367332931413</v>
      </c>
      <c r="O90" s="555">
        <f t="shared" si="34"/>
        <v>2385.8693469404716</v>
      </c>
      <c r="P90" s="555">
        <f t="shared" si="34"/>
        <v>2465.1517853393038</v>
      </c>
      <c r="Q90" s="555">
        <f t="shared" si="34"/>
        <v>2547.0687791661289</v>
      </c>
      <c r="R90" s="555">
        <f t="shared" si="34"/>
        <v>2631.7078746978191</v>
      </c>
      <c r="S90" s="555">
        <f t="shared" si="34"/>
        <v>2719.1595273740263</v>
      </c>
      <c r="T90" s="555">
        <f t="shared" si="34"/>
        <v>2809.5171984686654</v>
      </c>
      <c r="U90" s="555">
        <f t="shared" si="34"/>
        <v>2902.8774549737791</v>
      </c>
      <c r="V90" s="555">
        <f t="shared" si="34"/>
        <v>2999.3400728025581</v>
      </c>
      <c r="W90" s="555">
        <f t="shared" si="34"/>
        <v>3099.008143421785</v>
      </c>
      <c r="X90" s="555">
        <f t="shared" si="34"/>
        <v>3201.9881840276921</v>
      </c>
      <c r="Y90" s="555"/>
      <c r="Z90" s="555"/>
      <c r="AA90" s="555"/>
      <c r="AB90" s="555"/>
      <c r="AC90" s="821"/>
      <c r="AD90" s="555"/>
    </row>
    <row r="91" spans="2:31" x14ac:dyDescent="0.2">
      <c r="C91" s="552" t="s">
        <v>45</v>
      </c>
      <c r="D91" s="555">
        <f t="shared" ref="D91:X91" si="35">D79*D86*0.001</f>
        <v>0</v>
      </c>
      <c r="E91" s="555">
        <f t="shared" si="35"/>
        <v>0</v>
      </c>
      <c r="F91" s="555">
        <f t="shared" si="35"/>
        <v>0</v>
      </c>
      <c r="G91" s="555">
        <f t="shared" si="35"/>
        <v>0</v>
      </c>
      <c r="H91" s="555">
        <f t="shared" si="35"/>
        <v>0</v>
      </c>
      <c r="I91" s="555">
        <f t="shared" si="35"/>
        <v>271.96978510758606</v>
      </c>
      <c r="J91" s="555">
        <f t="shared" si="35"/>
        <v>574.78774309100004</v>
      </c>
      <c r="K91" s="555">
        <f t="shared" si="35"/>
        <v>659.87548865990436</v>
      </c>
      <c r="L91" s="555">
        <f t="shared" si="35"/>
        <v>681.80315114807297</v>
      </c>
      <c r="M91" s="555">
        <f t="shared" si="35"/>
        <v>704.4594698607234</v>
      </c>
      <c r="N91" s="555">
        <f t="shared" si="35"/>
        <v>727.86865804419517</v>
      </c>
      <c r="O91" s="555">
        <f t="shared" si="35"/>
        <v>752.05573355100341</v>
      </c>
      <c r="P91" s="555">
        <f t="shared" si="35"/>
        <v>777.04654557690344</v>
      </c>
      <c r="Q91" s="555">
        <f t="shared" si="35"/>
        <v>802.86780228642397</v>
      </c>
      <c r="R91" s="555">
        <f t="shared" si="35"/>
        <v>829.54709935640176</v>
      </c>
      <c r="S91" s="555">
        <f t="shared" si="35"/>
        <v>857.11294946801479</v>
      </c>
      <c r="T91" s="555">
        <f t="shared" si="35"/>
        <v>885.59481277883685</v>
      </c>
      <c r="U91" s="555">
        <f t="shared" si="35"/>
        <v>915.02312840747754</v>
      </c>
      <c r="V91" s="555">
        <f t="shared" si="35"/>
        <v>945.42934696445798</v>
      </c>
      <c r="W91" s="555">
        <f t="shared" si="35"/>
        <v>976.84596416408647</v>
      </c>
      <c r="X91" s="555">
        <f t="shared" si="35"/>
        <v>1009.3065555532595</v>
      </c>
      <c r="Y91" s="555"/>
      <c r="Z91" s="555"/>
      <c r="AA91" s="555"/>
      <c r="AB91" s="555"/>
      <c r="AC91" s="821"/>
      <c r="AD91" s="555"/>
    </row>
    <row r="92" spans="2:31" x14ac:dyDescent="0.2">
      <c r="C92" s="551"/>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821"/>
      <c r="AD92" s="555"/>
    </row>
    <row r="93" spans="2:31" x14ac:dyDescent="0.2">
      <c r="C93" s="551" t="s">
        <v>47</v>
      </c>
      <c r="D93" s="553">
        <f t="shared" ref="D93:X93" si="36">SUM(D89:D91)</f>
        <v>0</v>
      </c>
      <c r="E93" s="553">
        <f t="shared" si="36"/>
        <v>0</v>
      </c>
      <c r="F93" s="553">
        <f t="shared" si="36"/>
        <v>0</v>
      </c>
      <c r="G93" s="553">
        <f t="shared" si="36"/>
        <v>0</v>
      </c>
      <c r="H93" s="553">
        <f t="shared" si="36"/>
        <v>0</v>
      </c>
      <c r="I93" s="553">
        <f t="shared" si="36"/>
        <v>2839.6134950575861</v>
      </c>
      <c r="J93" s="553">
        <f t="shared" si="36"/>
        <v>6001.3101507920792</v>
      </c>
      <c r="K93" s="553">
        <f t="shared" si="36"/>
        <v>6889.704096780998</v>
      </c>
      <c r="L93" s="553">
        <f t="shared" si="36"/>
        <v>7118.6489639170295</v>
      </c>
      <c r="M93" s="553">
        <f t="shared" si="36"/>
        <v>7355.2016689879911</v>
      </c>
      <c r="N93" s="553">
        <f t="shared" si="36"/>
        <v>7599.6150204484638</v>
      </c>
      <c r="O93" s="553">
        <f t="shared" si="36"/>
        <v>7852.150227577964</v>
      </c>
      <c r="P93" s="553">
        <f t="shared" si="36"/>
        <v>8113.0771796403797</v>
      </c>
      <c r="Q93" s="553">
        <f t="shared" si="36"/>
        <v>8382.6747343198294</v>
      </c>
      <c r="R93" s="553">
        <f t="shared" si="36"/>
        <v>8661.2310157412776</v>
      </c>
      <c r="S93" s="553">
        <f t="shared" si="36"/>
        <v>8949.0437223943554</v>
      </c>
      <c r="T93" s="553">
        <f t="shared" si="36"/>
        <v>9246.420445289521</v>
      </c>
      <c r="U93" s="553">
        <f t="shared" si="36"/>
        <v>9553.6789966864908</v>
      </c>
      <c r="V93" s="553">
        <f t="shared" si="36"/>
        <v>9871.1477497463839</v>
      </c>
      <c r="W93" s="553">
        <f t="shared" si="36"/>
        <v>10199.16598947045</v>
      </c>
      <c r="X93" s="553">
        <f t="shared" si="36"/>
        <v>10538.084275300556</v>
      </c>
      <c r="Y93" s="553"/>
      <c r="Z93" s="553"/>
      <c r="AA93" s="553"/>
      <c r="AB93" s="553"/>
      <c r="AC93" s="814"/>
      <c r="AD93" s="553"/>
    </row>
    <row r="94" spans="2:31" x14ac:dyDescent="0.2">
      <c r="C94" s="551" t="s">
        <v>52</v>
      </c>
      <c r="D94" s="553"/>
      <c r="E94" s="553"/>
      <c r="F94" s="553"/>
      <c r="G94" s="553">
        <f t="shared" ref="G94:X94" si="37">(G93/8.76)/$T69</f>
        <v>0</v>
      </c>
      <c r="H94" s="553">
        <f t="shared" si="37"/>
        <v>0</v>
      </c>
      <c r="I94" s="553">
        <f t="shared" si="37"/>
        <v>567.79894468209682</v>
      </c>
      <c r="J94" s="553">
        <f t="shared" si="37"/>
        <v>1200.0004846647603</v>
      </c>
      <c r="K94" s="553">
        <f t="shared" si="37"/>
        <v>1377.6405564113002</v>
      </c>
      <c r="L94" s="553">
        <f t="shared" si="37"/>
        <v>1423.4195521008473</v>
      </c>
      <c r="M94" s="553">
        <f t="shared" si="37"/>
        <v>1470.7197838171583</v>
      </c>
      <c r="N94" s="553">
        <f t="shared" si="37"/>
        <v>1519.5918022334029</v>
      </c>
      <c r="O94" s="553">
        <f t="shared" si="37"/>
        <v>1570.0878378216182</v>
      </c>
      <c r="P94" s="553">
        <f t="shared" si="37"/>
        <v>1622.2618566724307</v>
      </c>
      <c r="Q94" s="553">
        <f t="shared" si="37"/>
        <v>1676.1696181696557</v>
      </c>
      <c r="R94" s="553">
        <f t="shared" si="37"/>
        <v>1731.8687345814333</v>
      </c>
      <c r="S94" s="553">
        <f t="shared" si="37"/>
        <v>1789.4187326315732</v>
      </c>
      <c r="T94" s="553">
        <f t="shared" si="37"/>
        <v>1848.8811171169207</v>
      </c>
      <c r="U94" s="553">
        <f t="shared" si="37"/>
        <v>1910.3194366387158</v>
      </c>
      <c r="V94" s="553">
        <f t="shared" si="37"/>
        <v>1973.7993515182206</v>
      </c>
      <c r="W94" s="553">
        <f t="shared" si="37"/>
        <v>2039.3887039691699</v>
      </c>
      <c r="X94" s="553">
        <f t="shared" si="37"/>
        <v>2107.1575906020662</v>
      </c>
      <c r="Y94" s="553"/>
      <c r="Z94" s="553"/>
      <c r="AA94" s="553"/>
      <c r="AB94" s="553"/>
      <c r="AC94" s="814"/>
      <c r="AD94" s="553"/>
    </row>
    <row r="95" spans="2:31" x14ac:dyDescent="0.2">
      <c r="C95" s="551" t="s">
        <v>48</v>
      </c>
      <c r="D95" s="553"/>
      <c r="E95" s="553"/>
      <c r="F95" s="553"/>
      <c r="G95" s="555">
        <f t="shared" ref="G95:X95" si="38">IF(G94&lt;$X$69,G93,($X$69/G94)*G93)</f>
        <v>0</v>
      </c>
      <c r="H95" s="555">
        <f t="shared" si="38"/>
        <v>0</v>
      </c>
      <c r="I95" s="555">
        <f t="shared" si="38"/>
        <v>2839.6134950575861</v>
      </c>
      <c r="J95" s="555">
        <f t="shared" si="38"/>
        <v>6001.3101507920792</v>
      </c>
      <c r="K95" s="555">
        <f t="shared" si="38"/>
        <v>6889.704096780998</v>
      </c>
      <c r="L95" s="555">
        <f t="shared" si="38"/>
        <v>7118.6489639170295</v>
      </c>
      <c r="M95" s="555">
        <f t="shared" si="38"/>
        <v>7355.2016689879911</v>
      </c>
      <c r="N95" s="555">
        <f t="shared" si="38"/>
        <v>7599.6150204484638</v>
      </c>
      <c r="O95" s="555">
        <f t="shared" si="38"/>
        <v>7852.150227577964</v>
      </c>
      <c r="P95" s="555">
        <f t="shared" si="38"/>
        <v>8113.0771796403797</v>
      </c>
      <c r="Q95" s="555">
        <f t="shared" si="38"/>
        <v>8382.6747343198294</v>
      </c>
      <c r="R95" s="555">
        <f t="shared" si="38"/>
        <v>8661.2310157412776</v>
      </c>
      <c r="S95" s="555">
        <f t="shared" si="38"/>
        <v>8949.0437223943554</v>
      </c>
      <c r="T95" s="555">
        <f t="shared" si="38"/>
        <v>9246.420445289521</v>
      </c>
      <c r="U95" s="555">
        <f t="shared" si="38"/>
        <v>9553.6789966864908</v>
      </c>
      <c r="V95" s="555">
        <f t="shared" si="38"/>
        <v>9871.1477497463839</v>
      </c>
      <c r="W95" s="555">
        <f t="shared" si="38"/>
        <v>10199.16598947045</v>
      </c>
      <c r="X95" s="555">
        <f t="shared" si="38"/>
        <v>10538.084275300556</v>
      </c>
      <c r="Y95" s="555"/>
      <c r="Z95" s="555"/>
      <c r="AA95" s="555"/>
      <c r="AB95" s="555"/>
      <c r="AC95" s="821"/>
      <c r="AD95" s="555"/>
    </row>
    <row r="96" spans="2:31" x14ac:dyDescent="0.2">
      <c r="C96" s="551" t="s">
        <v>95</v>
      </c>
      <c r="D96" s="553"/>
      <c r="E96" s="553"/>
      <c r="F96" s="553"/>
      <c r="G96" s="555"/>
      <c r="H96" s="555">
        <v>0</v>
      </c>
      <c r="I96" s="556">
        <f t="shared" ref="I96:X96" si="39">IF(I94&gt;$X$69,I22,0)</f>
        <v>0</v>
      </c>
      <c r="J96" s="556">
        <f t="shared" si="39"/>
        <v>0</v>
      </c>
      <c r="K96" s="556">
        <f t="shared" si="39"/>
        <v>0</v>
      </c>
      <c r="L96" s="556">
        <f t="shared" si="39"/>
        <v>0</v>
      </c>
      <c r="M96" s="556">
        <f t="shared" si="39"/>
        <v>0</v>
      </c>
      <c r="N96" s="556">
        <f t="shared" si="39"/>
        <v>0</v>
      </c>
      <c r="O96" s="556">
        <f t="shared" si="39"/>
        <v>0</v>
      </c>
      <c r="P96" s="556">
        <f t="shared" si="39"/>
        <v>0</v>
      </c>
      <c r="Q96" s="556">
        <f t="shared" si="39"/>
        <v>0</v>
      </c>
      <c r="R96" s="556">
        <f t="shared" si="39"/>
        <v>0</v>
      </c>
      <c r="S96" s="556">
        <f t="shared" si="39"/>
        <v>0</v>
      </c>
      <c r="T96" s="556">
        <f t="shared" si="39"/>
        <v>0</v>
      </c>
      <c r="U96" s="556">
        <f t="shared" si="39"/>
        <v>0</v>
      </c>
      <c r="V96" s="556">
        <f t="shared" si="39"/>
        <v>0</v>
      </c>
      <c r="W96" s="556">
        <f t="shared" si="39"/>
        <v>0</v>
      </c>
      <c r="X96" s="556">
        <f t="shared" si="39"/>
        <v>0</v>
      </c>
      <c r="Y96" s="556"/>
      <c r="Z96" s="556"/>
      <c r="AA96" s="556"/>
      <c r="AB96" s="556"/>
      <c r="AC96" s="822"/>
      <c r="AD96" s="556"/>
      <c r="AE96" s="819"/>
    </row>
    <row r="97" spans="2:31" x14ac:dyDescent="0.2">
      <c r="B97" s="702"/>
      <c r="C97" s="552" t="s">
        <v>10</v>
      </c>
      <c r="D97" s="553"/>
      <c r="E97" s="553"/>
      <c r="F97" s="553"/>
      <c r="G97" s="553">
        <f>IF(G23=1,(G95/G93)*G89,0)</f>
        <v>0</v>
      </c>
      <c r="H97" s="553">
        <f>IF(H23=1,(H95/H93)*H89,0)</f>
        <v>0</v>
      </c>
      <c r="I97" s="553">
        <f>IF($AB$69=1,(I$95/I$93)*I89,0)</f>
        <v>1704.8294999999998</v>
      </c>
      <c r="J97" s="553">
        <f t="shared" ref="J97:X99" si="40">IF($AB$69=1,(J$95/J$93)*J89,0)</f>
        <v>3603.0292860374998</v>
      </c>
      <c r="K97" s="553">
        <f t="shared" si="40"/>
        <v>4136.3977213472499</v>
      </c>
      <c r="L97" s="553">
        <f t="shared" si="40"/>
        <v>4273.8502176276188</v>
      </c>
      <c r="M97" s="553">
        <f t="shared" si="40"/>
        <v>4415.8702603593838</v>
      </c>
      <c r="N97" s="553">
        <f t="shared" si="40"/>
        <v>4562.6096291111271</v>
      </c>
      <c r="O97" s="553">
        <f t="shared" si="40"/>
        <v>4714.2251470864885</v>
      </c>
      <c r="P97" s="553">
        <f t="shared" si="40"/>
        <v>4870.8788487241718</v>
      </c>
      <c r="Q97" s="553">
        <f t="shared" si="40"/>
        <v>5032.7381528672768</v>
      </c>
      <c r="R97" s="553">
        <f t="shared" si="40"/>
        <v>5199.9760416870567</v>
      </c>
      <c r="S97" s="553">
        <f t="shared" si="40"/>
        <v>5372.7712455523142</v>
      </c>
      <c r="T97" s="553">
        <f t="shared" si="40"/>
        <v>5551.3084340420191</v>
      </c>
      <c r="U97" s="553">
        <f t="shared" si="40"/>
        <v>5735.7784133052346</v>
      </c>
      <c r="V97" s="553">
        <f t="shared" si="40"/>
        <v>5926.3783299793677</v>
      </c>
      <c r="W97" s="553">
        <f t="shared" si="40"/>
        <v>6123.3118818845796</v>
      </c>
      <c r="X97" s="553">
        <f t="shared" si="40"/>
        <v>6326.7895357196039</v>
      </c>
      <c r="Y97" s="553"/>
      <c r="Z97" s="553"/>
      <c r="AA97" s="553"/>
      <c r="AB97" s="553"/>
      <c r="AC97" s="814"/>
      <c r="AD97" s="553"/>
    </row>
    <row r="98" spans="2:31" x14ac:dyDescent="0.2">
      <c r="B98" s="702"/>
      <c r="C98" s="552" t="s">
        <v>44</v>
      </c>
      <c r="D98" s="553"/>
      <c r="E98" s="553"/>
      <c r="F98" s="553"/>
      <c r="G98" s="553">
        <f>IF(G23=1,(G95/G93)*G90,0)</f>
        <v>0</v>
      </c>
      <c r="H98" s="553">
        <f>IF(H23=1,(H95/H93)*H90,0)</f>
        <v>0</v>
      </c>
      <c r="I98" s="553">
        <f t="shared" ref="I98:X99" si="41">IF($AB$69=1,(I$95/I$93)*I90,0)</f>
        <v>862.81420994999996</v>
      </c>
      <c r="J98" s="553">
        <f t="shared" si="41"/>
        <v>1823.4931216635787</v>
      </c>
      <c r="K98" s="553">
        <f t="shared" si="41"/>
        <v>2093.4308867738432</v>
      </c>
      <c r="L98" s="553">
        <f t="shared" si="41"/>
        <v>2162.9955951413376</v>
      </c>
      <c r="M98" s="553">
        <f t="shared" si="41"/>
        <v>2234.8719387678839</v>
      </c>
      <c r="N98" s="553">
        <f t="shared" si="41"/>
        <v>2309.1367332931413</v>
      </c>
      <c r="O98" s="553">
        <f t="shared" si="41"/>
        <v>2385.8693469404716</v>
      </c>
      <c r="P98" s="553">
        <f t="shared" si="41"/>
        <v>2465.1517853393038</v>
      </c>
      <c r="Q98" s="553">
        <f t="shared" si="41"/>
        <v>2547.0687791661289</v>
      </c>
      <c r="R98" s="553">
        <f t="shared" si="41"/>
        <v>2631.7078746978191</v>
      </c>
      <c r="S98" s="553">
        <f t="shared" si="41"/>
        <v>2719.1595273740263</v>
      </c>
      <c r="T98" s="553">
        <f t="shared" si="41"/>
        <v>2809.5171984686654</v>
      </c>
      <c r="U98" s="553">
        <f t="shared" si="41"/>
        <v>2902.8774549737791</v>
      </c>
      <c r="V98" s="553">
        <f t="shared" si="41"/>
        <v>2999.3400728025581</v>
      </c>
      <c r="W98" s="553">
        <f t="shared" si="41"/>
        <v>3099.008143421785</v>
      </c>
      <c r="X98" s="553">
        <f t="shared" si="41"/>
        <v>3201.9881840276921</v>
      </c>
      <c r="Y98" s="553"/>
      <c r="Z98" s="553"/>
      <c r="AA98" s="553"/>
      <c r="AB98" s="553"/>
      <c r="AC98" s="814"/>
      <c r="AD98" s="553"/>
    </row>
    <row r="99" spans="2:31" x14ac:dyDescent="0.2">
      <c r="B99" s="702"/>
      <c r="C99" s="552" t="s">
        <v>45</v>
      </c>
      <c r="D99" s="553"/>
      <c r="E99" s="553"/>
      <c r="F99" s="553"/>
      <c r="G99" s="553">
        <f>IF(G23=1,(G95/G93)*G91,0)</f>
        <v>0</v>
      </c>
      <c r="H99" s="553">
        <f>IF(H23=1,(H95/H93)*H91,0)</f>
        <v>0</v>
      </c>
      <c r="I99" s="553">
        <f t="shared" si="41"/>
        <v>271.96978510758606</v>
      </c>
      <c r="J99" s="553">
        <f t="shared" si="40"/>
        <v>574.78774309100004</v>
      </c>
      <c r="K99" s="553">
        <f t="shared" si="40"/>
        <v>659.87548865990436</v>
      </c>
      <c r="L99" s="553">
        <f t="shared" si="40"/>
        <v>681.80315114807297</v>
      </c>
      <c r="M99" s="553">
        <f t="shared" si="40"/>
        <v>704.4594698607234</v>
      </c>
      <c r="N99" s="553">
        <f t="shared" si="40"/>
        <v>727.86865804419517</v>
      </c>
      <c r="O99" s="553">
        <f t="shared" si="40"/>
        <v>752.05573355100341</v>
      </c>
      <c r="P99" s="553">
        <f t="shared" si="40"/>
        <v>777.04654557690344</v>
      </c>
      <c r="Q99" s="553">
        <f t="shared" si="40"/>
        <v>802.86780228642397</v>
      </c>
      <c r="R99" s="553">
        <f t="shared" si="40"/>
        <v>829.54709935640176</v>
      </c>
      <c r="S99" s="553">
        <f t="shared" si="40"/>
        <v>857.11294946801479</v>
      </c>
      <c r="T99" s="553">
        <f t="shared" si="40"/>
        <v>885.59481277883685</v>
      </c>
      <c r="U99" s="553">
        <f t="shared" si="40"/>
        <v>915.02312840747754</v>
      </c>
      <c r="V99" s="553">
        <f t="shared" si="40"/>
        <v>945.42934696445798</v>
      </c>
      <c r="W99" s="553">
        <f t="shared" si="40"/>
        <v>976.84596416408647</v>
      </c>
      <c r="X99" s="553">
        <f t="shared" si="40"/>
        <v>1009.3065555532595</v>
      </c>
      <c r="Y99" s="553"/>
      <c r="Z99" s="553"/>
      <c r="AA99" s="553"/>
      <c r="AB99" s="553"/>
      <c r="AC99" s="814"/>
      <c r="AD99" s="553"/>
    </row>
    <row r="100" spans="2:31" x14ac:dyDescent="0.2">
      <c r="B100" s="702"/>
      <c r="C100" s="552"/>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823"/>
      <c r="AD100" s="557"/>
    </row>
    <row r="101" spans="2:31" x14ac:dyDescent="0.2">
      <c r="B101" s="702"/>
      <c r="C101" s="536" t="s">
        <v>65</v>
      </c>
      <c r="D101" s="558">
        <f t="shared" ref="D101:X101" si="42">$AB$69*D$95*0.001</f>
        <v>0</v>
      </c>
      <c r="E101" s="558">
        <f t="shared" si="42"/>
        <v>0</v>
      </c>
      <c r="F101" s="558">
        <f t="shared" si="42"/>
        <v>0</v>
      </c>
      <c r="G101" s="558">
        <f t="shared" si="42"/>
        <v>0</v>
      </c>
      <c r="H101" s="558">
        <f t="shared" si="42"/>
        <v>0</v>
      </c>
      <c r="I101" s="558">
        <f t="shared" si="42"/>
        <v>2.839613495057586</v>
      </c>
      <c r="J101" s="558">
        <f t="shared" si="42"/>
        <v>6.0013101507920794</v>
      </c>
      <c r="K101" s="558">
        <f t="shared" si="42"/>
        <v>6.8897040967809984</v>
      </c>
      <c r="L101" s="558">
        <f t="shared" si="42"/>
        <v>7.1186489639170301</v>
      </c>
      <c r="M101" s="558">
        <f t="shared" si="42"/>
        <v>7.3552016689879913</v>
      </c>
      <c r="N101" s="558">
        <f t="shared" si="42"/>
        <v>7.5996150204484643</v>
      </c>
      <c r="O101" s="558">
        <f t="shared" si="42"/>
        <v>7.8521502275779644</v>
      </c>
      <c r="P101" s="558">
        <f t="shared" si="42"/>
        <v>8.1130771796403796</v>
      </c>
      <c r="Q101" s="558">
        <f t="shared" si="42"/>
        <v>8.3826747343198296</v>
      </c>
      <c r="R101" s="558">
        <f t="shared" si="42"/>
        <v>8.6612310157412775</v>
      </c>
      <c r="S101" s="558">
        <f t="shared" si="42"/>
        <v>8.9490437223943555</v>
      </c>
      <c r="T101" s="558">
        <f t="shared" si="42"/>
        <v>9.2464204452895213</v>
      </c>
      <c r="U101" s="558">
        <f t="shared" si="42"/>
        <v>9.5536789966864912</v>
      </c>
      <c r="V101" s="558">
        <f t="shared" si="42"/>
        <v>9.8711477497463846</v>
      </c>
      <c r="W101" s="558">
        <f t="shared" si="42"/>
        <v>10.199165989470449</v>
      </c>
      <c r="X101" s="558">
        <f t="shared" si="42"/>
        <v>10.538084275300557</v>
      </c>
      <c r="Y101" s="558"/>
      <c r="Z101" s="558"/>
      <c r="AA101" s="558"/>
      <c r="AB101" s="558"/>
      <c r="AC101" s="808"/>
      <c r="AD101" s="558"/>
    </row>
    <row r="102" spans="2:31" ht="13.5" thickBot="1" x14ac:dyDescent="0.25">
      <c r="C102" s="540"/>
      <c r="D102" s="724"/>
      <c r="E102" s="724"/>
      <c r="F102" s="724"/>
      <c r="G102" s="724"/>
      <c r="H102" s="749"/>
      <c r="I102" s="749" t="str">
        <f>IF(I96=0," ",I96)</f>
        <v xml:space="preserve"> </v>
      </c>
      <c r="J102" s="749" t="str">
        <f t="shared" ref="J102:X102" si="43">IF(J96=0," ",J96)</f>
        <v xml:space="preserve"> </v>
      </c>
      <c r="K102" s="749" t="str">
        <f t="shared" si="43"/>
        <v xml:space="preserve"> </v>
      </c>
      <c r="L102" s="749" t="str">
        <f t="shared" si="43"/>
        <v xml:space="preserve"> </v>
      </c>
      <c r="M102" s="749" t="str">
        <f t="shared" si="43"/>
        <v xml:space="preserve"> </v>
      </c>
      <c r="N102" s="749" t="str">
        <f t="shared" si="43"/>
        <v xml:space="preserve"> </v>
      </c>
      <c r="O102" s="749" t="str">
        <f t="shared" si="43"/>
        <v xml:space="preserve"> </v>
      </c>
      <c r="P102" s="749" t="str">
        <f t="shared" si="43"/>
        <v xml:space="preserve"> </v>
      </c>
      <c r="Q102" s="749" t="str">
        <f t="shared" si="43"/>
        <v xml:space="preserve"> </v>
      </c>
      <c r="R102" s="749" t="str">
        <f t="shared" si="43"/>
        <v xml:space="preserve"> </v>
      </c>
      <c r="S102" s="749" t="str">
        <f t="shared" si="43"/>
        <v xml:space="preserve"> </v>
      </c>
      <c r="T102" s="749" t="str">
        <f t="shared" si="43"/>
        <v xml:space="preserve"> </v>
      </c>
      <c r="U102" s="749" t="str">
        <f t="shared" si="43"/>
        <v xml:space="preserve"> </v>
      </c>
      <c r="V102" s="749" t="str">
        <f t="shared" si="43"/>
        <v xml:space="preserve"> </v>
      </c>
      <c r="W102" s="749" t="str">
        <f t="shared" si="43"/>
        <v xml:space="preserve"> </v>
      </c>
      <c r="X102" s="749" t="str">
        <f t="shared" si="43"/>
        <v xml:space="preserve"> </v>
      </c>
      <c r="Y102" s="749"/>
      <c r="Z102" s="749"/>
      <c r="AA102" s="749"/>
      <c r="AB102" s="749"/>
      <c r="AC102" s="824"/>
      <c r="AD102" s="246"/>
    </row>
    <row r="103" spans="2:31" ht="13.5" thickBot="1" x14ac:dyDescent="0.25">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row>
    <row r="104" spans="2:31" x14ac:dyDescent="0.2">
      <c r="C104" s="560"/>
      <c r="D104" s="752">
        <f>IF(D113=$D111,1,0)</f>
        <v>0</v>
      </c>
      <c r="E104" s="752">
        <f>IF(E113=$D111,1,0)</f>
        <v>0</v>
      </c>
      <c r="F104" s="752">
        <f>IF(F113=$D111,1,0)</f>
        <v>0</v>
      </c>
      <c r="G104" s="752" t="s">
        <v>140</v>
      </c>
      <c r="H104" s="754" t="str">
        <f t="shared" ref="H104:X104" si="44">IF(H113=$D111,H22," ")</f>
        <v xml:space="preserve"> </v>
      </c>
      <c r="I104" s="754" t="str">
        <f t="shared" si="44"/>
        <v xml:space="preserve"> </v>
      </c>
      <c r="J104" s="754" t="str">
        <f t="shared" si="44"/>
        <v xml:space="preserve"> </v>
      </c>
      <c r="K104" s="754" t="str">
        <f t="shared" si="44"/>
        <v xml:space="preserve"> </v>
      </c>
      <c r="L104" s="754" t="str">
        <f t="shared" si="44"/>
        <v xml:space="preserve"> </v>
      </c>
      <c r="M104" s="754" t="str">
        <f t="shared" si="44"/>
        <v xml:space="preserve"> </v>
      </c>
      <c r="N104" s="754" t="str">
        <f t="shared" si="44"/>
        <v xml:space="preserve"> </v>
      </c>
      <c r="O104" s="754" t="str">
        <f t="shared" si="44"/>
        <v xml:space="preserve"> </v>
      </c>
      <c r="P104" s="754" t="str">
        <f t="shared" si="44"/>
        <v xml:space="preserve"> </v>
      </c>
      <c r="Q104" s="755" t="str">
        <f t="shared" si="44"/>
        <v xml:space="preserve"> </v>
      </c>
      <c r="R104" s="755" t="str">
        <f t="shared" si="44"/>
        <v xml:space="preserve"> </v>
      </c>
      <c r="S104" s="755" t="str">
        <f t="shared" si="44"/>
        <v xml:space="preserve"> </v>
      </c>
      <c r="T104" s="755" t="str">
        <f t="shared" si="44"/>
        <v xml:space="preserve"> </v>
      </c>
      <c r="U104" s="755" t="str">
        <f t="shared" si="44"/>
        <v xml:space="preserve"> </v>
      </c>
      <c r="V104" s="755" t="str">
        <f t="shared" si="44"/>
        <v xml:space="preserve"> </v>
      </c>
      <c r="W104" s="755" t="str">
        <f t="shared" si="44"/>
        <v xml:space="preserve"> </v>
      </c>
      <c r="X104" s="755" t="str">
        <f t="shared" si="44"/>
        <v xml:space="preserve"> </v>
      </c>
      <c r="Y104" s="829"/>
      <c r="Z104" s="556"/>
      <c r="AA104" s="556"/>
      <c r="AB104" s="556"/>
      <c r="AC104" s="556"/>
      <c r="AD104" s="556"/>
      <c r="AE104" s="819"/>
    </row>
    <row r="105" spans="2:31" s="543" customFormat="1" x14ac:dyDescent="0.2">
      <c r="C105" s="758" t="s">
        <v>615</v>
      </c>
      <c r="D105" s="533"/>
      <c r="E105" s="533"/>
      <c r="F105" s="533"/>
      <c r="G105" s="535"/>
      <c r="H105" s="535"/>
      <c r="I105" s="535"/>
      <c r="J105" s="535"/>
      <c r="K105" s="535"/>
      <c r="L105" s="535"/>
      <c r="M105" s="535"/>
      <c r="N105" s="535"/>
      <c r="O105" s="535"/>
      <c r="P105" s="535"/>
      <c r="Q105" s="535"/>
      <c r="R105" s="535"/>
      <c r="S105" s="535"/>
      <c r="T105" s="535"/>
      <c r="U105" s="535"/>
      <c r="V105" s="535"/>
      <c r="W105" s="535"/>
      <c r="X105" s="535"/>
      <c r="Y105" s="534"/>
      <c r="Z105" s="542"/>
      <c r="AA105" s="542"/>
      <c r="AB105" s="542"/>
      <c r="AC105" s="542"/>
    </row>
    <row r="106" spans="2:31" s="240" customFormat="1" x14ac:dyDescent="0.2">
      <c r="C106" s="548"/>
      <c r="D106" s="111">
        <v>2008</v>
      </c>
      <c r="E106" s="111">
        <v>2009</v>
      </c>
      <c r="F106" s="111">
        <f>E106+1</f>
        <v>2010</v>
      </c>
      <c r="G106" s="111">
        <f>F106+1</f>
        <v>2011</v>
      </c>
      <c r="H106" s="111">
        <f>G106+1</f>
        <v>2012</v>
      </c>
      <c r="I106" s="111">
        <f>H106+1</f>
        <v>2013</v>
      </c>
      <c r="J106" s="111">
        <f t="shared" ref="J106:X106" si="45">I106+1</f>
        <v>2014</v>
      </c>
      <c r="K106" s="111">
        <f t="shared" si="45"/>
        <v>2015</v>
      </c>
      <c r="L106" s="111">
        <f t="shared" si="45"/>
        <v>2016</v>
      </c>
      <c r="M106" s="111">
        <f t="shared" si="45"/>
        <v>2017</v>
      </c>
      <c r="N106" s="111">
        <f t="shared" si="45"/>
        <v>2018</v>
      </c>
      <c r="O106" s="111">
        <f t="shared" si="45"/>
        <v>2019</v>
      </c>
      <c r="P106" s="111">
        <f t="shared" si="45"/>
        <v>2020</v>
      </c>
      <c r="Q106" s="111">
        <f t="shared" si="45"/>
        <v>2021</v>
      </c>
      <c r="R106" s="111">
        <f t="shared" si="45"/>
        <v>2022</v>
      </c>
      <c r="S106" s="111">
        <f t="shared" si="45"/>
        <v>2023</v>
      </c>
      <c r="T106" s="111">
        <f t="shared" si="45"/>
        <v>2024</v>
      </c>
      <c r="U106" s="111">
        <f t="shared" si="45"/>
        <v>2025</v>
      </c>
      <c r="V106" s="111">
        <f t="shared" si="45"/>
        <v>2026</v>
      </c>
      <c r="W106" s="111">
        <f t="shared" si="45"/>
        <v>2027</v>
      </c>
      <c r="X106" s="111">
        <f t="shared" si="45"/>
        <v>2028</v>
      </c>
      <c r="Y106" s="550"/>
      <c r="Z106" s="111"/>
      <c r="AA106" s="111"/>
      <c r="AB106" s="111"/>
      <c r="AC106" s="111"/>
      <c r="AD106" s="111"/>
    </row>
    <row r="107" spans="2:31" x14ac:dyDescent="0.2">
      <c r="C107" s="548"/>
      <c r="G107" s="557"/>
      <c r="H107" s="557"/>
      <c r="I107" s="557"/>
      <c r="J107" s="557"/>
      <c r="K107" s="557"/>
      <c r="L107" s="557"/>
      <c r="M107" s="557"/>
      <c r="N107" s="557"/>
      <c r="O107" s="557"/>
      <c r="P107" s="557"/>
      <c r="Q107" s="557"/>
      <c r="R107" s="557"/>
      <c r="S107" s="557"/>
      <c r="T107" s="557"/>
      <c r="U107" s="557"/>
      <c r="V107" s="557"/>
      <c r="W107" s="557"/>
      <c r="X107" s="557"/>
      <c r="Y107" s="823"/>
      <c r="Z107" s="557"/>
      <c r="AA107" s="557"/>
      <c r="AB107" s="557"/>
      <c r="AC107" s="557"/>
      <c r="AD107" s="557"/>
    </row>
    <row r="108" spans="2:31" x14ac:dyDescent="0.2">
      <c r="C108" s="721" t="s">
        <v>67</v>
      </c>
      <c r="D108" s="810">
        <v>31.6</v>
      </c>
      <c r="E108" s="710">
        <f t="shared" ref="E108:X108" si="46">IF(E$23=1,$D108*$AC69,0)</f>
        <v>0</v>
      </c>
      <c r="F108" s="710">
        <f t="shared" si="46"/>
        <v>0</v>
      </c>
      <c r="G108" s="710">
        <f t="shared" si="46"/>
        <v>0</v>
      </c>
      <c r="H108" s="710">
        <f t="shared" si="46"/>
        <v>0</v>
      </c>
      <c r="I108" s="710">
        <f t="shared" si="46"/>
        <v>31.6</v>
      </c>
      <c r="J108" s="710">
        <f t="shared" si="46"/>
        <v>31.6</v>
      </c>
      <c r="K108" s="710">
        <f t="shared" si="46"/>
        <v>31.6</v>
      </c>
      <c r="L108" s="710">
        <f t="shared" si="46"/>
        <v>31.6</v>
      </c>
      <c r="M108" s="710">
        <f t="shared" si="46"/>
        <v>31.6</v>
      </c>
      <c r="N108" s="710">
        <f t="shared" si="46"/>
        <v>31.6</v>
      </c>
      <c r="O108" s="710">
        <f t="shared" si="46"/>
        <v>31.6</v>
      </c>
      <c r="P108" s="710">
        <f t="shared" si="46"/>
        <v>31.6</v>
      </c>
      <c r="Q108" s="710">
        <f t="shared" si="46"/>
        <v>31.6</v>
      </c>
      <c r="R108" s="710">
        <f t="shared" si="46"/>
        <v>31.6</v>
      </c>
      <c r="S108" s="710">
        <f t="shared" si="46"/>
        <v>31.6</v>
      </c>
      <c r="T108" s="710">
        <f t="shared" si="46"/>
        <v>31.6</v>
      </c>
      <c r="U108" s="710">
        <f t="shared" si="46"/>
        <v>31.6</v>
      </c>
      <c r="V108" s="710">
        <f t="shared" si="46"/>
        <v>31.6</v>
      </c>
      <c r="W108" s="710">
        <f t="shared" si="46"/>
        <v>31.6</v>
      </c>
      <c r="X108" s="710">
        <f t="shared" si="46"/>
        <v>31.6</v>
      </c>
      <c r="Y108" s="696"/>
      <c r="Z108" s="710"/>
      <c r="AA108" s="710"/>
      <c r="AB108" s="710"/>
      <c r="AC108" s="710"/>
      <c r="AD108" s="710"/>
    </row>
    <row r="109" spans="2:31" x14ac:dyDescent="0.2">
      <c r="B109" s="543">
        <f>B152</f>
        <v>1</v>
      </c>
      <c r="C109" s="721" t="s">
        <v>69</v>
      </c>
      <c r="D109" s="722">
        <f>D108*0.85*Assumptions!C57*8.76*$AC69</f>
        <v>129.41148000000001</v>
      </c>
      <c r="E109" s="722">
        <f>D109</f>
        <v>129.41148000000001</v>
      </c>
      <c r="F109" s="722">
        <f t="shared" ref="F109:X109" si="47">E109</f>
        <v>129.41148000000001</v>
      </c>
      <c r="G109" s="722">
        <f t="shared" si="47"/>
        <v>129.41148000000001</v>
      </c>
      <c r="H109" s="722">
        <f t="shared" si="47"/>
        <v>129.41148000000001</v>
      </c>
      <c r="I109" s="722">
        <f t="shared" si="47"/>
        <v>129.41148000000001</v>
      </c>
      <c r="J109" s="722">
        <f t="shared" si="47"/>
        <v>129.41148000000001</v>
      </c>
      <c r="K109" s="722">
        <f t="shared" si="47"/>
        <v>129.41148000000001</v>
      </c>
      <c r="L109" s="722">
        <f t="shared" si="47"/>
        <v>129.41148000000001</v>
      </c>
      <c r="M109" s="722">
        <f t="shared" si="47"/>
        <v>129.41148000000001</v>
      </c>
      <c r="N109" s="722">
        <f t="shared" si="47"/>
        <v>129.41148000000001</v>
      </c>
      <c r="O109" s="722">
        <f t="shared" si="47"/>
        <v>129.41148000000001</v>
      </c>
      <c r="P109" s="722">
        <f t="shared" si="47"/>
        <v>129.41148000000001</v>
      </c>
      <c r="Q109" s="722">
        <f t="shared" si="47"/>
        <v>129.41148000000001</v>
      </c>
      <c r="R109" s="722">
        <f t="shared" si="47"/>
        <v>129.41148000000001</v>
      </c>
      <c r="S109" s="722">
        <f t="shared" si="47"/>
        <v>129.41148000000001</v>
      </c>
      <c r="T109" s="722">
        <f t="shared" si="47"/>
        <v>129.41148000000001</v>
      </c>
      <c r="U109" s="722">
        <f t="shared" si="47"/>
        <v>129.41148000000001</v>
      </c>
      <c r="V109" s="722">
        <f t="shared" si="47"/>
        <v>129.41148000000001</v>
      </c>
      <c r="W109" s="722">
        <f t="shared" si="47"/>
        <v>129.41148000000001</v>
      </c>
      <c r="X109" s="722">
        <f t="shared" si="47"/>
        <v>129.41148000000001</v>
      </c>
      <c r="Y109" s="825"/>
      <c r="Z109" s="722"/>
      <c r="AA109" s="722"/>
      <c r="AB109" s="722"/>
      <c r="AC109" s="722"/>
      <c r="AD109" s="722"/>
    </row>
    <row r="110" spans="2:31" x14ac:dyDescent="0.2">
      <c r="B110" s="543">
        <f>B153</f>
        <v>2</v>
      </c>
      <c r="C110" s="721" t="s">
        <v>68</v>
      </c>
      <c r="D110" s="810">
        <v>27</v>
      </c>
      <c r="E110" s="710">
        <f t="shared" ref="E110:X110" si="48">IF(E$23=1,$D110,0)</f>
        <v>0</v>
      </c>
      <c r="F110" s="710">
        <f t="shared" si="48"/>
        <v>0</v>
      </c>
      <c r="G110" s="710">
        <f t="shared" si="48"/>
        <v>0</v>
      </c>
      <c r="H110" s="710">
        <f t="shared" si="48"/>
        <v>0</v>
      </c>
      <c r="I110" s="710">
        <f t="shared" si="48"/>
        <v>27</v>
      </c>
      <c r="J110" s="710">
        <f t="shared" si="48"/>
        <v>27</v>
      </c>
      <c r="K110" s="710">
        <f t="shared" si="48"/>
        <v>27</v>
      </c>
      <c r="L110" s="710">
        <f t="shared" si="48"/>
        <v>27</v>
      </c>
      <c r="M110" s="710">
        <f t="shared" si="48"/>
        <v>27</v>
      </c>
      <c r="N110" s="710">
        <f t="shared" si="48"/>
        <v>27</v>
      </c>
      <c r="O110" s="710">
        <f t="shared" si="48"/>
        <v>27</v>
      </c>
      <c r="P110" s="710">
        <f t="shared" si="48"/>
        <v>27</v>
      </c>
      <c r="Q110" s="710">
        <f t="shared" si="48"/>
        <v>27</v>
      </c>
      <c r="R110" s="710">
        <f t="shared" si="48"/>
        <v>27</v>
      </c>
      <c r="S110" s="710">
        <f t="shared" si="48"/>
        <v>27</v>
      </c>
      <c r="T110" s="710">
        <f t="shared" si="48"/>
        <v>27</v>
      </c>
      <c r="U110" s="710">
        <f t="shared" si="48"/>
        <v>27</v>
      </c>
      <c r="V110" s="710">
        <f t="shared" si="48"/>
        <v>27</v>
      </c>
      <c r="W110" s="710">
        <f t="shared" si="48"/>
        <v>27</v>
      </c>
      <c r="X110" s="710">
        <f t="shared" si="48"/>
        <v>27</v>
      </c>
      <c r="Y110" s="696"/>
      <c r="Z110" s="710"/>
      <c r="AA110" s="710"/>
      <c r="AB110" s="710"/>
      <c r="AC110" s="710"/>
      <c r="AD110" s="710"/>
    </row>
    <row r="111" spans="2:31" x14ac:dyDescent="0.2">
      <c r="B111" s="543">
        <f>B154</f>
        <v>3</v>
      </c>
      <c r="C111" s="721" t="s">
        <v>72</v>
      </c>
      <c r="D111" s="722">
        <f>(D110*0.58*8760*0.001)+D109</f>
        <v>266.59307999999999</v>
      </c>
      <c r="E111" s="710"/>
      <c r="F111" s="710"/>
      <c r="G111" s="710"/>
      <c r="H111" s="710"/>
      <c r="I111" s="710"/>
      <c r="J111" s="710"/>
      <c r="K111" s="710"/>
      <c r="L111" s="710"/>
      <c r="M111" s="710"/>
      <c r="N111" s="710"/>
      <c r="O111" s="710"/>
      <c r="P111" s="710"/>
      <c r="Q111" s="710"/>
      <c r="R111" s="710"/>
      <c r="S111" s="710"/>
      <c r="T111" s="710"/>
      <c r="U111" s="710"/>
      <c r="V111" s="710"/>
      <c r="W111" s="710"/>
      <c r="X111" s="710"/>
      <c r="Y111" s="696"/>
      <c r="Z111" s="710"/>
      <c r="AA111" s="710"/>
      <c r="AB111" s="710"/>
      <c r="AC111" s="710"/>
      <c r="AD111" s="710"/>
    </row>
    <row r="112" spans="2:31" x14ac:dyDescent="0.2">
      <c r="B112" s="543"/>
      <c r="C112" s="721" t="s">
        <v>33</v>
      </c>
      <c r="D112" s="710"/>
      <c r="E112" s="710"/>
      <c r="F112" s="710"/>
      <c r="G112" s="710"/>
      <c r="H112" s="538">
        <f>IF(AC69=1,Assumptions!F35,0)</f>
        <v>47388</v>
      </c>
      <c r="I112" s="538">
        <f>IF(I104=" ",H112*(1+Assumptions!$C$56),H112)</f>
        <v>48477.923999999999</v>
      </c>
      <c r="J112" s="538">
        <f>IF(J104=" ",I112*(1+Assumptions!$C$56),I112)</f>
        <v>49592.916251999995</v>
      </c>
      <c r="K112" s="538">
        <f>IF(K104=" ",J112*(1+Assumptions!$C$56),J112)</f>
        <v>50733.553325795991</v>
      </c>
      <c r="L112" s="538">
        <f>IF(L104=" ",K112*(1+Assumptions!$C$56),K112)</f>
        <v>51900.425052289291</v>
      </c>
      <c r="M112" s="538">
        <f>IF(M104=" ",L112*(1+Assumptions!$C$56),L112)</f>
        <v>53094.134828491937</v>
      </c>
      <c r="N112" s="538">
        <f>IF(N104=" ",M112*(1+Assumptions!$C$56),M112)</f>
        <v>54315.299929547247</v>
      </c>
      <c r="O112" s="538">
        <f>IF(O104=" ",N112*(1+Assumptions!$C$56),N112)</f>
        <v>55564.551827926829</v>
      </c>
      <c r="P112" s="538">
        <f>IF(P104=" ",O112*(1+Assumptions!$C$56),O112)</f>
        <v>56842.536519969144</v>
      </c>
      <c r="Q112" s="538">
        <f>IF(Q104=" ",P112*(1+Assumptions!$C$56),P112)</f>
        <v>58149.914859928431</v>
      </c>
      <c r="R112" s="538">
        <f>IF(R104=" ",Q112*(1+Assumptions!$C$56),Q112)</f>
        <v>59487.36290170678</v>
      </c>
      <c r="S112" s="538">
        <f>IF(S104=" ",R112*(1+Assumptions!$C$56),R112)</f>
        <v>60855.572248446028</v>
      </c>
      <c r="T112" s="538">
        <f>IF(T104=" ",S112*(1+Assumptions!$C$56),S112)</f>
        <v>62255.250410160283</v>
      </c>
      <c r="U112" s="538">
        <f>IF(U104=" ",T112*(1+Assumptions!$C$56),T112)</f>
        <v>63687.121169593964</v>
      </c>
      <c r="V112" s="538">
        <f>IF(V104=" ",U112*(1+Assumptions!$C$56),U112)</f>
        <v>65151.924956494622</v>
      </c>
      <c r="W112" s="538">
        <f>IF(W104=" ",V112*(1+Assumptions!$C$56),V112)</f>
        <v>66650.419230493993</v>
      </c>
      <c r="X112" s="538">
        <f>IF(X104=" ",W112*(1+Assumptions!$C$56),W112)</f>
        <v>68183.378872795351</v>
      </c>
      <c r="Y112" s="826"/>
      <c r="Z112" s="538"/>
      <c r="AA112" s="538"/>
      <c r="AB112" s="538"/>
      <c r="AC112" s="538"/>
      <c r="AD112" s="538"/>
    </row>
    <row r="113" spans="2:31" x14ac:dyDescent="0.2">
      <c r="B113" s="543">
        <f>B155</f>
        <v>4</v>
      </c>
      <c r="C113" s="721" t="s">
        <v>96</v>
      </c>
      <c r="D113" s="722">
        <f>D110*Assumptions!C57*8760*0.001</f>
        <v>130.08600000000001</v>
      </c>
      <c r="E113" s="722">
        <f t="shared" ref="E113:X113" si="49">IF(E$23=0,D113,MIN((D113*(1+ss_growth)),$D111))</f>
        <v>130.08600000000001</v>
      </c>
      <c r="F113" s="722">
        <f t="shared" si="49"/>
        <v>130.08600000000001</v>
      </c>
      <c r="G113" s="722">
        <f t="shared" si="49"/>
        <v>130.08600000000001</v>
      </c>
      <c r="H113" s="722">
        <f t="shared" si="49"/>
        <v>130.08600000000001</v>
      </c>
      <c r="I113" s="722">
        <f t="shared" si="49"/>
        <v>131.38686000000001</v>
      </c>
      <c r="J113" s="722">
        <f t="shared" si="49"/>
        <v>132.70072860000002</v>
      </c>
      <c r="K113" s="722">
        <f t="shared" si="49"/>
        <v>134.02773588600002</v>
      </c>
      <c r="L113" s="722">
        <f t="shared" si="49"/>
        <v>135.36801324486001</v>
      </c>
      <c r="M113" s="722">
        <f t="shared" si="49"/>
        <v>136.72169337730861</v>
      </c>
      <c r="N113" s="722">
        <f t="shared" si="49"/>
        <v>138.08891031108169</v>
      </c>
      <c r="O113" s="722">
        <f t="shared" si="49"/>
        <v>139.46979941419252</v>
      </c>
      <c r="P113" s="722">
        <f t="shared" si="49"/>
        <v>140.86449740833444</v>
      </c>
      <c r="Q113" s="722">
        <f t="shared" si="49"/>
        <v>142.2731423824178</v>
      </c>
      <c r="R113" s="722">
        <f t="shared" si="49"/>
        <v>143.69587380624199</v>
      </c>
      <c r="S113" s="722">
        <f t="shared" si="49"/>
        <v>145.13283254430442</v>
      </c>
      <c r="T113" s="722">
        <f t="shared" si="49"/>
        <v>146.58416086974748</v>
      </c>
      <c r="U113" s="722">
        <f t="shared" si="49"/>
        <v>148.05000247844495</v>
      </c>
      <c r="V113" s="722">
        <f t="shared" si="49"/>
        <v>149.5305025032294</v>
      </c>
      <c r="W113" s="722">
        <f t="shared" si="49"/>
        <v>151.02580752826171</v>
      </c>
      <c r="X113" s="722">
        <f t="shared" si="49"/>
        <v>152.53606560354433</v>
      </c>
      <c r="Y113" s="825"/>
      <c r="Z113" s="722"/>
      <c r="AA113" s="722"/>
      <c r="AB113" s="722"/>
      <c r="AC113" s="722"/>
      <c r="AD113" s="722"/>
    </row>
    <row r="114" spans="2:31" x14ac:dyDescent="0.2">
      <c r="B114" s="543"/>
      <c r="C114" s="721" t="s">
        <v>66</v>
      </c>
      <c r="D114" s="710">
        <v>0</v>
      </c>
      <c r="E114" s="710">
        <f t="shared" ref="E114:X114" si="50">E113-$D113</f>
        <v>0</v>
      </c>
      <c r="F114" s="710">
        <f t="shared" si="50"/>
        <v>0</v>
      </c>
      <c r="G114" s="710">
        <f t="shared" si="50"/>
        <v>0</v>
      </c>
      <c r="H114" s="710">
        <f t="shared" si="50"/>
        <v>0</v>
      </c>
      <c r="I114" s="710">
        <f t="shared" si="50"/>
        <v>1.3008600000000001</v>
      </c>
      <c r="J114" s="710">
        <f t="shared" si="50"/>
        <v>2.6147286000000065</v>
      </c>
      <c r="K114" s="710">
        <f t="shared" si="50"/>
        <v>3.9417358860000036</v>
      </c>
      <c r="L114" s="710">
        <f t="shared" si="50"/>
        <v>5.2820132448599963</v>
      </c>
      <c r="M114" s="710">
        <f t="shared" si="50"/>
        <v>6.6356933773085984</v>
      </c>
      <c r="N114" s="710">
        <f t="shared" si="50"/>
        <v>8.0029103110816777</v>
      </c>
      <c r="O114" s="710">
        <f t="shared" si="50"/>
        <v>9.3837994141925094</v>
      </c>
      <c r="P114" s="710">
        <f t="shared" si="50"/>
        <v>10.778497408334431</v>
      </c>
      <c r="Q114" s="710">
        <f t="shared" si="50"/>
        <v>12.18714238241779</v>
      </c>
      <c r="R114" s="710">
        <f t="shared" si="50"/>
        <v>13.609873806241978</v>
      </c>
      <c r="S114" s="710">
        <f t="shared" si="50"/>
        <v>15.046832544304408</v>
      </c>
      <c r="T114" s="710">
        <f t="shared" si="50"/>
        <v>16.498160869747466</v>
      </c>
      <c r="U114" s="710">
        <f t="shared" si="50"/>
        <v>17.964002478444939</v>
      </c>
      <c r="V114" s="710">
        <f t="shared" si="50"/>
        <v>19.444502503229387</v>
      </c>
      <c r="W114" s="710">
        <f t="shared" si="50"/>
        <v>20.939807528261696</v>
      </c>
      <c r="X114" s="710">
        <f t="shared" si="50"/>
        <v>22.450065603544317</v>
      </c>
      <c r="Y114" s="696"/>
      <c r="Z114" s="710"/>
      <c r="AA114" s="710"/>
      <c r="AB114" s="710"/>
      <c r="AC114" s="710"/>
      <c r="AD114" s="710"/>
    </row>
    <row r="115" spans="2:31" x14ac:dyDescent="0.2">
      <c r="B115" s="543">
        <f>B156</f>
        <v>5</v>
      </c>
      <c r="C115" s="721" t="s">
        <v>80</v>
      </c>
      <c r="D115" s="710">
        <f>SUM(D114:D114)-(SUM(D114:D114)*(1-D51))</f>
        <v>0</v>
      </c>
      <c r="E115" s="710">
        <f>IF(E23=0,0,SUM(E114:E114))</f>
        <v>0</v>
      </c>
      <c r="F115" s="710">
        <f t="shared" ref="F115:X115" si="51">IF(F23=0,0,((SUM(F114:F114)*(1-F51))))</f>
        <v>0</v>
      </c>
      <c r="G115" s="710">
        <f t="shared" si="51"/>
        <v>0</v>
      </c>
      <c r="H115" s="710">
        <f t="shared" si="51"/>
        <v>0</v>
      </c>
      <c r="I115" s="710">
        <f t="shared" si="51"/>
        <v>1.3008600000000001</v>
      </c>
      <c r="J115" s="710">
        <f t="shared" si="51"/>
        <v>2.6147286000000065</v>
      </c>
      <c r="K115" s="710">
        <f t="shared" si="51"/>
        <v>3.9417358860000036</v>
      </c>
      <c r="L115" s="710">
        <f t="shared" si="51"/>
        <v>5.2820132448599963</v>
      </c>
      <c r="M115" s="710">
        <f t="shared" si="51"/>
        <v>6.6356933773085984</v>
      </c>
      <c r="N115" s="710">
        <f t="shared" si="51"/>
        <v>8.0029103110816777</v>
      </c>
      <c r="O115" s="710">
        <f t="shared" si="51"/>
        <v>9.3837994141925094</v>
      </c>
      <c r="P115" s="710">
        <f t="shared" si="51"/>
        <v>10.778497408334431</v>
      </c>
      <c r="Q115" s="710">
        <f t="shared" si="51"/>
        <v>12.18714238241779</v>
      </c>
      <c r="R115" s="710">
        <f t="shared" si="51"/>
        <v>13.609873806241978</v>
      </c>
      <c r="S115" s="710">
        <f t="shared" si="51"/>
        <v>15.046832544304408</v>
      </c>
      <c r="T115" s="710">
        <f t="shared" si="51"/>
        <v>16.498160869747466</v>
      </c>
      <c r="U115" s="710">
        <f t="shared" si="51"/>
        <v>17.964002478444939</v>
      </c>
      <c r="V115" s="710">
        <f t="shared" si="51"/>
        <v>19.444502503229387</v>
      </c>
      <c r="W115" s="710">
        <f t="shared" si="51"/>
        <v>20.939807528261696</v>
      </c>
      <c r="X115" s="710">
        <f t="shared" si="51"/>
        <v>22.450065603544317</v>
      </c>
      <c r="Y115" s="696"/>
      <c r="Z115" s="710"/>
      <c r="AA115" s="710"/>
      <c r="AB115" s="710"/>
      <c r="AC115" s="710"/>
      <c r="AD115" s="710"/>
    </row>
    <row r="116" spans="2:31" x14ac:dyDescent="0.2">
      <c r="C116" s="552" t="s">
        <v>558</v>
      </c>
      <c r="D116" s="710">
        <f>D115*Assumptions!$C$75</f>
        <v>0</v>
      </c>
      <c r="E116" s="710">
        <f>E115*Assumptions!$C$75</f>
        <v>0</v>
      </c>
      <c r="F116" s="710">
        <f>F115*Assumptions!$C$75</f>
        <v>0</v>
      </c>
      <c r="G116" s="710">
        <f>G115*Assumptions!$C$75</f>
        <v>0</v>
      </c>
      <c r="H116" s="710">
        <f>H115*Assumptions!$C$75</f>
        <v>0</v>
      </c>
      <c r="I116" s="710">
        <f>I115*Assumptions!$C$75</f>
        <v>1.5610320000000002E-2</v>
      </c>
      <c r="J116" s="710">
        <f>J115*Assumptions!$C$75</f>
        <v>3.1376743200000078E-2</v>
      </c>
      <c r="K116" s="710">
        <f>K115*Assumptions!$C$75</f>
        <v>4.7300830632000045E-2</v>
      </c>
      <c r="L116" s="710">
        <f>L115*Assumptions!$C$75</f>
        <v>6.3384158938319959E-2</v>
      </c>
      <c r="M116" s="710">
        <f>M115*Assumptions!$C$75</f>
        <v>7.9628320527703189E-2</v>
      </c>
      <c r="N116" s="710">
        <f>N115*Assumptions!$C$75</f>
        <v>9.6034923732980129E-2</v>
      </c>
      <c r="O116" s="710">
        <f>O115*Assumptions!$C$75</f>
        <v>0.11260559297031011</v>
      </c>
      <c r="P116" s="710">
        <f>P115*Assumptions!$C$75</f>
        <v>0.12934196890001318</v>
      </c>
      <c r="Q116" s="710">
        <f>Q115*Assumptions!$C$75</f>
        <v>0.14624570858901348</v>
      </c>
      <c r="R116" s="710">
        <f>R115*Assumptions!$C$75</f>
        <v>0.16331848567490376</v>
      </c>
      <c r="S116" s="710">
        <f>S115*Assumptions!$C$75</f>
        <v>0.18056199053165289</v>
      </c>
      <c r="T116" s="710">
        <f>T115*Assumptions!$C$75</f>
        <v>0.1979779304369696</v>
      </c>
      <c r="U116" s="710">
        <f>U115*Assumptions!$C$75</f>
        <v>0.21556802974133929</v>
      </c>
      <c r="V116" s="710">
        <f>V115*Assumptions!$C$75</f>
        <v>0.23333403003875264</v>
      </c>
      <c r="W116" s="710">
        <f>W115*Assumptions!$C$75</f>
        <v>0.25127769033914038</v>
      </c>
      <c r="X116" s="710">
        <f>X115*Assumptions!$C$75</f>
        <v>0.2694007872425318</v>
      </c>
      <c r="Y116" s="696"/>
      <c r="Z116" s="710"/>
      <c r="AA116" s="710"/>
      <c r="AB116" s="710"/>
      <c r="AC116" s="710"/>
      <c r="AD116" s="710"/>
    </row>
    <row r="117" spans="2:31" x14ac:dyDescent="0.2">
      <c r="C117" s="721" t="s">
        <v>81</v>
      </c>
      <c r="D117" s="710">
        <f>D101</f>
        <v>0</v>
      </c>
      <c r="E117" s="710">
        <f>E101</f>
        <v>0</v>
      </c>
      <c r="F117" s="710">
        <f>F101</f>
        <v>0</v>
      </c>
      <c r="G117" s="710">
        <f>G101</f>
        <v>0</v>
      </c>
      <c r="H117" s="710">
        <f>H101</f>
        <v>0</v>
      </c>
      <c r="I117" s="710">
        <f t="shared" ref="I117:X117" si="52">I101</f>
        <v>2.839613495057586</v>
      </c>
      <c r="J117" s="710">
        <f t="shared" si="52"/>
        <v>6.0013101507920794</v>
      </c>
      <c r="K117" s="710">
        <f t="shared" si="52"/>
        <v>6.8897040967809984</v>
      </c>
      <c r="L117" s="710">
        <f t="shared" si="52"/>
        <v>7.1186489639170301</v>
      </c>
      <c r="M117" s="710">
        <f t="shared" si="52"/>
        <v>7.3552016689879913</v>
      </c>
      <c r="N117" s="710">
        <f t="shared" si="52"/>
        <v>7.5996150204484643</v>
      </c>
      <c r="O117" s="710">
        <f t="shared" si="52"/>
        <v>7.8521502275779644</v>
      </c>
      <c r="P117" s="710">
        <f t="shared" si="52"/>
        <v>8.1130771796403796</v>
      </c>
      <c r="Q117" s="710">
        <f t="shared" si="52"/>
        <v>8.3826747343198296</v>
      </c>
      <c r="R117" s="710">
        <f t="shared" si="52"/>
        <v>8.6612310157412775</v>
      </c>
      <c r="S117" s="710">
        <f t="shared" si="52"/>
        <v>8.9490437223943555</v>
      </c>
      <c r="T117" s="710">
        <f t="shared" si="52"/>
        <v>9.2464204452895213</v>
      </c>
      <c r="U117" s="710">
        <f t="shared" si="52"/>
        <v>9.5536789966864912</v>
      </c>
      <c r="V117" s="710">
        <f t="shared" si="52"/>
        <v>9.8711477497463846</v>
      </c>
      <c r="W117" s="710">
        <f t="shared" si="52"/>
        <v>10.199165989470449</v>
      </c>
      <c r="X117" s="710">
        <f t="shared" si="52"/>
        <v>10.538084275300557</v>
      </c>
      <c r="Y117" s="696"/>
      <c r="Z117" s="710"/>
      <c r="AA117" s="710"/>
      <c r="AB117" s="710"/>
      <c r="AC117" s="710"/>
      <c r="AD117" s="710"/>
    </row>
    <row r="118" spans="2:31" x14ac:dyDescent="0.2">
      <c r="C118" s="723" t="s">
        <v>82</v>
      </c>
      <c r="D118" s="710">
        <f>SUM(D117+D115)</f>
        <v>0</v>
      </c>
      <c r="E118" s="710">
        <f>SUM(E117+E115)</f>
        <v>0</v>
      </c>
      <c r="F118" s="710">
        <f>SUM(F117+F115)</f>
        <v>0</v>
      </c>
      <c r="G118" s="710">
        <f>SUM(G117+G115)</f>
        <v>0</v>
      </c>
      <c r="H118" s="710">
        <f>SUM(H117+H114)</f>
        <v>0</v>
      </c>
      <c r="I118" s="710">
        <f>SUM(I117+I114)</f>
        <v>4.1404734950575861</v>
      </c>
      <c r="J118" s="710">
        <f>SUM(J117+J114)</f>
        <v>8.6160387507920859</v>
      </c>
      <c r="K118" s="710">
        <f t="shared" ref="K118:X118" si="53">SUM(K117+K114)</f>
        <v>10.831439982781003</v>
      </c>
      <c r="L118" s="710">
        <f t="shared" si="53"/>
        <v>12.400662208777026</v>
      </c>
      <c r="M118" s="710">
        <f t="shared" si="53"/>
        <v>13.99089504629659</v>
      </c>
      <c r="N118" s="710">
        <f t="shared" si="53"/>
        <v>15.602525331530142</v>
      </c>
      <c r="O118" s="710">
        <f t="shared" si="53"/>
        <v>17.235949641770475</v>
      </c>
      <c r="P118" s="710">
        <f t="shared" si="53"/>
        <v>18.891574587974809</v>
      </c>
      <c r="Q118" s="710">
        <f t="shared" si="53"/>
        <v>20.569817116737617</v>
      </c>
      <c r="R118" s="710">
        <f t="shared" si="53"/>
        <v>22.271104821983258</v>
      </c>
      <c r="S118" s="710">
        <f t="shared" si="53"/>
        <v>23.995876266698765</v>
      </c>
      <c r="T118" s="710">
        <f t="shared" si="53"/>
        <v>25.744581315036989</v>
      </c>
      <c r="U118" s="710">
        <f t="shared" si="53"/>
        <v>27.517681475131432</v>
      </c>
      <c r="V118" s="710">
        <f t="shared" si="53"/>
        <v>29.315650252975772</v>
      </c>
      <c r="W118" s="710">
        <f t="shared" si="53"/>
        <v>31.138973517732147</v>
      </c>
      <c r="X118" s="710">
        <f t="shared" si="53"/>
        <v>32.988149878844872</v>
      </c>
      <c r="Y118" s="696"/>
      <c r="Z118" s="710"/>
      <c r="AA118" s="710"/>
      <c r="AB118" s="710"/>
      <c r="AC118" s="710"/>
      <c r="AD118" s="710"/>
    </row>
    <row r="119" spans="2:31" x14ac:dyDescent="0.2">
      <c r="C119" s="703"/>
      <c r="G119" s="538"/>
      <c r="P119" s="538"/>
      <c r="Y119" s="549"/>
    </row>
    <row r="120" spans="2:31" x14ac:dyDescent="0.2">
      <c r="C120" s="703"/>
      <c r="H120" s="740" t="s">
        <v>107</v>
      </c>
      <c r="I120" s="538">
        <f>(I115/I117)*I80</f>
        <v>404.8008539956632</v>
      </c>
      <c r="J120" s="538">
        <f t="shared" ref="J120:X120" si="54">(J115/J117)*J80</f>
        <v>805.59377874384643</v>
      </c>
      <c r="K120" s="538">
        <f t="shared" si="54"/>
        <v>1202.418456712342</v>
      </c>
      <c r="L120" s="538">
        <f t="shared" si="54"/>
        <v>1595.3141774732276</v>
      </c>
      <c r="M120" s="538">
        <f t="shared" si="54"/>
        <v>1984.3198415929187</v>
      </c>
      <c r="N120" s="538">
        <f t="shared" si="54"/>
        <v>2369.4739644836995</v>
      </c>
      <c r="O120" s="538">
        <f t="shared" si="54"/>
        <v>2750.8146802171523</v>
      </c>
      <c r="P120" s="538">
        <f t="shared" si="54"/>
        <v>3128.3797452997724</v>
      </c>
      <c r="Q120" s="538">
        <f t="shared" si="54"/>
        <v>3502.2065424112839</v>
      </c>
      <c r="R120" s="538">
        <f t="shared" si="54"/>
        <v>3872.3320841058476</v>
      </c>
      <c r="S120" s="538">
        <f t="shared" si="54"/>
        <v>4238.7930164767058</v>
      </c>
      <c r="T120" s="538">
        <f t="shared" si="54"/>
        <v>4601.6256227844833</v>
      </c>
      <c r="U120" s="538">
        <f t="shared" si="54"/>
        <v>4960.8658270496062</v>
      </c>
      <c r="V120" s="538">
        <f t="shared" si="54"/>
        <v>5316.5491976091344</v>
      </c>
      <c r="W120" s="538">
        <f t="shared" si="54"/>
        <v>5668.7109506383758</v>
      </c>
      <c r="X120" s="538">
        <f t="shared" si="54"/>
        <v>6017.3859536376185</v>
      </c>
      <c r="Y120" s="826"/>
      <c r="Z120" s="538"/>
      <c r="AA120" s="538"/>
      <c r="AB120" s="538"/>
      <c r="AC120" s="538"/>
      <c r="AD120" s="538"/>
      <c r="AE120" s="557"/>
    </row>
    <row r="121" spans="2:31" ht="13.5" thickBot="1" x14ac:dyDescent="0.25">
      <c r="C121" s="540"/>
      <c r="D121" s="724"/>
      <c r="E121" s="724"/>
      <c r="F121" s="724"/>
      <c r="G121" s="724"/>
      <c r="H121" s="724"/>
      <c r="I121" s="724"/>
      <c r="J121" s="724"/>
      <c r="K121" s="724"/>
      <c r="L121" s="724"/>
      <c r="M121" s="724"/>
      <c r="N121" s="724"/>
      <c r="O121" s="724"/>
      <c r="P121" s="724"/>
      <c r="Q121" s="724"/>
      <c r="R121" s="724"/>
      <c r="S121" s="724"/>
      <c r="T121" s="724"/>
      <c r="U121" s="724"/>
      <c r="V121" s="724"/>
      <c r="W121" s="724"/>
      <c r="X121" s="724"/>
      <c r="Y121" s="700"/>
    </row>
    <row r="122" spans="2:31" ht="13.5" thickBot="1" x14ac:dyDescent="0.25"/>
    <row r="123" spans="2:31" s="543" customFormat="1" x14ac:dyDescent="0.2">
      <c r="C123" s="756"/>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6"/>
    </row>
    <row r="124" spans="2:31" s="543" customFormat="1" x14ac:dyDescent="0.2">
      <c r="C124" s="757" t="s">
        <v>83</v>
      </c>
      <c r="D124" s="544"/>
      <c r="E124" s="544"/>
      <c r="F124" s="544"/>
      <c r="G124" s="544"/>
      <c r="H124" s="544"/>
      <c r="I124" s="544"/>
      <c r="J124" s="544"/>
      <c r="K124" s="544"/>
      <c r="L124" s="544"/>
      <c r="M124" s="544"/>
      <c r="N124" s="544"/>
      <c r="O124" s="544"/>
      <c r="P124" s="544"/>
      <c r="Q124" s="544"/>
      <c r="R124" s="544"/>
      <c r="S124" s="544"/>
      <c r="T124" s="544"/>
      <c r="U124" s="544"/>
      <c r="V124" s="544"/>
      <c r="W124" s="544"/>
      <c r="X124" s="544"/>
      <c r="Y124" s="547"/>
    </row>
    <row r="125" spans="2:31" s="240" customFormat="1" x14ac:dyDescent="0.2">
      <c r="C125" s="548"/>
      <c r="D125" s="111">
        <v>2008</v>
      </c>
      <c r="E125" s="111">
        <v>2009</v>
      </c>
      <c r="F125" s="111">
        <v>2010</v>
      </c>
      <c r="G125" s="111">
        <v>2011</v>
      </c>
      <c r="H125" s="111">
        <v>2012</v>
      </c>
      <c r="I125" s="111">
        <v>2013</v>
      </c>
      <c r="J125" s="111">
        <v>2014</v>
      </c>
      <c r="K125" s="111">
        <v>2015</v>
      </c>
      <c r="L125" s="111">
        <v>2016</v>
      </c>
      <c r="M125" s="111">
        <v>2017</v>
      </c>
      <c r="N125" s="111">
        <v>2018</v>
      </c>
      <c r="O125" s="111">
        <v>2019</v>
      </c>
      <c r="P125" s="111">
        <v>2020</v>
      </c>
      <c r="Q125" s="111">
        <v>2021</v>
      </c>
      <c r="R125" s="111">
        <v>2022</v>
      </c>
      <c r="S125" s="111">
        <v>2023</v>
      </c>
      <c r="T125" s="111">
        <v>2024</v>
      </c>
      <c r="U125" s="111">
        <v>2025</v>
      </c>
      <c r="V125" s="111">
        <v>2026</v>
      </c>
      <c r="W125" s="111">
        <v>2027</v>
      </c>
      <c r="X125" s="111">
        <v>2028</v>
      </c>
      <c r="Y125" s="550"/>
    </row>
    <row r="126" spans="2:31" s="543" customFormat="1" x14ac:dyDescent="0.2">
      <c r="C126" s="728" t="s">
        <v>93</v>
      </c>
      <c r="D126" s="553"/>
      <c r="E126" s="553"/>
      <c r="F126" s="553"/>
      <c r="G126" s="553"/>
      <c r="H126" s="553"/>
      <c r="I126" s="553"/>
      <c r="J126" s="542"/>
      <c r="K126" s="542"/>
      <c r="L126" s="542"/>
      <c r="M126" s="542"/>
      <c r="N126" s="542"/>
      <c r="O126" s="542"/>
      <c r="P126" s="542"/>
      <c r="Q126" s="542"/>
      <c r="R126" s="542"/>
      <c r="S126" s="542"/>
      <c r="T126" s="542"/>
      <c r="U126" s="542"/>
      <c r="V126" s="542"/>
      <c r="W126" s="542"/>
      <c r="X126" s="542"/>
      <c r="Y126" s="549"/>
    </row>
    <row r="127" spans="2:31" x14ac:dyDescent="0.2">
      <c r="C127" s="723" t="s">
        <v>84</v>
      </c>
      <c r="Y127" s="549"/>
    </row>
    <row r="128" spans="2:31" x14ac:dyDescent="0.2">
      <c r="C128" s="713" t="s">
        <v>10</v>
      </c>
      <c r="D128" s="730">
        <f>Assumptions!C48</f>
        <v>0.57000000000000006</v>
      </c>
      <c r="E128" s="730">
        <f>$D128</f>
        <v>0.57000000000000006</v>
      </c>
      <c r="F128" s="730">
        <f t="shared" ref="F128:X130" si="55">$D128</f>
        <v>0.57000000000000006</v>
      </c>
      <c r="G128" s="730">
        <f t="shared" si="55"/>
        <v>0.57000000000000006</v>
      </c>
      <c r="H128" s="730">
        <f t="shared" si="55"/>
        <v>0.57000000000000006</v>
      </c>
      <c r="I128" s="730">
        <f t="shared" si="55"/>
        <v>0.57000000000000006</v>
      </c>
      <c r="J128" s="730">
        <f t="shared" si="55"/>
        <v>0.57000000000000006</v>
      </c>
      <c r="K128" s="730">
        <f t="shared" si="55"/>
        <v>0.57000000000000006</v>
      </c>
      <c r="L128" s="730">
        <f t="shared" si="55"/>
        <v>0.57000000000000006</v>
      </c>
      <c r="M128" s="730">
        <f t="shared" si="55"/>
        <v>0.57000000000000006</v>
      </c>
      <c r="N128" s="730">
        <f t="shared" si="55"/>
        <v>0.57000000000000006</v>
      </c>
      <c r="O128" s="730">
        <f t="shared" si="55"/>
        <v>0.57000000000000006</v>
      </c>
      <c r="P128" s="730">
        <f t="shared" si="55"/>
        <v>0.57000000000000006</v>
      </c>
      <c r="Q128" s="730">
        <f t="shared" si="55"/>
        <v>0.57000000000000006</v>
      </c>
      <c r="R128" s="730">
        <f t="shared" si="55"/>
        <v>0.57000000000000006</v>
      </c>
      <c r="S128" s="730">
        <f t="shared" si="55"/>
        <v>0.57000000000000006</v>
      </c>
      <c r="T128" s="730">
        <f t="shared" si="55"/>
        <v>0.57000000000000006</v>
      </c>
      <c r="U128" s="730">
        <f t="shared" si="55"/>
        <v>0.57000000000000006</v>
      </c>
      <c r="V128" s="730">
        <f t="shared" si="55"/>
        <v>0.57000000000000006</v>
      </c>
      <c r="W128" s="730">
        <f t="shared" si="55"/>
        <v>0.57000000000000006</v>
      </c>
      <c r="X128" s="730">
        <f t="shared" si="55"/>
        <v>0.57000000000000006</v>
      </c>
      <c r="Y128" s="827"/>
      <c r="Z128" s="730"/>
      <c r="AA128" s="730"/>
      <c r="AB128" s="730"/>
      <c r="AC128" s="730"/>
      <c r="AD128" s="730"/>
    </row>
    <row r="129" spans="2:30" x14ac:dyDescent="0.2">
      <c r="C129" s="713" t="s">
        <v>44</v>
      </c>
      <c r="D129" s="730">
        <f>Assumptions!C49</f>
        <v>0.59699999999999998</v>
      </c>
      <c r="E129" s="730">
        <f t="shared" ref="E129:T130" si="56">$D129</f>
        <v>0.59699999999999998</v>
      </c>
      <c r="F129" s="730">
        <f t="shared" si="56"/>
        <v>0.59699999999999998</v>
      </c>
      <c r="G129" s="730">
        <f t="shared" si="56"/>
        <v>0.59699999999999998</v>
      </c>
      <c r="H129" s="730">
        <f t="shared" si="56"/>
        <v>0.59699999999999998</v>
      </c>
      <c r="I129" s="730">
        <f t="shared" si="56"/>
        <v>0.59699999999999998</v>
      </c>
      <c r="J129" s="730">
        <f t="shared" si="56"/>
        <v>0.59699999999999998</v>
      </c>
      <c r="K129" s="730">
        <f t="shared" si="56"/>
        <v>0.59699999999999998</v>
      </c>
      <c r="L129" s="730">
        <f t="shared" si="56"/>
        <v>0.59699999999999998</v>
      </c>
      <c r="M129" s="730">
        <f t="shared" si="56"/>
        <v>0.59699999999999998</v>
      </c>
      <c r="N129" s="730">
        <f t="shared" si="56"/>
        <v>0.59699999999999998</v>
      </c>
      <c r="O129" s="730">
        <f t="shared" si="56"/>
        <v>0.59699999999999998</v>
      </c>
      <c r="P129" s="730">
        <f t="shared" si="56"/>
        <v>0.59699999999999998</v>
      </c>
      <c r="Q129" s="730">
        <f t="shared" si="56"/>
        <v>0.59699999999999998</v>
      </c>
      <c r="R129" s="730">
        <f t="shared" si="56"/>
        <v>0.59699999999999998</v>
      </c>
      <c r="S129" s="730">
        <f t="shared" si="56"/>
        <v>0.59699999999999998</v>
      </c>
      <c r="T129" s="730">
        <f t="shared" si="56"/>
        <v>0.59699999999999998</v>
      </c>
      <c r="U129" s="730">
        <f t="shared" si="55"/>
        <v>0.59699999999999998</v>
      </c>
      <c r="V129" s="730">
        <f t="shared" si="55"/>
        <v>0.59699999999999998</v>
      </c>
      <c r="W129" s="730">
        <f t="shared" si="55"/>
        <v>0.59699999999999998</v>
      </c>
      <c r="X129" s="730">
        <f t="shared" si="55"/>
        <v>0.59699999999999998</v>
      </c>
      <c r="Y129" s="827"/>
      <c r="Z129" s="730"/>
      <c r="AA129" s="730"/>
      <c r="AB129" s="730"/>
      <c r="AC129" s="730"/>
      <c r="AD129" s="730"/>
    </row>
    <row r="130" spans="2:30" x14ac:dyDescent="0.2">
      <c r="C130" s="713" t="s">
        <v>45</v>
      </c>
      <c r="D130" s="730">
        <f>Assumptions!C50</f>
        <v>0.69599999999999995</v>
      </c>
      <c r="E130" s="730">
        <f t="shared" si="56"/>
        <v>0.69599999999999995</v>
      </c>
      <c r="F130" s="730">
        <f t="shared" si="55"/>
        <v>0.69599999999999995</v>
      </c>
      <c r="G130" s="730">
        <f t="shared" si="55"/>
        <v>0.69599999999999995</v>
      </c>
      <c r="H130" s="730">
        <f t="shared" si="55"/>
        <v>0.69599999999999995</v>
      </c>
      <c r="I130" s="730">
        <f t="shared" si="55"/>
        <v>0.69599999999999995</v>
      </c>
      <c r="J130" s="730">
        <f t="shared" si="55"/>
        <v>0.69599999999999995</v>
      </c>
      <c r="K130" s="730">
        <f t="shared" si="55"/>
        <v>0.69599999999999995</v>
      </c>
      <c r="L130" s="730">
        <f t="shared" si="55"/>
        <v>0.69599999999999995</v>
      </c>
      <c r="M130" s="730">
        <f t="shared" si="55"/>
        <v>0.69599999999999995</v>
      </c>
      <c r="N130" s="730">
        <f t="shared" si="55"/>
        <v>0.69599999999999995</v>
      </c>
      <c r="O130" s="730">
        <f t="shared" si="55"/>
        <v>0.69599999999999995</v>
      </c>
      <c r="P130" s="730">
        <f t="shared" si="55"/>
        <v>0.69599999999999995</v>
      </c>
      <c r="Q130" s="730">
        <f t="shared" si="55"/>
        <v>0.69599999999999995</v>
      </c>
      <c r="R130" s="730">
        <f t="shared" si="55"/>
        <v>0.69599999999999995</v>
      </c>
      <c r="S130" s="730">
        <f t="shared" si="55"/>
        <v>0.69599999999999995</v>
      </c>
      <c r="T130" s="730">
        <f t="shared" si="55"/>
        <v>0.69599999999999995</v>
      </c>
      <c r="U130" s="730">
        <f t="shared" si="55"/>
        <v>0.69599999999999995</v>
      </c>
      <c r="V130" s="730">
        <f t="shared" si="55"/>
        <v>0.69599999999999995</v>
      </c>
      <c r="W130" s="730">
        <f t="shared" si="55"/>
        <v>0.69599999999999995</v>
      </c>
      <c r="X130" s="730">
        <f t="shared" si="55"/>
        <v>0.69599999999999995</v>
      </c>
      <c r="Y130" s="827"/>
      <c r="Z130" s="730"/>
      <c r="AA130" s="730"/>
      <c r="AB130" s="730"/>
      <c r="AC130" s="730"/>
      <c r="AD130" s="730"/>
    </row>
    <row r="131" spans="2:30" x14ac:dyDescent="0.2">
      <c r="C131" s="551"/>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827"/>
      <c r="Z131" s="730"/>
      <c r="AA131" s="730"/>
      <c r="AB131" s="730"/>
      <c r="AC131" s="730"/>
      <c r="AD131" s="730"/>
    </row>
    <row r="132" spans="2:30" x14ac:dyDescent="0.2">
      <c r="C132" s="723" t="s">
        <v>85</v>
      </c>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814"/>
      <c r="Z132" s="553"/>
      <c r="AA132" s="553"/>
      <c r="AB132" s="553"/>
      <c r="AC132" s="553"/>
      <c r="AD132" s="553"/>
    </row>
    <row r="133" spans="2:30" x14ac:dyDescent="0.2">
      <c r="B133" s="702"/>
      <c r="C133" s="713" t="s">
        <v>10</v>
      </c>
      <c r="D133" s="553">
        <f t="shared" ref="D133:X133" si="57">D97*$AB$69*D128</f>
        <v>0</v>
      </c>
      <c r="E133" s="553">
        <f t="shared" si="57"/>
        <v>0</v>
      </c>
      <c r="F133" s="553">
        <f t="shared" si="57"/>
        <v>0</v>
      </c>
      <c r="G133" s="553">
        <f t="shared" si="57"/>
        <v>0</v>
      </c>
      <c r="H133" s="553">
        <f t="shared" si="57"/>
        <v>0</v>
      </c>
      <c r="I133" s="553">
        <f t="shared" si="57"/>
        <v>971.75281500000006</v>
      </c>
      <c r="J133" s="553">
        <f t="shared" si="57"/>
        <v>2053.7266930413753</v>
      </c>
      <c r="K133" s="553">
        <f t="shared" si="57"/>
        <v>2357.7467011679328</v>
      </c>
      <c r="L133" s="553">
        <f t="shared" si="57"/>
        <v>2436.0946240477429</v>
      </c>
      <c r="M133" s="553">
        <f t="shared" si="57"/>
        <v>2517.046048404849</v>
      </c>
      <c r="N133" s="553">
        <f t="shared" si="57"/>
        <v>2600.6874885933426</v>
      </c>
      <c r="O133" s="553">
        <f t="shared" si="57"/>
        <v>2687.1083338392987</v>
      </c>
      <c r="P133" s="553">
        <f t="shared" si="57"/>
        <v>2776.4009437727782</v>
      </c>
      <c r="Q133" s="553">
        <f t="shared" si="57"/>
        <v>2868.6607471343482</v>
      </c>
      <c r="R133" s="553">
        <f t="shared" si="57"/>
        <v>2963.9863437616227</v>
      </c>
      <c r="S133" s="553">
        <f t="shared" si="57"/>
        <v>3062.4796099648192</v>
      </c>
      <c r="T133" s="553">
        <f t="shared" si="57"/>
        <v>3164.2458074039514</v>
      </c>
      <c r="U133" s="553">
        <f t="shared" si="57"/>
        <v>3269.393695583984</v>
      </c>
      <c r="V133" s="553">
        <f t="shared" si="57"/>
        <v>3378.0356480882401</v>
      </c>
      <c r="W133" s="553">
        <f t="shared" si="57"/>
        <v>3490.2877726742108</v>
      </c>
      <c r="X133" s="553">
        <f t="shared" si="57"/>
        <v>3606.2700353601745</v>
      </c>
      <c r="Y133" s="814"/>
      <c r="Z133" s="553"/>
      <c r="AA133" s="553"/>
      <c r="AB133" s="553"/>
      <c r="AC133" s="553"/>
      <c r="AD133" s="553"/>
    </row>
    <row r="134" spans="2:30" x14ac:dyDescent="0.2">
      <c r="C134" s="713" t="s">
        <v>44</v>
      </c>
      <c r="D134" s="553">
        <f t="shared" ref="D134:X134" si="58">D98*$AB$69*D129</f>
        <v>0</v>
      </c>
      <c r="E134" s="553">
        <f t="shared" si="58"/>
        <v>0</v>
      </c>
      <c r="F134" s="553">
        <f t="shared" si="58"/>
        <v>0</v>
      </c>
      <c r="G134" s="553">
        <f t="shared" si="58"/>
        <v>0</v>
      </c>
      <c r="H134" s="553">
        <f t="shared" si="58"/>
        <v>0</v>
      </c>
      <c r="I134" s="553">
        <f t="shared" si="58"/>
        <v>515.10008334014992</v>
      </c>
      <c r="J134" s="553">
        <f t="shared" si="58"/>
        <v>1088.6253936331564</v>
      </c>
      <c r="K134" s="553">
        <f t="shared" si="58"/>
        <v>1249.7782394039843</v>
      </c>
      <c r="L134" s="553">
        <f t="shared" si="58"/>
        <v>1291.3083702993786</v>
      </c>
      <c r="M134" s="553">
        <f t="shared" si="58"/>
        <v>1334.2185474444266</v>
      </c>
      <c r="N134" s="553">
        <f t="shared" si="58"/>
        <v>1378.5546297760054</v>
      </c>
      <c r="O134" s="553">
        <f t="shared" si="58"/>
        <v>1424.3640001234614</v>
      </c>
      <c r="P134" s="553">
        <f t="shared" si="58"/>
        <v>1471.6956158475643</v>
      </c>
      <c r="Q134" s="553">
        <f t="shared" si="58"/>
        <v>1520.6000611621789</v>
      </c>
      <c r="R134" s="553">
        <f t="shared" si="58"/>
        <v>1571.1296011945979</v>
      </c>
      <c r="S134" s="553">
        <f t="shared" si="58"/>
        <v>1623.3382378422937</v>
      </c>
      <c r="T134" s="553">
        <f t="shared" si="58"/>
        <v>1677.2817674857931</v>
      </c>
      <c r="U134" s="553">
        <f t="shared" si="58"/>
        <v>1733.0178406193461</v>
      </c>
      <c r="V134" s="553">
        <f t="shared" si="58"/>
        <v>1790.606023463127</v>
      </c>
      <c r="W134" s="553">
        <f t="shared" si="58"/>
        <v>1850.1078616228056</v>
      </c>
      <c r="X134" s="553">
        <f t="shared" si="58"/>
        <v>1911.586945864532</v>
      </c>
      <c r="Y134" s="814"/>
      <c r="Z134" s="553"/>
      <c r="AA134" s="553"/>
      <c r="AB134" s="553"/>
      <c r="AC134" s="553"/>
      <c r="AD134" s="553"/>
    </row>
    <row r="135" spans="2:30" x14ac:dyDescent="0.2">
      <c r="C135" s="713" t="s">
        <v>45</v>
      </c>
      <c r="D135" s="553">
        <f t="shared" ref="D135:X135" si="59">D99*$AB$69*D130</f>
        <v>0</v>
      </c>
      <c r="E135" s="553">
        <f t="shared" si="59"/>
        <v>0</v>
      </c>
      <c r="F135" s="553">
        <f t="shared" si="59"/>
        <v>0</v>
      </c>
      <c r="G135" s="553">
        <f t="shared" si="59"/>
        <v>0</v>
      </c>
      <c r="H135" s="553">
        <f t="shared" si="59"/>
        <v>0</v>
      </c>
      <c r="I135" s="553">
        <f t="shared" si="59"/>
        <v>189.29097043487988</v>
      </c>
      <c r="J135" s="553">
        <f t="shared" si="59"/>
        <v>400.05226919133599</v>
      </c>
      <c r="K135" s="553">
        <f t="shared" si="59"/>
        <v>459.27334010729339</v>
      </c>
      <c r="L135" s="553">
        <f t="shared" si="59"/>
        <v>474.53499319905876</v>
      </c>
      <c r="M135" s="553">
        <f t="shared" si="59"/>
        <v>490.30379102306347</v>
      </c>
      <c r="N135" s="553">
        <f t="shared" si="59"/>
        <v>506.59658599875979</v>
      </c>
      <c r="O135" s="553">
        <f t="shared" si="59"/>
        <v>523.43079055149838</v>
      </c>
      <c r="P135" s="553">
        <f t="shared" si="59"/>
        <v>540.82439572152475</v>
      </c>
      <c r="Q135" s="553">
        <f t="shared" si="59"/>
        <v>558.7959903913511</v>
      </c>
      <c r="R135" s="553">
        <f t="shared" si="59"/>
        <v>577.36478115205557</v>
      </c>
      <c r="S135" s="553">
        <f t="shared" si="59"/>
        <v>596.55061282973827</v>
      </c>
      <c r="T135" s="553">
        <f t="shared" si="59"/>
        <v>616.37398969407036</v>
      </c>
      <c r="U135" s="553">
        <f t="shared" si="59"/>
        <v>636.85609737160428</v>
      </c>
      <c r="V135" s="553">
        <f t="shared" si="59"/>
        <v>658.01882548726269</v>
      </c>
      <c r="W135" s="553">
        <f t="shared" si="59"/>
        <v>679.88479105820409</v>
      </c>
      <c r="X135" s="553">
        <f t="shared" si="59"/>
        <v>702.47736266506854</v>
      </c>
      <c r="Y135" s="814"/>
      <c r="Z135" s="553"/>
      <c r="AA135" s="553"/>
      <c r="AB135" s="553"/>
      <c r="AC135" s="553"/>
      <c r="AD135" s="553"/>
    </row>
    <row r="136" spans="2:30" x14ac:dyDescent="0.2">
      <c r="C136" s="552"/>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814"/>
      <c r="Z136" s="553"/>
      <c r="AA136" s="553"/>
      <c r="AB136" s="553"/>
      <c r="AC136" s="553"/>
      <c r="AD136" s="553"/>
    </row>
    <row r="137" spans="2:30" x14ac:dyDescent="0.2">
      <c r="C137" s="723" t="s">
        <v>86</v>
      </c>
      <c r="D137" s="554">
        <f t="shared" ref="D137:X137" si="60">SUM(D133:D135)*0.001</f>
        <v>0</v>
      </c>
      <c r="E137" s="554">
        <f t="shared" si="60"/>
        <v>0</v>
      </c>
      <c r="F137" s="554">
        <f t="shared" si="60"/>
        <v>0</v>
      </c>
      <c r="G137" s="554">
        <f t="shared" si="60"/>
        <v>0</v>
      </c>
      <c r="H137" s="554">
        <f t="shared" si="60"/>
        <v>0</v>
      </c>
      <c r="I137" s="554">
        <f t="shared" si="60"/>
        <v>1.6761438687750299</v>
      </c>
      <c r="J137" s="554">
        <f t="shared" si="60"/>
        <v>3.5424043558658678</v>
      </c>
      <c r="K137" s="554">
        <f t="shared" si="60"/>
        <v>4.06679828067921</v>
      </c>
      <c r="L137" s="554">
        <f t="shared" si="60"/>
        <v>4.20193798754618</v>
      </c>
      <c r="M137" s="554">
        <f t="shared" si="60"/>
        <v>4.3415683868723391</v>
      </c>
      <c r="N137" s="554">
        <f t="shared" si="60"/>
        <v>4.4858387043681081</v>
      </c>
      <c r="O137" s="554">
        <f t="shared" si="60"/>
        <v>4.634903124514258</v>
      </c>
      <c r="P137" s="554">
        <f t="shared" si="60"/>
        <v>4.788920955341867</v>
      </c>
      <c r="Q137" s="554">
        <f t="shared" si="60"/>
        <v>4.9480567986878778</v>
      </c>
      <c r="R137" s="554">
        <f t="shared" si="60"/>
        <v>5.1124807261082763</v>
      </c>
      <c r="S137" s="554">
        <f t="shared" si="60"/>
        <v>5.2823684606368513</v>
      </c>
      <c r="T137" s="554">
        <f t="shared" si="60"/>
        <v>5.4579015645838158</v>
      </c>
      <c r="U137" s="554">
        <f t="shared" si="60"/>
        <v>5.6392676335749341</v>
      </c>
      <c r="V137" s="554">
        <f t="shared" si="60"/>
        <v>5.8266604970386302</v>
      </c>
      <c r="W137" s="554">
        <f t="shared" si="60"/>
        <v>6.0202804253552209</v>
      </c>
      <c r="X137" s="554">
        <f t="shared" si="60"/>
        <v>6.2203343438897747</v>
      </c>
      <c r="Y137" s="816"/>
      <c r="Z137" s="554"/>
      <c r="AA137" s="554"/>
      <c r="AB137" s="554"/>
      <c r="AC137" s="554"/>
      <c r="AD137" s="554"/>
    </row>
    <row r="138" spans="2:30" x14ac:dyDescent="0.2">
      <c r="C138" s="551"/>
      <c r="D138" s="553"/>
      <c r="E138" s="553"/>
      <c r="F138" s="553"/>
      <c r="G138" s="553"/>
      <c r="H138" s="554"/>
      <c r="I138" s="554"/>
      <c r="J138" s="554"/>
      <c r="K138" s="554"/>
      <c r="L138" s="554"/>
      <c r="M138" s="554"/>
      <c r="N138" s="554"/>
      <c r="O138" s="554"/>
      <c r="P138" s="554"/>
      <c r="Q138" s="554"/>
      <c r="R138" s="554"/>
      <c r="S138" s="554"/>
      <c r="T138" s="554"/>
      <c r="U138" s="554"/>
      <c r="V138" s="554"/>
      <c r="W138" s="554"/>
      <c r="X138" s="554"/>
      <c r="Y138" s="816"/>
      <c r="Z138" s="554"/>
      <c r="AA138" s="554"/>
      <c r="AB138" s="554"/>
      <c r="AC138" s="554"/>
      <c r="AD138" s="554"/>
    </row>
    <row r="139" spans="2:30" x14ac:dyDescent="0.2">
      <c r="C139" s="723" t="s">
        <v>71</v>
      </c>
      <c r="D139" s="553"/>
      <c r="E139" s="553"/>
      <c r="F139" s="553"/>
      <c r="G139" s="553"/>
      <c r="H139" s="554"/>
      <c r="I139" s="554"/>
      <c r="J139" s="554"/>
      <c r="K139" s="554"/>
      <c r="L139" s="554"/>
      <c r="M139" s="554"/>
      <c r="N139" s="554"/>
      <c r="O139" s="554"/>
      <c r="P139" s="554"/>
      <c r="Q139" s="554"/>
      <c r="R139" s="554"/>
      <c r="S139" s="554"/>
      <c r="T139" s="554"/>
      <c r="U139" s="554"/>
      <c r="V139" s="554"/>
      <c r="W139" s="554"/>
      <c r="X139" s="554"/>
      <c r="Y139" s="816"/>
      <c r="Z139" s="554"/>
      <c r="AA139" s="554"/>
      <c r="AB139" s="554"/>
      <c r="AC139" s="554"/>
      <c r="AD139" s="554"/>
    </row>
    <row r="140" spans="2:30" x14ac:dyDescent="0.2">
      <c r="C140" s="723" t="s">
        <v>88</v>
      </c>
      <c r="D140" s="711">
        <f>IF(D23=1,(Assumptions!$C$51*D115),0)</f>
        <v>0</v>
      </c>
      <c r="E140" s="711">
        <f>IF(E23=1,(Assumptions!$C$51*E115),0)</f>
        <v>0</v>
      </c>
      <c r="F140" s="711">
        <f>IF(F23=1,(Assumptions!$C$51*F115),0)</f>
        <v>0</v>
      </c>
      <c r="G140" s="711">
        <f>IF(G23=1,(Assumptions!$C$51*G115),0)</f>
        <v>0</v>
      </c>
      <c r="H140" s="711">
        <f>IF(H23=1,(Assumptions!$C$51*H115),0)</f>
        <v>0</v>
      </c>
      <c r="I140" s="711">
        <f>IF(I23=1,(Assumptions!$C$51*I115),0)</f>
        <v>0.38375370000000003</v>
      </c>
      <c r="J140" s="711">
        <f>IF(J23=1,(Assumptions!$C$51*J115),0)</f>
        <v>0.77134493700000184</v>
      </c>
      <c r="K140" s="711">
        <f>IF(K23=1,(Assumptions!$C$51*K115),0)</f>
        <v>1.1628120863700009</v>
      </c>
      <c r="L140" s="711">
        <f>IF(L23=1,(Assumptions!$C$51*L115),0)</f>
        <v>1.5581939072336988</v>
      </c>
      <c r="M140" s="711">
        <f>IF(M23=1,(Assumptions!$C$51*M115),0)</f>
        <v>1.9575295463060365</v>
      </c>
      <c r="N140" s="711">
        <f>IF(N23=1,(Assumptions!$C$51*N115),0)</f>
        <v>2.3608585417690948</v>
      </c>
      <c r="O140" s="711">
        <f>IF(O23=1,(Assumptions!$C$51*O115),0)</f>
        <v>2.7682208271867901</v>
      </c>
      <c r="P140" s="711">
        <f>IF(P23=1,(Assumptions!$C$51*P115),0)</f>
        <v>3.1796567354586571</v>
      </c>
      <c r="Q140" s="711">
        <f>IF(Q23=1,(Assumptions!$C$51*Q115),0)</f>
        <v>3.5952070028132477</v>
      </c>
      <c r="R140" s="711">
        <f>IF(R23=1,(Assumptions!$C$51*R115),0)</f>
        <v>4.0149127728413836</v>
      </c>
      <c r="S140" s="711">
        <f>IF(S23=1,(Assumptions!$C$51*S115),0)</f>
        <v>4.4388156005698001</v>
      </c>
      <c r="T140" s="711">
        <f>IF(T23=1,(Assumptions!$C$51*T115),0)</f>
        <v>4.8669574565755021</v>
      </c>
      <c r="U140" s="711">
        <f>IF(U23=1,(Assumptions!$C$51*U115),0)</f>
        <v>5.2993807311412571</v>
      </c>
      <c r="V140" s="711">
        <f>IF(V23=1,(Assumptions!$C$51*V115),0)</f>
        <v>5.7361282384526691</v>
      </c>
      <c r="W140" s="711">
        <f>IF(W23=1,(Assumptions!$C$51*W115),0)</f>
        <v>6.1772432208371999</v>
      </c>
      <c r="X140" s="711">
        <f>IF(X23=1,(Assumptions!$C$51*X115),0)</f>
        <v>6.6227693530455731</v>
      </c>
      <c r="Y140" s="815"/>
      <c r="Z140" s="711"/>
      <c r="AA140" s="711"/>
      <c r="AB140" s="711"/>
      <c r="AC140" s="711"/>
      <c r="AD140" s="711"/>
    </row>
    <row r="141" spans="2:30" x14ac:dyDescent="0.2">
      <c r="C141" s="723" t="s">
        <v>87</v>
      </c>
      <c r="D141" s="554">
        <f t="shared" ref="D141:X141" si="61">D137+D140</f>
        <v>0</v>
      </c>
      <c r="E141" s="554">
        <f t="shared" si="61"/>
        <v>0</v>
      </c>
      <c r="F141" s="554">
        <f t="shared" si="61"/>
        <v>0</v>
      </c>
      <c r="G141" s="554">
        <f t="shared" si="61"/>
        <v>0</v>
      </c>
      <c r="H141" s="554">
        <f t="shared" si="61"/>
        <v>0</v>
      </c>
      <c r="I141" s="554">
        <f t="shared" si="61"/>
        <v>2.0598975687750301</v>
      </c>
      <c r="J141" s="554">
        <f t="shared" si="61"/>
        <v>4.3137492928658698</v>
      </c>
      <c r="K141" s="554">
        <f t="shared" si="61"/>
        <v>5.2296103670492107</v>
      </c>
      <c r="L141" s="554">
        <f t="shared" si="61"/>
        <v>5.760131894779879</v>
      </c>
      <c r="M141" s="554">
        <f t="shared" si="61"/>
        <v>6.2990979331783752</v>
      </c>
      <c r="N141" s="554">
        <f t="shared" si="61"/>
        <v>6.8466972461372029</v>
      </c>
      <c r="O141" s="554">
        <f t="shared" si="61"/>
        <v>7.4031239517010476</v>
      </c>
      <c r="P141" s="554">
        <f t="shared" si="61"/>
        <v>7.9685776908005241</v>
      </c>
      <c r="Q141" s="554">
        <f t="shared" si="61"/>
        <v>8.5432638015011264</v>
      </c>
      <c r="R141" s="554">
        <f t="shared" si="61"/>
        <v>9.1273934989496599</v>
      </c>
      <c r="S141" s="554">
        <f t="shared" si="61"/>
        <v>9.7211840612066514</v>
      </c>
      <c r="T141" s="554">
        <f t="shared" si="61"/>
        <v>10.324859021159318</v>
      </c>
      <c r="U141" s="554">
        <f t="shared" si="61"/>
        <v>10.93864836471619</v>
      </c>
      <c r="V141" s="554">
        <f t="shared" si="61"/>
        <v>11.562788735491299</v>
      </c>
      <c r="W141" s="554">
        <f t="shared" si="61"/>
        <v>12.197523646192421</v>
      </c>
      <c r="X141" s="554">
        <f t="shared" si="61"/>
        <v>12.843103696935348</v>
      </c>
      <c r="Y141" s="816"/>
      <c r="Z141" s="554"/>
      <c r="AA141" s="554"/>
      <c r="AB141" s="554"/>
      <c r="AC141" s="554"/>
      <c r="AD141" s="554"/>
    </row>
    <row r="142" spans="2:30" x14ac:dyDescent="0.2">
      <c r="C142" s="723"/>
      <c r="D142" s="554"/>
      <c r="E142" s="554"/>
      <c r="F142" s="554"/>
      <c r="G142" s="554"/>
      <c r="H142" s="554"/>
      <c r="I142" s="554"/>
      <c r="J142" s="554"/>
      <c r="K142" s="554"/>
      <c r="L142" s="554"/>
      <c r="M142" s="554"/>
      <c r="N142" s="554"/>
      <c r="O142" s="554"/>
      <c r="P142" s="554"/>
      <c r="Q142" s="554"/>
      <c r="R142" s="554"/>
      <c r="S142" s="554"/>
      <c r="T142" s="554"/>
      <c r="U142" s="554"/>
      <c r="V142" s="554"/>
      <c r="W142" s="554"/>
      <c r="X142" s="554"/>
      <c r="Y142" s="816"/>
      <c r="Z142" s="554"/>
      <c r="AA142" s="554"/>
      <c r="AB142" s="554"/>
      <c r="AC142" s="554"/>
      <c r="AD142" s="554"/>
    </row>
    <row r="143" spans="2:30" x14ac:dyDescent="0.2">
      <c r="C143" s="536" t="s">
        <v>555</v>
      </c>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816"/>
      <c r="Z143" s="554"/>
      <c r="AA143" s="554"/>
      <c r="AB143" s="554"/>
      <c r="AC143" s="554"/>
      <c r="AD143" s="554"/>
    </row>
    <row r="144" spans="2:30" x14ac:dyDescent="0.2">
      <c r="C144" s="536" t="s">
        <v>556</v>
      </c>
      <c r="D144" s="711">
        <f>D116*Assumptions!$C$51</f>
        <v>0</v>
      </c>
      <c r="E144" s="711">
        <f>E116*Assumptions!$C$51</f>
        <v>0</v>
      </c>
      <c r="F144" s="711">
        <f>F116*Assumptions!$C$51</f>
        <v>0</v>
      </c>
      <c r="G144" s="711">
        <f>G116*Assumptions!$C$51</f>
        <v>0</v>
      </c>
      <c r="H144" s="711">
        <f>H116*Assumptions!$C$51</f>
        <v>0</v>
      </c>
      <c r="I144" s="711">
        <f>I116*Assumptions!$C$51</f>
        <v>4.6050444000000001E-3</v>
      </c>
      <c r="J144" s="711">
        <f>J116*Assumptions!$C$51</f>
        <v>9.2561392440000216E-3</v>
      </c>
      <c r="K144" s="711">
        <f>K116*Assumptions!$C$51</f>
        <v>1.3953745036440013E-2</v>
      </c>
      <c r="L144" s="711">
        <f>L116*Assumptions!$C$51</f>
        <v>1.8698326886804388E-2</v>
      </c>
      <c r="M144" s="711">
        <f>M116*Assumptions!$C$51</f>
        <v>2.349035455567244E-2</v>
      </c>
      <c r="N144" s="711">
        <f>N116*Assumptions!$C$51</f>
        <v>2.8330302501229136E-2</v>
      </c>
      <c r="O144" s="711">
        <f>O116*Assumptions!$C$51</f>
        <v>3.3218649926241482E-2</v>
      </c>
      <c r="P144" s="711">
        <f>P116*Assumptions!$C$51</f>
        <v>3.8155880825503884E-2</v>
      </c>
      <c r="Q144" s="711">
        <f>Q116*Assumptions!$C$51</f>
        <v>4.3142484033758977E-2</v>
      </c>
      <c r="R144" s="711">
        <f>R116*Assumptions!$C$51</f>
        <v>4.8178953274096603E-2</v>
      </c>
      <c r="S144" s="711">
        <f>S116*Assumptions!$C$51</f>
        <v>5.3265787206837598E-2</v>
      </c>
      <c r="T144" s="711">
        <f>T116*Assumptions!$C$51</f>
        <v>5.8403489478906029E-2</v>
      </c>
      <c r="U144" s="711">
        <f>U116*Assumptions!$C$51</f>
        <v>6.3592568773695082E-2</v>
      </c>
      <c r="V144" s="711">
        <f>V116*Assumptions!$C$51</f>
        <v>6.8833538861432023E-2</v>
      </c>
      <c r="W144" s="711">
        <f>W116*Assumptions!$C$51</f>
        <v>7.4126918650046406E-2</v>
      </c>
      <c r="X144" s="711">
        <f>X116*Assumptions!$C$51</f>
        <v>7.9473232236546884E-2</v>
      </c>
      <c r="Y144" s="816"/>
      <c r="Z144" s="554"/>
      <c r="AA144" s="554"/>
      <c r="AB144" s="554"/>
      <c r="AC144" s="554"/>
      <c r="AD144" s="554"/>
    </row>
    <row r="145" spans="2:30" x14ac:dyDescent="0.2">
      <c r="C145" s="536"/>
      <c r="D145" s="811"/>
      <c r="Y145" s="549"/>
    </row>
    <row r="146" spans="2:30" x14ac:dyDescent="0.2">
      <c r="C146" s="536" t="s">
        <v>89</v>
      </c>
      <c r="D146" s="554">
        <f>D141*'ERR &amp; Sensitivity Analysis'!$G$10</f>
        <v>0</v>
      </c>
      <c r="E146" s="554">
        <f>E141*'ERR &amp; Sensitivity Analysis'!$G$10</f>
        <v>0</v>
      </c>
      <c r="F146" s="554">
        <f>F141*'ERR &amp; Sensitivity Analysis'!$G$10</f>
        <v>0</v>
      </c>
      <c r="G146" s="554">
        <f>G141*'ERR &amp; Sensitivity Analysis'!$G$10</f>
        <v>0</v>
      </c>
      <c r="H146" s="554">
        <f>H141*'ERR &amp; Sensitivity Analysis'!$G$10</f>
        <v>0</v>
      </c>
      <c r="I146" s="554">
        <f>I141*'ERR &amp; Sensitivity Analysis'!$G$10</f>
        <v>2.0598975687750301</v>
      </c>
      <c r="J146" s="554">
        <f>J141*'ERR &amp; Sensitivity Analysis'!$G$10</f>
        <v>4.3137492928658698</v>
      </c>
      <c r="K146" s="554">
        <f>K141*'ERR &amp; Sensitivity Analysis'!$G$10</f>
        <v>5.2296103670492107</v>
      </c>
      <c r="L146" s="554">
        <f>L141*'ERR &amp; Sensitivity Analysis'!$G$10</f>
        <v>5.760131894779879</v>
      </c>
      <c r="M146" s="554">
        <f>M141*'ERR &amp; Sensitivity Analysis'!$G$10</f>
        <v>6.2990979331783752</v>
      </c>
      <c r="N146" s="554">
        <f>N141*'ERR &amp; Sensitivity Analysis'!$G$10</f>
        <v>6.8466972461372029</v>
      </c>
      <c r="O146" s="554">
        <f>O141*'ERR &amp; Sensitivity Analysis'!$G$10</f>
        <v>7.4031239517010476</v>
      </c>
      <c r="P146" s="554">
        <f>P141*'ERR &amp; Sensitivity Analysis'!$G$10</f>
        <v>7.9685776908005241</v>
      </c>
      <c r="Q146" s="554">
        <f>Q141*'ERR &amp; Sensitivity Analysis'!$G$10</f>
        <v>8.5432638015011264</v>
      </c>
      <c r="R146" s="554">
        <f>R141*'ERR &amp; Sensitivity Analysis'!$G$10</f>
        <v>9.1273934989496599</v>
      </c>
      <c r="S146" s="554">
        <f>S141*'ERR &amp; Sensitivity Analysis'!$G$10</f>
        <v>9.7211840612066514</v>
      </c>
      <c r="T146" s="554">
        <f>T141*'ERR &amp; Sensitivity Analysis'!$G$10</f>
        <v>10.324859021159318</v>
      </c>
      <c r="U146" s="554">
        <f>U141*'ERR &amp; Sensitivity Analysis'!$G$10</f>
        <v>10.93864836471619</v>
      </c>
      <c r="V146" s="554">
        <f>V141*'ERR &amp; Sensitivity Analysis'!$G$10</f>
        <v>11.562788735491299</v>
      </c>
      <c r="W146" s="554">
        <f>W141*'ERR &amp; Sensitivity Analysis'!$G$10</f>
        <v>12.197523646192421</v>
      </c>
      <c r="X146" s="554">
        <f>X141*'ERR &amp; Sensitivity Analysis'!$G$10</f>
        <v>12.843103696935348</v>
      </c>
      <c r="Y146" s="816"/>
      <c r="Z146" s="554"/>
      <c r="AA146" s="554"/>
      <c r="AB146" s="554"/>
      <c r="AC146" s="554"/>
      <c r="AD146" s="554"/>
    </row>
    <row r="147" spans="2:30" x14ac:dyDescent="0.2">
      <c r="C147" s="536" t="s">
        <v>99</v>
      </c>
      <c r="D147" s="554">
        <f t="shared" ref="D147:X147" si="62">D146-D62</f>
        <v>0</v>
      </c>
      <c r="E147" s="554">
        <f t="shared" si="62"/>
        <v>-0.35412208544180646</v>
      </c>
      <c r="F147" s="554">
        <f t="shared" si="62"/>
        <v>-0.8190260291526551</v>
      </c>
      <c r="G147" s="554">
        <f t="shared" si="62"/>
        <v>-8.0510297135012152</v>
      </c>
      <c r="H147" s="554">
        <f t="shared" si="62"/>
        <v>-7.7608281162617807</v>
      </c>
      <c r="I147" s="554">
        <f t="shared" si="62"/>
        <v>-9.4504636933274799</v>
      </c>
      <c r="J147" s="554">
        <f t="shared" si="62"/>
        <v>1.9613509990792499</v>
      </c>
      <c r="K147" s="554">
        <f t="shared" si="62"/>
        <v>3.6335476494111818</v>
      </c>
      <c r="L147" s="554">
        <f t="shared" si="62"/>
        <v>4.1961184202708957</v>
      </c>
      <c r="M147" s="554">
        <f t="shared" si="62"/>
        <v>4.6834171664704929</v>
      </c>
      <c r="N147" s="554">
        <f t="shared" si="62"/>
        <v>5.1776392952485093</v>
      </c>
      <c r="O147" s="554">
        <f t="shared" si="62"/>
        <v>5.6789222662182475</v>
      </c>
      <c r="P147" s="554">
        <f t="shared" si="62"/>
        <v>6.1874071828286707</v>
      </c>
      <c r="Q147" s="554">
        <f t="shared" si="62"/>
        <v>6.7032389042578622</v>
      </c>
      <c r="R147" s="554">
        <f t="shared" si="62"/>
        <v>7.226566160933789</v>
      </c>
      <c r="S147" s="554">
        <f t="shared" si="62"/>
        <v>7.7575416738022458</v>
      </c>
      <c r="T147" s="554">
        <f t="shared" si="62"/>
        <v>8.2963222774654266</v>
      </c>
      <c r="U147" s="554">
        <f t="shared" si="62"/>
        <v>8.8430690473189326</v>
      </c>
      <c r="V147" s="554">
        <f t="shared" si="62"/>
        <v>9.3979474308191655</v>
      </c>
      <c r="W147" s="554">
        <f t="shared" si="62"/>
        <v>9.9611273830174465</v>
      </c>
      <c r="X147" s="554">
        <f t="shared" si="62"/>
        <v>10.532783506501659</v>
      </c>
      <c r="Y147" s="816"/>
      <c r="Z147" s="554"/>
      <c r="AA147" s="554"/>
      <c r="AB147" s="554"/>
      <c r="AC147" s="554"/>
      <c r="AD147" s="554"/>
    </row>
    <row r="148" spans="2:30" ht="13.5" thickBot="1" x14ac:dyDescent="0.25">
      <c r="C148" s="812"/>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828"/>
      <c r="Z148" s="553"/>
      <c r="AA148" s="553"/>
      <c r="AB148" s="553"/>
      <c r="AC148" s="553"/>
      <c r="AD148" s="553"/>
    </row>
    <row r="149" spans="2:30" x14ac:dyDescent="0.2">
      <c r="C149" s="747"/>
      <c r="D149" s="553"/>
      <c r="E149" s="553"/>
      <c r="F149" s="553"/>
      <c r="G149" s="553"/>
      <c r="H149" s="553"/>
      <c r="I149" s="553"/>
      <c r="J149" s="553"/>
      <c r="K149" s="553"/>
      <c r="L149" s="553"/>
      <c r="M149" s="553"/>
      <c r="N149" s="553"/>
      <c r="O149" s="553"/>
      <c r="P149" s="553"/>
      <c r="Q149" s="553"/>
      <c r="R149" s="553"/>
      <c r="S149" s="553"/>
      <c r="T149" s="553"/>
      <c r="U149" s="553"/>
      <c r="V149" s="553"/>
      <c r="W149" s="553"/>
      <c r="X149" s="553"/>
      <c r="Y149" s="553"/>
      <c r="Z149" s="553"/>
      <c r="AA149" s="553"/>
      <c r="AB149" s="553"/>
      <c r="AC149" s="553"/>
      <c r="AD149" s="553"/>
    </row>
    <row r="150" spans="2:30" x14ac:dyDescent="0.2">
      <c r="M150" s="740"/>
      <c r="AA150" s="553"/>
      <c r="AB150" s="553"/>
      <c r="AC150" s="553"/>
      <c r="AD150" s="553"/>
    </row>
    <row r="151" spans="2:30" x14ac:dyDescent="0.2">
      <c r="C151" s="618" t="s">
        <v>585</v>
      </c>
    </row>
    <row r="152" spans="2:30" x14ac:dyDescent="0.2">
      <c r="B152" s="543">
        <v>1</v>
      </c>
      <c r="C152" s="543" t="s">
        <v>607</v>
      </c>
    </row>
    <row r="153" spans="2:30" x14ac:dyDescent="0.2">
      <c r="B153" s="543">
        <v>2</v>
      </c>
      <c r="C153" s="543" t="s">
        <v>608</v>
      </c>
    </row>
    <row r="154" spans="2:30" x14ac:dyDescent="0.2">
      <c r="B154" s="543">
        <v>3</v>
      </c>
      <c r="C154" s="543" t="s">
        <v>609</v>
      </c>
    </row>
    <row r="155" spans="2:30" x14ac:dyDescent="0.2">
      <c r="B155" s="543">
        <v>4</v>
      </c>
      <c r="C155" s="543" t="s">
        <v>610</v>
      </c>
    </row>
    <row r="156" spans="2:30" x14ac:dyDescent="0.2">
      <c r="B156" s="543">
        <v>5</v>
      </c>
      <c r="C156" s="543" t="s">
        <v>606</v>
      </c>
    </row>
  </sheetData>
  <mergeCells count="8">
    <mergeCell ref="P67:R67"/>
    <mergeCell ref="AB67:AC67"/>
    <mergeCell ref="C4:D4"/>
    <mergeCell ref="C7:D7"/>
    <mergeCell ref="D67:F67"/>
    <mergeCell ref="G67:I67"/>
    <mergeCell ref="J67:L67"/>
    <mergeCell ref="M67:O67"/>
  </mergeCells>
  <phoneticPr fontId="2"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Cover Page</vt:lpstr>
      <vt:lpstr>Activity Description</vt:lpstr>
      <vt:lpstr>ERR &amp; Sensitivity Analysis</vt:lpstr>
      <vt:lpstr>Assumptions</vt:lpstr>
      <vt:lpstr>Summary</vt:lpstr>
      <vt:lpstr>Tanga</vt:lpstr>
      <vt:lpstr>Dodoma</vt:lpstr>
      <vt:lpstr>Morogoro</vt:lpstr>
      <vt:lpstr>Iringa</vt:lpstr>
      <vt:lpstr>Mwanza</vt:lpstr>
      <vt:lpstr>Mbeya</vt:lpstr>
      <vt:lpstr>Kigoma</vt:lpstr>
      <vt:lpstr>WTP</vt:lpstr>
      <vt:lpstr>LRMC</vt:lpstr>
      <vt:lpstr>Sensitivity</vt:lpstr>
      <vt:lpstr>Beneficiaries</vt:lpstr>
      <vt:lpstr>PovertyScorecard</vt:lpstr>
      <vt:lpstr>asset_life</vt:lpstr>
      <vt:lpstr>custnopa</vt:lpstr>
      <vt:lpstr>debt</vt:lpstr>
      <vt:lpstr>Demand_scalar</vt:lpstr>
      <vt:lpstr>diesel_price</vt:lpstr>
      <vt:lpstr>discount</vt:lpstr>
      <vt:lpstr>grow</vt:lpstr>
      <vt:lpstr>hydro_cap</vt:lpstr>
      <vt:lpstr>inflation</vt:lpstr>
      <vt:lpstr>LRMC_energy</vt:lpstr>
      <vt:lpstr>ops_end</vt:lpstr>
      <vt:lpstr>ops_start</vt:lpstr>
      <vt:lpstr>project_switch</vt:lpstr>
      <vt:lpstr>selected_cap</vt:lpstr>
      <vt:lpstr>ss_growth</vt:lpstr>
      <vt:lpstr>tariff_case</vt:lpstr>
      <vt:lpstr>td_opex</vt:lpstr>
      <vt:lpstr>unitconspa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2017-09-22T16:36:48Z</dcterms:created>
  <dcterms:modified xsi:type="dcterms:W3CDTF">2019-12-17T16:39:47Z</dcterms:modified>
</cp:coreProperties>
</file>