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870" windowWidth="15330" windowHeight="3825" tabRatio="883" firstSheet="1" activeTab="1"/>
  </bookViews>
  <sheets>
    <sheet name="CB_DATA_" sheetId="1" state="veryHidden" r:id="rId1"/>
    <sheet name="User's Guide" sheetId="2" r:id="rId2"/>
    <sheet name="Activity Description" sheetId="3" r:id="rId3"/>
    <sheet name="ERR &amp; Sensitivity Analysis" sheetId="4" r:id="rId4"/>
    <sheet name="Total Cost-Benefit Summary" sheetId="5" r:id="rId5"/>
    <sheet name="Cost-Benefit Summary - COSDECs" sheetId="6" r:id="rId6"/>
    <sheet name="Cost-Benefit Summary - NTF" sheetId="7" r:id="rId7"/>
    <sheet name="NTF Flows and Key Assumptions" sheetId="8" r:id="rId8"/>
    <sheet name="Cost-Benefit Summary - VTGF"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ddgrow">#REF!</definedName>
    <definedName name="annwage">#REF!</definedName>
    <definedName name="arch">'[1]Cashflow'!#REF!</definedName>
    <definedName name="arch1">'[1]Cashflow'!#REF!</definedName>
    <definedName name="arch2">'[1]Cashflow'!#REF!</definedName>
    <definedName name="arch3">'[1]Cashflow'!#REF!</definedName>
    <definedName name="arch4">'[1]Cashflow'!#REF!</definedName>
    <definedName name="archcert">'[1]Cashflow'!#REF!</definedName>
    <definedName name="asset_life">#REF!</definedName>
    <definedName name="avgwage">'[2]Key Assumptions'!$G$9</definedName>
    <definedName name="billing_hydro">#REF!</definedName>
    <definedName name="billing_subsea" localSheetId="3">'[10]Assumptions'!#REF!</definedName>
    <definedName name="billing_subsea">#REF!</definedName>
    <definedName name="billing_td" localSheetId="3">'[10]Assumptions'!#REF!</definedName>
    <definedName name="billing_td">#REF!</definedName>
    <definedName name="BUILDINGS__RENOVATIONS___ADDITIONS">#REF!</definedName>
    <definedName name="c_tax">'[8]Assumptions'!$D$129</definedName>
    <definedName name="cablife">'[6]Assumptions'!$H$29</definedName>
    <definedName name="CB_1c5e34d883ac497cbfb6d46c79f4dee7" localSheetId="3" hidden="1">'ERR &amp; Sensitivity Analysis'!#REF!</definedName>
    <definedName name="CB_37810afb5cc4467187221b7c6f1ac565" localSheetId="3" hidden="1">'ERR &amp; Sensitivity Analysis'!$D$24</definedName>
    <definedName name="CB_aa0302047616463da4ce942bcc053c99" localSheetId="3" hidden="1">'ERR &amp; Sensitivity Analysis'!$D$23</definedName>
    <definedName name="CBCR_ee6c501fce1a47429907bfe983b3b0c1" localSheetId="3" hidden="1">'ERR &amp; Sensitivity Analysis'!$C$24</definedName>
    <definedName name="CBWorkbookPriority" localSheetId="2" hidden="1">-1802552942</definedName>
    <definedName name="CBWorkbookPriority" localSheetId="3" hidden="1">-1645099013</definedName>
    <definedName name="CBWorkbookPriority" localSheetId="1" hidden="1">-1554024671</definedName>
    <definedName name="CBWorkbookPriority" hidden="1">-1042042949</definedName>
    <definedName name="CBx_2013a7a0273e4d26ae0776d9f0a8196d" localSheetId="0" hidden="1">"'ERR Calculation'!$A$1"</definedName>
    <definedName name="CBx_74c97fa0955a452387420a5181a9e4dd" localSheetId="0" hidden="1">"'CB_DATA_'!$A$1"</definedName>
    <definedName name="CBx_efb6a8180e6b440197211dfc6d35eb9e" localSheetId="0" hidden="1">"'ERR &amp; Sensitivity Analysis'!$A$1"</definedName>
    <definedName name="CBx_Sheet_Guid" localSheetId="0" hidden="1">"'74c97fa0-955a-4523-8742-0a5181a9e4dd"</definedName>
    <definedName name="CBx_Sheet_Guid" localSheetId="5" hidden="1">"'2013a7a0-273e-4d26-ae07-76d9f0a8196d"</definedName>
    <definedName name="CBx_Sheet_Guid" localSheetId="6" hidden="1">"'c03be0b5-e05b-4ee9-9a33-efbfe4d730a2"</definedName>
    <definedName name="CBx_Sheet_Guid" localSheetId="3" hidden="1">"'efb6a818-0e6b-4401-9721-1dfc6d35eb9e"</definedName>
    <definedName name="CBx_Sheet_Guid" localSheetId="7" hidden="1">"'2b9c2d7b-b392-4c95-a9fd-5881efc52d47"</definedName>
    <definedName name="CBx_StorageType" localSheetId="0" hidden="1">1</definedName>
    <definedName name="CBx_StorageType" localSheetId="5" hidden="1">1</definedName>
    <definedName name="CBx_StorageType" localSheetId="6" hidden="1">1</definedName>
    <definedName name="CBx_StorageType" localSheetId="3" hidden="1">1</definedName>
    <definedName name="CBx_StorageType" localSheetId="7" hidden="1">1</definedName>
    <definedName name="CONTINGENCIES">#REF!</definedName>
    <definedName name="Costs">#REF!</definedName>
    <definedName name="Costs2">'[6]Assumptions'!$W$7:$AB$15</definedName>
    <definedName name="CUMMULATIVETOTAL">#REF!</definedName>
    <definedName name="debt">#REF!</definedName>
    <definedName name="debt_cost" localSheetId="3">'[10]Assumptions'!#REF!</definedName>
    <definedName name="debt_cost">#REF!</definedName>
    <definedName name="DEMOLITIONS">#REF!</definedName>
    <definedName name="DEP">#REF!</definedName>
    <definedName name="diesel_price">#REF!</definedName>
    <definedName name="disc">'[4]Assumptions'!#REF!</definedName>
    <definedName name="discount">#REF!</definedName>
    <definedName name="disease_cases">'[4]Assumptions'!#REF!</definedName>
    <definedName name="DPY">'[2]Key Assumptions'!$G$24</definedName>
    <definedName name="ECF">'[3]LU'!$AF$8</definedName>
    <definedName name="ECON">#REF!</definedName>
    <definedName name="eduwageadd">'[4]Morogoro'!$K$31</definedName>
    <definedName name="eduwagenr">'[4]Morogoro'!$K$29</definedName>
    <definedName name="equity" localSheetId="3">'[10]Assumptions'!#REF!</definedName>
    <definedName name="equity">#REF!</definedName>
    <definedName name="ESCALATION">#REF!</definedName>
    <definedName name="ex_rate">#REF!</definedName>
    <definedName name="exch">'[7]Assumptions'!$F$7</definedName>
    <definedName name="exch2">'[9]Basics'!$G$8</definedName>
    <definedName name="gasswitch">'[6]Assumptions'!$H$47</definedName>
    <definedName name="grow">#REF!</definedName>
    <definedName name="hydro_cap">#REF!</definedName>
    <definedName name="hydro_opex">#REF!</definedName>
    <definedName name="income_comm" localSheetId="3">'[10]Assumptions'!#REF!</definedName>
    <definedName name="income_comm">#REF!</definedName>
    <definedName name="income_dom" localSheetId="3">'[10]Assumptions'!#REF!</definedName>
    <definedName name="income_dom">#REF!</definedName>
    <definedName name="income_ind" localSheetId="3">'[10]Assumptions'!#REF!</definedName>
    <definedName name="income_ind">#REF!</definedName>
    <definedName name="income_street" localSheetId="3">'[10]Assumptions'!#REF!</definedName>
    <definedName name="income_street">#REF!</definedName>
    <definedName name="infl">'[2]Key Assumptions'!$G$38</definedName>
    <definedName name="inflation" localSheetId="3">'[10]Assumptions'!#REF!</definedName>
    <definedName name="inflation">#REF!</definedName>
    <definedName name="LCC">'[2]Key Assumptions'!$G$38</definedName>
    <definedName name="Lessgrow">#REF!</definedName>
    <definedName name="LF0913">'[6]Assumptions'!$G$12</definedName>
    <definedName name="LF1423">'[6]Assumptions'!$H$12</definedName>
    <definedName name="LF2433">'[6]Assumptions'!$I$12</definedName>
    <definedName name="LF2434">'[6]Assumptions'!$I$12</definedName>
    <definedName name="list">'[4]Assumptions'!#REF!</definedName>
    <definedName name="loadshed">'[6]Assumptions'!#REF!</definedName>
    <definedName name="LOAN">#REF!</definedName>
    <definedName name="loan_period" localSheetId="3">'[10]Assumptions'!#REF!</definedName>
    <definedName name="loan_period">#REF!</definedName>
    <definedName name="lpb">'[4]Assumptions'!$F$6</definedName>
    <definedName name="LU1">'[3]LU'!$A$3:$V$57</definedName>
    <definedName name="LUsum">'[3]Summary'!$A$6:$S$16</definedName>
    <definedName name="lva">'[2]Key Assumptions'!$G$37</definedName>
    <definedName name="mat_rate">'[8]Assumptions'!$D$125</definedName>
    <definedName name="mat_years">'[8]Assumptions'!$D$127</definedName>
    <definedName name="miniprojrange">#REF!</definedName>
    <definedName name="model_start">#REF!</definedName>
    <definedName name="mvacap">'[6]Assumptions'!$H$31</definedName>
    <definedName name="nmarkup">'[4]Assumptions'!#REF!</definedName>
    <definedName name="omcost">'[4]Assumptions'!$F$9</definedName>
    <definedName name="ops_end">#REF!</definedName>
    <definedName name="ops_start">#REF!</definedName>
    <definedName name="pfactor">'[6]Assumptions'!$H$13</definedName>
    <definedName name="Phasing">#REF!</definedName>
    <definedName name="Phasing2">'[6]Planting'!$F$4:$S$10</definedName>
    <definedName name="pow_importprice">'[6]Assumptions'!$M$8:$O$35</definedName>
    <definedName name="ppatable">'[6]Assumptions'!$L$9:$P$35</definedName>
    <definedName name="Pre_contract_escalation">#REF!</definedName>
    <definedName name="PRELIMINARIES___GENERAL">#REF!</definedName>
    <definedName name="price_comm" localSheetId="3">'[10]Assumptions'!#REF!</definedName>
    <definedName name="price_comm">#REF!</definedName>
    <definedName name="price_dom" localSheetId="3">'[10]Assumptions'!#REF!</definedName>
    <definedName name="price_dom">#REF!</definedName>
    <definedName name="price_ind" localSheetId="3">'[10]Assumptions'!#REF!+'[10]Assumptions'!#REF!</definedName>
    <definedName name="price_ind">#REF!+#REF!</definedName>
    <definedName name="price_street" localSheetId="3">'[10]Assumptions'!#REF!</definedName>
    <definedName name="price_street">#REF!</definedName>
    <definedName name="_xlnm.Print_Area" localSheetId="2">'Activity Description'!$A$1:$D$28</definedName>
    <definedName name="_xlnm.Print_Area" localSheetId="5">'Cost-Benefit Summary - COSDECs'!$A$7:$X$50</definedName>
    <definedName name="_xlnm.Print_Area" localSheetId="6">'Cost-Benefit Summary - NTF'!$A$5:$X$26</definedName>
    <definedName name="_xlnm.Print_Area" localSheetId="3">'ERR &amp; Sensitivity Analysis'!$A$1:$K$107</definedName>
    <definedName name="_xlnm.Print_Area" localSheetId="7">'NTF Flows and Key Assumptions'!$A$5:$I$43</definedName>
    <definedName name="_xlnm.Print_Area" localSheetId="1">'User''s Guide'!$A$1:$D$64</definedName>
    <definedName name="prod">'[5]Key Assumptions'!$H$41</definedName>
    <definedName name="PROFESSIONAL_FEES___DISBURSEMENTS">#REF!</definedName>
    <definedName name="proj_life">#REF!</definedName>
    <definedName name="PROJECT_NAME" localSheetId="2">CONCATENATE('Activity Description'!$C$8," (",'Activity Description'!$C$10,")")</definedName>
    <definedName name="PROJECT_NAME" localSheetId="3">CONCATENATE('[11]User's Guide'!$C$8," (",'[11]User's Guide'!$C$9,")")</definedName>
    <definedName name="PROJECT_NAME">CONCATENATE('User's Guide'!$C$12," (",'User's Guide'!$C$13,")")</definedName>
    <definedName name="project_switch">#REF!</definedName>
    <definedName name="PROVISIONALSUMS">#REF!</definedName>
    <definedName name="real_disc_rate" localSheetId="3">'[10]Assumptions'!#REF!</definedName>
    <definedName name="real_disc_rate">#REF!</definedName>
    <definedName name="req_ret">'[8]Assumptions'!$D$129</definedName>
    <definedName name="residcapex">'[6]Assumptions'!$H$49</definedName>
    <definedName name="selected_cap">#REF!</definedName>
    <definedName name="SITE_WORKS">#REF!</definedName>
    <definedName name="startyear">'[6]Assumptions'!$H$36</definedName>
    <definedName name="STAT">#N/A</definedName>
    <definedName name="sub_cap" localSheetId="3">'[10]Assumptions'!#REF!</definedName>
    <definedName name="sub_cap">#REF!</definedName>
    <definedName name="SUM">#REF!</definedName>
    <definedName name="tariff_case">#REF!</definedName>
    <definedName name="tax_dep" localSheetId="3">'[10]Assumptions'!#REF!</definedName>
    <definedName name="tax_dep">#REF!</definedName>
    <definedName name="tax_rate" localSheetId="3">'[10]Assumptions'!#REF!</definedName>
    <definedName name="tax_rate">#REF!</definedName>
    <definedName name="td_cap">#REF!</definedName>
    <definedName name="td_opex">#REF!</definedName>
    <definedName name="TOTAL_CONSTRUCTION_COST">#REF!</definedName>
    <definedName name="TOTAL_ESCALATED_CONSTRUCTION_COST">#REF!</definedName>
    <definedName name="TOTAL_PROJECT_COST">#REF!</definedName>
    <definedName name="unserved">'[6]Assumptions'!$H$35</definedName>
    <definedName name="UWSSA">'[4]Assumptions'!$E$14:$E$16</definedName>
    <definedName name="voll">'[6]Assumptions'!$H$30</definedName>
    <definedName name="Year1">'[7]Assumptions'!$F$5</definedName>
  </definedNames>
  <calcPr fullCalcOnLoad="1"/>
</workbook>
</file>

<file path=xl/sharedStrings.xml><?xml version="1.0" encoding="utf-8"?>
<sst xmlns="http://schemas.openxmlformats.org/spreadsheetml/2006/main" count="289" uniqueCount="219">
  <si>
    <t>ERR Calculation, COSDECs</t>
  </si>
  <si>
    <t>COSTS</t>
  </si>
  <si>
    <t>MCC Construction</t>
  </si>
  <si>
    <t>CAT A: INFORMAL SECTOR</t>
  </si>
  <si>
    <t>CAT B: FORMAL SECTOR - NO TRAINING</t>
  </si>
  <si>
    <t>CAT C: FORMAL SECTOR - LIMITED TRAINING</t>
  </si>
  <si>
    <t>CAT D: FORMAL SECTOR - VTC PASS TRAINING</t>
  </si>
  <si>
    <t>Salaries Average</t>
  </si>
  <si>
    <t>USD</t>
  </si>
  <si>
    <t>Per trainee cost</t>
  </si>
  <si>
    <t>Unemployment income</t>
  </si>
  <si>
    <t>Expected income post-employment</t>
  </si>
  <si>
    <t>Expected income pre-training</t>
  </si>
  <si>
    <t xml:space="preserve">Annual </t>
  </si>
  <si>
    <t>Expected annual income gain</t>
  </si>
  <si>
    <t>NPV</t>
  </si>
  <si>
    <t>NPV of expected income gain, 15 years</t>
  </si>
  <si>
    <t>Training costs</t>
  </si>
  <si>
    <t>Maintenance</t>
  </si>
  <si>
    <t>Increase in NPV of future incomes</t>
  </si>
  <si>
    <t>TOTAL COSTS</t>
  </si>
  <si>
    <t>NET BENEFITS</t>
  </si>
  <si>
    <t>IRR</t>
  </si>
  <si>
    <t>Adjustment factor for 'unemployment'</t>
  </si>
  <si>
    <t>Admin Costs</t>
  </si>
  <si>
    <t>Cumulative number of trainees</t>
  </si>
  <si>
    <t>Percent change for M&amp;E targets</t>
  </si>
  <si>
    <t xml:space="preserve">Sources/Notes: </t>
  </si>
  <si>
    <r>
      <t>Pre-training income if employed</t>
    </r>
    <r>
      <rPr>
        <vertAlign val="superscript"/>
        <sz val="14"/>
        <rFont val="Arial"/>
        <family val="2"/>
      </rPr>
      <t>1</t>
    </r>
  </si>
  <si>
    <r>
      <t>Post-training income if employed</t>
    </r>
    <r>
      <rPr>
        <vertAlign val="superscript"/>
        <sz val="14"/>
        <rFont val="Arial"/>
        <family val="2"/>
      </rPr>
      <t>2</t>
    </r>
  </si>
  <si>
    <r>
      <t>Unemployment pre-training</t>
    </r>
    <r>
      <rPr>
        <vertAlign val="superscript"/>
        <sz val="14"/>
        <rFont val="Arial"/>
        <family val="2"/>
      </rPr>
      <t>3</t>
    </r>
  </si>
  <si>
    <r>
      <t>Unemployment post-training</t>
    </r>
    <r>
      <rPr>
        <vertAlign val="superscript"/>
        <sz val="14"/>
        <rFont val="Arial"/>
        <family val="2"/>
      </rPr>
      <t>4</t>
    </r>
  </si>
  <si>
    <r>
      <t>1</t>
    </r>
    <r>
      <rPr>
        <sz val="14"/>
        <rFont val="Arial"/>
        <family val="2"/>
      </rPr>
      <t>Informal wage study</t>
    </r>
  </si>
  <si>
    <r>
      <t>2</t>
    </r>
    <r>
      <rPr>
        <sz val="14"/>
        <rFont val="Arial"/>
        <family val="2"/>
      </rPr>
      <t>Average formal and informal sector</t>
    </r>
  </si>
  <si>
    <r>
      <t>3</t>
    </r>
    <r>
      <rPr>
        <sz val="14"/>
        <rFont val="Arial"/>
        <family val="2"/>
      </rPr>
      <t>2000 and 2001 tracer studies</t>
    </r>
  </si>
  <si>
    <r>
      <t>4</t>
    </r>
    <r>
      <rPr>
        <sz val="14"/>
        <rFont val="Arial"/>
        <family val="2"/>
      </rPr>
      <t>2000 and 2001 tracer studies</t>
    </r>
  </si>
  <si>
    <t>Exchange rate (N/$)</t>
  </si>
  <si>
    <t>PROJECT NAME</t>
  </si>
  <si>
    <t>SPREADSHEET VERSION</t>
  </si>
  <si>
    <t>AMOUNT OF MCC FUNDS</t>
  </si>
  <si>
    <t>PROJECT DESCRIPTION</t>
  </si>
  <si>
    <t>BENEFIT STREAMS INCLUDED IN ERR</t>
  </si>
  <si>
    <t>ESTIMATED ERR AND TIMELINE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</si>
  <si>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</si>
  <si>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</si>
  <si>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</si>
  <si>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</si>
  <si>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SUMMARY</t>
  </si>
  <si>
    <t>ECONOMIC RATIONALE</t>
  </si>
  <si>
    <t>Last updated:  8/24/2007</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</si>
  <si>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</si>
  <si>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</si>
  <si>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</si>
  <si>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</si>
  <si>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</si>
  <si>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</si>
  <si>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</si>
  <si>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</si>
  <si>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</si>
  <si>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</si>
  <si>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</si>
  <si>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80% - 120%</t>
  </si>
  <si>
    <t>More Info</t>
  </si>
  <si>
    <t>Actual benefits as a percentage of estimated benefits</t>
  </si>
  <si>
    <t>Specific</t>
  </si>
  <si>
    <t>User's Guide</t>
  </si>
  <si>
    <t xml:space="preserve"> </t>
  </si>
  <si>
    <t>N$/Year</t>
  </si>
  <si>
    <t>0.64 - 0.96</t>
  </si>
  <si>
    <t>0.72 - 1.08</t>
  </si>
  <si>
    <t>Education Project</t>
  </si>
  <si>
    <t>$18.1 million total for COSDEC Activity</t>
  </si>
  <si>
    <t>44% over 20 years</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</si>
  <si>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</si>
  <si>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Investment memorandum</t>
  </si>
  <si>
    <t>MCC funding under this activity will assist Namibia with constructing and/or renovating Community Skill Development Centers ("COSDECs") aimed at increasing the skill, quality and responsiveness of the Namibian workforce.</t>
  </si>
  <si>
    <r>
      <t xml:space="preserve">COSTS INCLUDED IN ERR </t>
    </r>
    <r>
      <rPr>
        <sz val="14"/>
        <rFont val="Arial"/>
        <family val="2"/>
      </rPr>
      <t>(OTHER THAN COSTS BORNE BY MCC)</t>
    </r>
  </si>
  <si>
    <t>Increased income of COSDEC trainees</t>
  </si>
  <si>
    <t>Cumulative investment:</t>
  </si>
  <si>
    <t>Costs to system plus foregone incomes</t>
  </si>
  <si>
    <t>Scaling factor on expected annual income gain</t>
  </si>
  <si>
    <t>Scaling factor for expected annual income gain</t>
  </si>
  <si>
    <t>Community Skill Development Centers</t>
  </si>
  <si>
    <t>ERR FOR NTF T.A. ACTIVITY</t>
  </si>
  <si>
    <t>Year</t>
  </si>
  <si>
    <t>NTF FLOWS from private payroll levy</t>
  </si>
  <si>
    <t>Assumed employer/trainee contributions</t>
  </si>
  <si>
    <t>Total Amount devoted to NTF training</t>
  </si>
  <si>
    <t>Gross Return at 6% (on public financing of VCT (substituted for levy))</t>
  </si>
  <si>
    <t>Based on current economic Rate of Return for Voc Ed</t>
  </si>
  <si>
    <t>ERR on privately provided vocational education training</t>
  </si>
  <si>
    <t>Return on additional training stimulated</t>
  </si>
  <si>
    <t>Difference in Returns</t>
  </si>
  <si>
    <t>Net benefits</t>
  </si>
  <si>
    <t>Attribution to MCC:</t>
  </si>
  <si>
    <t>ERR</t>
  </si>
  <si>
    <t>Number of trainees:</t>
  </si>
  <si>
    <t>Trainees Graduating (Assume courses average 1.5 year)</t>
  </si>
  <si>
    <t>Cum grads</t>
  </si>
  <si>
    <t>Implied NPV Incremental income</t>
  </si>
  <si>
    <t>NAD per year (40 years)</t>
  </si>
  <si>
    <t>Expected income gain</t>
  </si>
  <si>
    <t>USD per year</t>
  </si>
  <si>
    <t>Panel A - 2007/08 Budget</t>
  </si>
  <si>
    <t>Levy:</t>
  </si>
  <si>
    <t>N$  2008</t>
  </si>
  <si>
    <t>N$ 2008</t>
  </si>
  <si>
    <t>USD 2008</t>
  </si>
  <si>
    <t>For Training</t>
  </si>
  <si>
    <t>GoN personnel remuneration 2008</t>
  </si>
  <si>
    <t>Other private sector paying levy</t>
  </si>
  <si>
    <t>Total:</t>
  </si>
  <si>
    <t>Panel B CPI</t>
  </si>
  <si>
    <t>CPI</t>
  </si>
  <si>
    <t>Source</t>
  </si>
  <si>
    <t>AVG</t>
  </si>
  <si>
    <t>Cumm</t>
  </si>
  <si>
    <t>2004 -2008 Cummulative</t>
  </si>
  <si>
    <r>
      <t>2008</t>
    </r>
    <r>
      <rPr>
        <vertAlign val="superscript"/>
        <sz val="14"/>
        <color indexed="8"/>
        <rFont val="Arial"/>
        <family val="2"/>
      </rPr>
      <t>1</t>
    </r>
  </si>
  <si>
    <t>Panel C - NEPRU Projections 2004 Report</t>
  </si>
  <si>
    <t>Table 3: Levy Revenue Scenarios if Exemption is Based on No. of Employees</t>
  </si>
  <si>
    <t>EXEMPTION CRITERION LEVY REVENUE</t>
  </si>
  <si>
    <t>Less than 100 Employees</t>
  </si>
  <si>
    <t>Less than 50 Employees</t>
  </si>
  <si>
    <t>Less than 20 Employees</t>
  </si>
  <si>
    <t>Note: All figures in (2004) N$</t>
  </si>
  <si>
    <t>Panel D - Assume revised NEPRU values double</t>
  </si>
  <si>
    <t>Assumed multiplier for cofinancing by trainees and employers.</t>
  </si>
  <si>
    <t>Assumed cost per trainee under private provision (NAD)</t>
  </si>
  <si>
    <t>Current cost of 3 years' training at VTC is 5031 USD x 3.</t>
  </si>
  <si>
    <r>
      <t>1</t>
    </r>
    <r>
      <rPr>
        <sz val="12"/>
        <rFont val="Arial"/>
        <family val="2"/>
      </rPr>
      <t xml:space="preserve"> Average 2002-2007</t>
    </r>
  </si>
  <si>
    <r>
      <t>2</t>
    </r>
    <r>
      <rPr>
        <sz val="12"/>
        <rFont val="Arial"/>
        <family val="2"/>
      </rPr>
      <t>Table 1: Namibia CPI: All-Items Index on base Dec.2001, monthly and annual percentage changes. Filename: CPI 2007_08.pdf</t>
    </r>
  </si>
  <si>
    <r>
      <t>3</t>
    </r>
    <r>
      <rPr>
        <sz val="12"/>
        <rFont val="Arial"/>
        <family val="2"/>
      </rPr>
      <t>Table 1.16 (a) NATIONAL CONSUMER PRICE INDEX (December 2001 = 100). Filename: _CPI All Items.pdf</t>
    </r>
  </si>
  <si>
    <t>Vocational Training Levy</t>
  </si>
  <si>
    <t>0.8% - 1.2%</t>
  </si>
  <si>
    <r>
      <t>Exemption criterion levy revenue</t>
    </r>
    <r>
      <rPr>
        <vertAlign val="superscript"/>
        <sz val="14"/>
        <rFont val="Arial"/>
        <family val="2"/>
      </rPr>
      <t>*</t>
    </r>
  </si>
  <si>
    <t>7176459 - 10764689</t>
  </si>
  <si>
    <t>Assumed multiplier for cofinancing by trainees and employers</t>
  </si>
  <si>
    <t>0.8 - 1.2</t>
  </si>
  <si>
    <t>40,000 - 60,000</t>
  </si>
  <si>
    <t>Increased Number of Trainees per year</t>
  </si>
  <si>
    <t>Expected income post-training (adjusted for unemployment)</t>
  </si>
  <si>
    <t>Expected income pre-training (adjusted for unemployment)</t>
  </si>
  <si>
    <t>Individual NPV of added income</t>
  </si>
  <si>
    <t>MCC Costs</t>
  </si>
  <si>
    <t>N$</t>
  </si>
  <si>
    <t>Increased number of graduate trainees per year</t>
  </si>
  <si>
    <t>ERR Calculation, VTGF</t>
  </si>
  <si>
    <t>MCC COSTS (NAD)</t>
  </si>
  <si>
    <t>NOTE: Not starting revenue collection til April 2015, beginning expenditure after that.</t>
  </si>
  <si>
    <t>Namibia: Education Project</t>
  </si>
  <si>
    <t>Vocational and Skills Training Activity</t>
  </si>
  <si>
    <t>Table of Contents</t>
  </si>
  <si>
    <t>Closeout</t>
  </si>
  <si>
    <t>MCC funding under this activity aims to increase the skilled labor pool in Namibia by increasing access to and quality of training.</t>
  </si>
  <si>
    <t>Increased income of COSDEC, NTF, and VTGF  trainees</t>
  </si>
  <si>
    <t>Costs to system plus foregone incomes and employee/trainee contributions</t>
  </si>
  <si>
    <t>COSDECs: 101% over 20 years</t>
  </si>
  <si>
    <t>VTGF: 21% over 20 years</t>
  </si>
  <si>
    <t>NTF: 16.6% over 20 years</t>
  </si>
  <si>
    <t>Vocational Skills and Training Activity</t>
  </si>
  <si>
    <t>The Community Skills and Development Centers (“COSDECs”) Activity will train up to 49,000 low-income individuals who are either unemployed and /or unskilled, consequently increasing the knowledge, skills and competence of the Namibian workforce; and increasing the productivity of agricultural and non-agricultural enterprises in communal areas.  Specifically, MCC funding will support the construction and renovation of approximately nine COSDECs.</t>
  </si>
  <si>
    <t>Community Skills and Development Centers Sub-Activity</t>
  </si>
  <si>
    <t>National Training Fund and Vocational Training Grant Fund</t>
  </si>
  <si>
    <t xml:space="preserve">The Activity will facilitate the transition away from inefficient state-run Vocational and Technical Training Colleges towards greater private provision of training, which is likely to be more efficient and responsive to market and employer demands.  </t>
  </si>
  <si>
    <t>Specifically, MCC funding will support:</t>
  </si>
  <si>
    <t>1. The provision of technical assistance for the National Training Fund (NTF) and the creation of a training levy system that will sustain the NTF in the future.</t>
  </si>
  <si>
    <t>2. Priority vocational and skills training areas as identified by the Namibian Training Authority (NTA).</t>
  </si>
  <si>
    <t>3. Efforts of the private-training industry to meet demands of Namibia's market economy.</t>
  </si>
  <si>
    <t xml:space="preserve">The Vocational Skills and Training Activity aims to increase the skilled labor pool in Namibia, by helping to create a more efficient and effective educational system. A more effective educational system will ultimately increase employment opportunities for subsequent graduates. </t>
  </si>
  <si>
    <t>ERR and Sensitivity Analysis</t>
  </si>
  <si>
    <t>Vocational Skills and Training Activity: COSDECs Sub-Activity</t>
  </si>
  <si>
    <t>Costs &amp; Benefits Summary of COSDECs</t>
  </si>
  <si>
    <t>Vocational Skills and Training Activity: NTF Sub-Activity</t>
  </si>
  <si>
    <t>Costs &amp; Benefits Summary of NTF</t>
  </si>
  <si>
    <t>Costs &amp; Benefits Summary for VTGF</t>
  </si>
  <si>
    <t>Vocational Skills and Training Activity: VTGFSub-Activity</t>
  </si>
  <si>
    <t>Costs &amp; Benefits Summary - COSDECs</t>
  </si>
  <si>
    <t>Costs &amp; Benefits Summary - NTF</t>
  </si>
  <si>
    <t>NTF Flows and Key Assumptions</t>
  </si>
  <si>
    <t>Costs &amp; Benefits Summary - VTGF</t>
  </si>
  <si>
    <t>Details on the annual costs and benefits associated with the COSDECs sub-activity.</t>
  </si>
  <si>
    <t>This worksheet details the key assumptions of the NTF sub-activity.</t>
  </si>
  <si>
    <t>$18.1 million for COSDECs</t>
  </si>
  <si>
    <t>$1.7 million for NTF</t>
  </si>
  <si>
    <t>$7.8 million for VTGF</t>
  </si>
  <si>
    <t>All specific parameters set to initial values?</t>
  </si>
  <si>
    <t>User Generated ERRs:</t>
  </si>
  <si>
    <t>COSDECs</t>
  </si>
  <si>
    <t>NTF</t>
  </si>
  <si>
    <t>VTGT</t>
  </si>
  <si>
    <t>MCC Estimated ERRs at Closeout:</t>
  </si>
  <si>
    <t>Key Assumptions</t>
  </si>
  <si>
    <t>Last updated: 03/20/2019</t>
  </si>
  <si>
    <t xml:space="preserve">Compact Implementation </t>
  </si>
  <si>
    <t xml:space="preserve">Calendar Year </t>
  </si>
  <si>
    <t xml:space="preserve">NPV of Net Benefits </t>
  </si>
  <si>
    <t xml:space="preserve">Present Value (PV) of Benefits </t>
  </si>
  <si>
    <t>Present Value (PV) of Costs</t>
  </si>
  <si>
    <t xml:space="preserve">COSDECs - Total Benefits </t>
  </si>
  <si>
    <t xml:space="preserve">COSDECs - Total Costs </t>
  </si>
  <si>
    <t>NTF - Total Benefits</t>
  </si>
  <si>
    <t>NTF - Total Costs</t>
  </si>
  <si>
    <t xml:space="preserve">VTGF - Total Benefits </t>
  </si>
  <si>
    <t>VTGF - Total Costs</t>
  </si>
  <si>
    <t xml:space="preserve">Project ERR </t>
  </si>
  <si>
    <t>VTGF - Net Benefits</t>
  </si>
  <si>
    <t>COSDECs - Net Benefits</t>
  </si>
  <si>
    <t>NTF - Net Benefits</t>
  </si>
  <si>
    <t>Project - Total Benefits</t>
  </si>
  <si>
    <t>Project - Total Costs</t>
  </si>
  <si>
    <t>Project - Net Benefits</t>
  </si>
  <si>
    <t>The COSDECs sub-activity supports objectives that are consistent with Namibia's Education and Training Sector Program (ETSIP). The COSDECs identify community training needs relevant to the particular community and provide skill development that is hands-on and competence-based. This in turn leads to development of a skilled workforce for both the modern industry and small to medium enterprise sectors of the economy. The COSDEC Activity has a projected economic rate of return of 101 percent, with an 80 percent confidence interval of 35-63%.  The main benefit stream of the sub-activity is increased income of trainees at the Centers, which have been shown to reduce unemployment among trainees and to deliver demand-driven training at relatively low cost.</t>
  </si>
  <si>
    <t>The Vocational Skills and Training Activity will make the National Training Fund operational; resulting in lower costs of training, greater numbers of trained individuals, and greater relevance of skills to the economy.  Beyond access expansion, all students in the vocational system benefit as curriculums become more responsive to market and employer demands.  The Economic Rate of Return for this project depends upon how widespread the application of the training levy will be, as well as the level of contributions by trainees or their employers. Under reasonable assumptions, the ERR for the NTF is 17 percent (with an 80% confidence interval of 14-39 percent) and 21 percent for the VTGF. It is projected that approximately 2,000 additional vocational training graduates over a 20 year period will receive higher income due to the improved training opportunities.</t>
  </si>
  <si>
    <t>Overall</t>
  </si>
  <si>
    <t>Overall: 53.1% over 20 years</t>
  </si>
  <si>
    <t>Total Cost-Benefit Summary</t>
  </si>
  <si>
    <t>Total Cost-Benefit statisticts for project</t>
  </si>
  <si>
    <t>Namibia: Vocational and Skills Training Activity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</si>
</sst>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N$&quot;#,##0;\-&quot;N$&quot;#,##0"/>
    <numFmt numFmtId="166" formatCode="0.0"/>
    <numFmt numFmtId="167" formatCode="mmmm\ d\,\ yyyy"/>
    <numFmt numFmtId="168" formatCode="0.0%"/>
    <numFmt numFmtId="169" formatCode="_-* #,##0.00_-;\-* #,##0.00_-;_-* &quot;-&quot;??_-;_-@_-"/>
    <numFmt numFmtId="170" formatCode="0.0000"/>
    <numFmt numFmtId="171" formatCode="0.000"/>
    <numFmt numFmtId="172" formatCode="[$-409]dddd\,\ mmmm\ dd\,\ yyyy"/>
    <numFmt numFmtId="173" formatCode="[$-409]h:mm:ss\ AM/PM"/>
    <numFmt numFmtId="174" formatCode="_(* #,##0.000_);_(* \(#,##0.000\);_(* &quot;-&quot;??_);_(@_)"/>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s>
  <fonts count="70">
    <font>
      <sz val="10"/>
      <name val="Arial"/>
      <family val="0"/>
    </font>
    <font>
      <sz val="12"/>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4"/>
      <name val="Arial"/>
      <family val="2"/>
    </font>
    <font>
      <sz val="24"/>
      <name val="Arial"/>
      <family val="2"/>
    </font>
    <font>
      <sz val="6"/>
      <name val="Times New Roman"/>
      <family val="1"/>
    </font>
    <font>
      <sz val="8"/>
      <name val="Times New Roman"/>
      <family val="1"/>
    </font>
    <font>
      <sz val="10"/>
      <name val="Times New Roman"/>
      <family val="1"/>
    </font>
    <font>
      <sz val="12"/>
      <name val="Times New Roman"/>
      <family val="1"/>
    </font>
    <font>
      <b/>
      <sz val="18"/>
      <name val="Arial"/>
      <family val="2"/>
    </font>
    <font>
      <b/>
      <sz val="14"/>
      <name val="Arial"/>
      <family val="2"/>
    </font>
    <font>
      <sz val="8"/>
      <name val="Arial"/>
      <family val="2"/>
    </font>
    <font>
      <vertAlign val="superscript"/>
      <sz val="14"/>
      <name val="Arial"/>
      <family val="2"/>
    </font>
    <font>
      <b/>
      <sz val="16"/>
      <name val="Arial"/>
      <family val="2"/>
    </font>
    <font>
      <u val="single"/>
      <sz val="14"/>
      <color indexed="12"/>
      <name val="Arial"/>
      <family val="2"/>
    </font>
    <font>
      <sz val="8"/>
      <color indexed="17"/>
      <name val="Arial"/>
      <family val="2"/>
    </font>
    <font>
      <b/>
      <sz val="10"/>
      <color indexed="9"/>
      <name val="Arial"/>
      <family val="2"/>
    </font>
    <font>
      <b/>
      <sz val="14"/>
      <color indexed="12"/>
      <name val="Arial"/>
      <family val="2"/>
    </font>
    <font>
      <b/>
      <sz val="14"/>
      <color indexed="10"/>
      <name val="Arial"/>
      <family val="2"/>
    </font>
    <font>
      <u val="single"/>
      <sz val="12"/>
      <color indexed="12"/>
      <name val="Arial"/>
      <family val="2"/>
    </font>
    <font>
      <sz val="10"/>
      <color indexed="9"/>
      <name val="Arial"/>
      <family val="2"/>
    </font>
    <font>
      <b/>
      <sz val="16"/>
      <color indexed="10"/>
      <name val="Arial"/>
      <family val="2"/>
    </font>
    <font>
      <b/>
      <sz val="10"/>
      <color indexed="12"/>
      <name val="Arial"/>
      <family val="2"/>
    </font>
    <font>
      <sz val="14"/>
      <color indexed="8"/>
      <name val="Arial"/>
      <family val="2"/>
    </font>
    <font>
      <b/>
      <sz val="14"/>
      <color indexed="8"/>
      <name val="Arial"/>
      <family val="2"/>
    </font>
    <font>
      <vertAlign val="superscript"/>
      <sz val="14"/>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i/>
      <sz val="11"/>
      <color indexed="8"/>
      <name val="Calibri"/>
      <family val="2"/>
    </font>
    <font>
      <i/>
      <sz val="14"/>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4"/>
      <color rgb="FFFF0000"/>
      <name val="Arial"/>
      <family val="2"/>
    </font>
    <font>
      <sz val="8"/>
      <color rgb="FF008000"/>
      <name val="Arial"/>
      <family val="2"/>
    </font>
    <font>
      <b/>
      <sz val="11"/>
      <color theme="1"/>
      <name val="Calibri"/>
      <family val="2"/>
    </font>
    <font>
      <i/>
      <sz val="11"/>
      <color theme="1"/>
      <name val="Calibri"/>
      <family val="2"/>
    </font>
    <font>
      <b/>
      <sz val="14"/>
      <color theme="1"/>
      <name val="Arial"/>
      <family val="2"/>
    </font>
    <font>
      <sz val="14"/>
      <color theme="1"/>
      <name val="Arial"/>
      <family val="2"/>
    </font>
    <font>
      <sz val="10"/>
      <color theme="1"/>
      <name val="Arial"/>
      <family val="2"/>
    </font>
    <font>
      <i/>
      <sz val="14"/>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66"/>
        <bgColor indexed="64"/>
      </patternFill>
    </fill>
    <fill>
      <patternFill patternType="solid">
        <fgColor rgb="FFFFCC66"/>
        <bgColor indexed="64"/>
      </patternFill>
    </fill>
    <fill>
      <patternFill patternType="solid">
        <fgColor rgb="FF99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dotted"/>
      <top style="thin"/>
      <bottom style="thin"/>
    </border>
    <border>
      <left style="dotted"/>
      <right style="thin"/>
      <top style="thin"/>
      <bottom style="thin"/>
    </border>
    <border>
      <left style="thin"/>
      <right>
        <color indexed="63"/>
      </right>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dotted"/>
      <right style="dotted"/>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color indexed="63"/>
      </right>
      <top style="thin"/>
      <bottom>
        <color indexed="63"/>
      </bottom>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style="double"/>
      <bottom>
        <color indexed="63"/>
      </botto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style="dotted"/>
      <top style="dotted"/>
      <bottom style="thin"/>
    </border>
    <border>
      <left style="dotted"/>
      <right style="thin"/>
      <top style="dotted"/>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color indexed="9"/>
      </top>
      <bottom style="thin">
        <color indexed="9"/>
      </bottom>
    </border>
    <border>
      <left style="thin"/>
      <right>
        <color indexed="63"/>
      </right>
      <top style="double"/>
      <bottom style="thin"/>
    </border>
    <border>
      <left/>
      <right/>
      <top/>
      <bottom style="medium"/>
    </border>
    <border>
      <left style="double"/>
      <right style="double"/>
      <top style="double"/>
      <bottom style="thin"/>
    </border>
    <border>
      <left style="double"/>
      <right style="double"/>
      <top>
        <color indexed="63"/>
      </top>
      <bottom>
        <color indexed="63"/>
      </bottom>
    </border>
    <border>
      <left style="double"/>
      <right style="double"/>
      <top>
        <color indexed="63"/>
      </top>
      <bottom style="thin"/>
    </border>
    <border>
      <left style="thin"/>
      <right style="double"/>
      <top>
        <color indexed="63"/>
      </top>
      <bottom style="double"/>
    </border>
    <border>
      <left style="double"/>
      <right style="double"/>
      <top style="thin"/>
      <bottom style="thin"/>
    </border>
    <border>
      <left style="double"/>
      <right style="thin"/>
      <top style="double"/>
      <bottom>
        <color indexed="63"/>
      </bottom>
    </border>
    <border>
      <left style="double"/>
      <right style="thin"/>
      <top>
        <color indexed="63"/>
      </top>
      <bottom style="double"/>
    </border>
    <border>
      <left>
        <color indexed="63"/>
      </left>
      <right>
        <color indexed="63"/>
      </right>
      <top>
        <color indexed="63"/>
      </top>
      <bottom style="double"/>
    </border>
    <border>
      <left style="thin"/>
      <right style="double"/>
      <top>
        <color indexed="63"/>
      </top>
      <bottom>
        <color indexed="63"/>
      </bottom>
    </border>
    <border>
      <left style="double"/>
      <right style="thin"/>
      <top>
        <color indexed="63"/>
      </top>
      <bottom style="thin"/>
    </border>
    <border>
      <left style="thin"/>
      <right style="thin"/>
      <top>
        <color indexed="63"/>
      </top>
      <bottom style="medium"/>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dotted"/>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ill="0" applyBorder="0" applyAlignment="0" applyProtection="0"/>
    <xf numFmtId="0" fontId="10" fillId="28" borderId="0" applyNumberFormat="0" applyBorder="0" applyAlignment="0">
      <protection locked="0"/>
    </xf>
    <xf numFmtId="167" fontId="0" fillId="0" borderId="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2" fontId="0" fillId="0" borderId="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55" fillId="0" borderId="3" applyNumberFormat="0" applyFill="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4" applyNumberFormat="0" applyFill="0" applyAlignment="0" applyProtection="0"/>
    <xf numFmtId="0" fontId="58" fillId="31" borderId="0" applyNumberFormat="0" applyBorder="0" applyAlignment="0" applyProtection="0"/>
    <xf numFmtId="0" fontId="48" fillId="0" borderId="0" applyFill="0" applyBorder="0" applyAlignment="0" applyProtection="0"/>
    <xf numFmtId="0" fontId="0" fillId="0" borderId="0">
      <alignment/>
      <protection/>
    </xf>
    <xf numFmtId="0" fontId="11" fillId="0" borderId="0">
      <alignment vertical="top"/>
      <protection/>
    </xf>
    <xf numFmtId="0" fontId="11" fillId="0" borderId="0">
      <alignment vertical="top"/>
      <protection/>
    </xf>
    <xf numFmtId="0" fontId="0" fillId="0" borderId="0" applyFont="0" applyFill="0" applyBorder="0" applyAlignment="0" applyProtection="0"/>
    <xf numFmtId="0" fontId="0" fillId="32" borderId="5" applyNumberFormat="0" applyFont="0" applyAlignment="0" applyProtection="0"/>
    <xf numFmtId="0" fontId="59" fillId="26" borderId="6" applyNumberFormat="0" applyAlignment="0" applyProtection="0"/>
    <xf numFmtId="9"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0" fillId="0" borderId="7" applyNumberFormat="0" applyFill="0" applyAlignment="0" applyProtection="0"/>
    <xf numFmtId="0" fontId="61" fillId="0" borderId="0" applyNumberFormat="0" applyFill="0" applyBorder="0" applyAlignment="0" applyProtection="0"/>
  </cellStyleXfs>
  <cellXfs count="384">
    <xf numFmtId="0" fontId="0" fillId="0" borderId="0" xfId="0" applyAlignment="1">
      <alignment/>
    </xf>
    <xf numFmtId="0" fontId="6" fillId="0" borderId="0" xfId="0" applyFont="1" applyAlignment="1">
      <alignment/>
    </xf>
    <xf numFmtId="0" fontId="6" fillId="0" borderId="0" xfId="0" applyFont="1" applyAlignment="1">
      <alignment wrapText="1"/>
    </xf>
    <xf numFmtId="0" fontId="6" fillId="0" borderId="8" xfId="0" applyFont="1" applyBorder="1" applyAlignment="1">
      <alignment wrapText="1"/>
    </xf>
    <xf numFmtId="0" fontId="13" fillId="0" borderId="9" xfId="0" applyFont="1" applyBorder="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wrapText="1"/>
    </xf>
    <xf numFmtId="3" fontId="6" fillId="0" borderId="12" xfId="0" applyNumberFormat="1" applyFont="1" applyBorder="1" applyAlignment="1">
      <alignment/>
    </xf>
    <xf numFmtId="168" fontId="6" fillId="0" borderId="12" xfId="0" applyNumberFormat="1" applyFont="1" applyBorder="1" applyAlignment="1">
      <alignment/>
    </xf>
    <xf numFmtId="9" fontId="6" fillId="0" borderId="12" xfId="0" applyNumberFormat="1" applyFont="1" applyBorder="1" applyAlignment="1">
      <alignment/>
    </xf>
    <xf numFmtId="40" fontId="6" fillId="0" borderId="12" xfId="0" applyNumberFormat="1" applyFont="1" applyBorder="1" applyAlignment="1">
      <alignment/>
    </xf>
    <xf numFmtId="0" fontId="6" fillId="0" borderId="13" xfId="0" applyFont="1" applyBorder="1" applyAlignment="1">
      <alignment/>
    </xf>
    <xf numFmtId="0" fontId="6" fillId="0" borderId="14" xfId="0" applyFont="1" applyBorder="1" applyAlignment="1">
      <alignment/>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6" fillId="0" borderId="0" xfId="0" applyFont="1" applyAlignment="1">
      <alignment horizontal="center"/>
    </xf>
    <xf numFmtId="0" fontId="6" fillId="0" borderId="18" xfId="0" applyFont="1" applyBorder="1" applyAlignment="1">
      <alignment wrapText="1"/>
    </xf>
    <xf numFmtId="3" fontId="6" fillId="0" borderId="19" xfId="0" applyNumberFormat="1"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1" xfId="0" applyFont="1" applyBorder="1" applyAlignment="1">
      <alignment/>
    </xf>
    <xf numFmtId="0" fontId="6" fillId="0" borderId="12" xfId="0" applyFont="1" applyBorder="1" applyAlignment="1">
      <alignment/>
    </xf>
    <xf numFmtId="4" fontId="6" fillId="0" borderId="12" xfId="0" applyNumberFormat="1" applyFont="1" applyBorder="1" applyAlignment="1">
      <alignment/>
    </xf>
    <xf numFmtId="1" fontId="6" fillId="0" borderId="12" xfId="0" applyNumberFormat="1" applyFont="1" applyBorder="1" applyAlignment="1">
      <alignment/>
    </xf>
    <xf numFmtId="1" fontId="6" fillId="0" borderId="21" xfId="0" applyNumberFormat="1" applyFont="1" applyBorder="1" applyAlignment="1">
      <alignment/>
    </xf>
    <xf numFmtId="0" fontId="6" fillId="0" borderId="22" xfId="0" applyFont="1" applyBorder="1" applyAlignment="1">
      <alignment wrapText="1"/>
    </xf>
    <xf numFmtId="0" fontId="6" fillId="0" borderId="23" xfId="0" applyFont="1" applyBorder="1" applyAlignment="1">
      <alignment/>
    </xf>
    <xf numFmtId="3" fontId="6" fillId="0" borderId="21" xfId="0" applyNumberFormat="1" applyFont="1" applyBorder="1" applyAlignment="1">
      <alignment/>
    </xf>
    <xf numFmtId="1" fontId="6" fillId="0" borderId="23" xfId="0" applyNumberFormat="1" applyFont="1" applyBorder="1" applyAlignment="1">
      <alignment/>
    </xf>
    <xf numFmtId="1" fontId="6" fillId="0" borderId="24" xfId="0" applyNumberFormat="1" applyFont="1" applyBorder="1" applyAlignment="1">
      <alignment/>
    </xf>
    <xf numFmtId="2" fontId="6" fillId="0" borderId="12" xfId="0" applyNumberFormat="1" applyFont="1" applyBorder="1" applyAlignment="1">
      <alignment/>
    </xf>
    <xf numFmtId="2" fontId="6" fillId="0" borderId="23" xfId="0" applyNumberFormat="1" applyFont="1" applyBorder="1" applyAlignment="1">
      <alignment/>
    </xf>
    <xf numFmtId="0" fontId="13" fillId="0" borderId="22" xfId="0" applyFont="1" applyBorder="1" applyAlignment="1">
      <alignment horizontal="center" wrapText="1"/>
    </xf>
    <xf numFmtId="0" fontId="13" fillId="0" borderId="24" xfId="0" applyFont="1" applyBorder="1" applyAlignment="1">
      <alignment horizontal="center"/>
    </xf>
    <xf numFmtId="9" fontId="6" fillId="33" borderId="17" xfId="0" applyNumberFormat="1" applyFont="1" applyFill="1" applyBorder="1" applyAlignment="1">
      <alignment/>
    </xf>
    <xf numFmtId="0" fontId="6" fillId="0" borderId="24" xfId="0" applyFont="1" applyBorder="1" applyAlignment="1">
      <alignment/>
    </xf>
    <xf numFmtId="0" fontId="6" fillId="0" borderId="25" xfId="0" applyFont="1" applyBorder="1" applyAlignment="1">
      <alignment/>
    </xf>
    <xf numFmtId="2" fontId="6" fillId="0" borderId="20" xfId="0" applyNumberFormat="1" applyFont="1" applyBorder="1" applyAlignment="1">
      <alignment/>
    </xf>
    <xf numFmtId="2" fontId="6" fillId="0" borderId="21" xfId="0" applyNumberFormat="1" applyFont="1" applyBorder="1" applyAlignment="1">
      <alignment/>
    </xf>
    <xf numFmtId="0" fontId="0" fillId="0" borderId="0" xfId="77" applyFont="1" applyAlignment="1">
      <alignment vertical="center" wrapText="1"/>
    </xf>
    <xf numFmtId="0" fontId="13" fillId="0" borderId="26" xfId="77" applyFont="1" applyBorder="1" applyAlignment="1">
      <alignment horizontal="left" vertical="center" wrapText="1"/>
    </xf>
    <xf numFmtId="0" fontId="6" fillId="0" borderId="27" xfId="77" applyFont="1" applyBorder="1" applyAlignment="1">
      <alignment horizontal="left" vertical="center" wrapText="1"/>
    </xf>
    <xf numFmtId="0" fontId="13" fillId="0" borderId="28" xfId="77" applyFont="1" applyBorder="1" applyAlignment="1">
      <alignment horizontal="left" vertical="center" wrapText="1"/>
    </xf>
    <xf numFmtId="0" fontId="6" fillId="0" borderId="29" xfId="77" applyFont="1" applyBorder="1" applyAlignment="1">
      <alignment horizontal="left" vertical="center" wrapText="1"/>
    </xf>
    <xf numFmtId="0" fontId="13" fillId="0" borderId="30" xfId="77" applyFont="1" applyBorder="1" applyAlignment="1">
      <alignment vertical="center" wrapText="1"/>
    </xf>
    <xf numFmtId="0" fontId="6" fillId="0" borderId="31" xfId="77" applyFont="1" applyBorder="1" applyAlignment="1">
      <alignment horizontal="left" vertical="center" wrapText="1"/>
    </xf>
    <xf numFmtId="0" fontId="13" fillId="0" borderId="32" xfId="77" applyFont="1" applyBorder="1" applyAlignment="1">
      <alignment horizontal="left" vertical="center" wrapText="1"/>
    </xf>
    <xf numFmtId="0" fontId="6" fillId="0" borderId="33" xfId="77" applyFont="1" applyFill="1" applyBorder="1" applyAlignment="1">
      <alignment horizontal="left" vertical="center" wrapText="1"/>
    </xf>
    <xf numFmtId="0" fontId="0" fillId="0" borderId="0" xfId="0" applyFont="1" applyAlignment="1">
      <alignment horizontal="left"/>
    </xf>
    <xf numFmtId="0" fontId="0" fillId="0" borderId="0" xfId="77" applyFont="1" applyAlignment="1">
      <alignment vertical="center"/>
    </xf>
    <xf numFmtId="0" fontId="0" fillId="0" borderId="0" xfId="77" applyFont="1" applyAlignment="1">
      <alignment horizontal="center" vertical="center"/>
    </xf>
    <xf numFmtId="0" fontId="18" fillId="0" borderId="0" xfId="77" applyFont="1" applyAlignment="1">
      <alignment horizontal="right" vertical="center"/>
    </xf>
    <xf numFmtId="0" fontId="0" fillId="0" borderId="34" xfId="77" applyFont="1" applyBorder="1" applyAlignment="1">
      <alignment vertical="center"/>
    </xf>
    <xf numFmtId="0" fontId="0" fillId="0" borderId="7" xfId="77" applyFont="1" applyBorder="1" applyAlignment="1">
      <alignment vertical="center" wrapText="1"/>
    </xf>
    <xf numFmtId="0" fontId="0" fillId="0" borderId="7" xfId="77" applyFont="1" applyBorder="1" applyAlignment="1">
      <alignment vertical="center"/>
    </xf>
    <xf numFmtId="0" fontId="0" fillId="0" borderId="7" xfId="77" applyFont="1" applyBorder="1" applyAlignment="1">
      <alignment horizontal="center" vertical="center"/>
    </xf>
    <xf numFmtId="0" fontId="0" fillId="0" borderId="26" xfId="77" applyFont="1" applyBorder="1" applyAlignment="1">
      <alignment vertical="center"/>
    </xf>
    <xf numFmtId="0" fontId="0" fillId="0" borderId="0" xfId="77" applyFont="1" applyAlignment="1">
      <alignment/>
    </xf>
    <xf numFmtId="0" fontId="0" fillId="0" borderId="0" xfId="77" applyFont="1" applyAlignment="1">
      <alignment wrapText="1"/>
    </xf>
    <xf numFmtId="0" fontId="20" fillId="0" borderId="35" xfId="77" applyFont="1" applyBorder="1" applyAlignment="1">
      <alignment horizontal="center" vertical="center" wrapText="1"/>
    </xf>
    <xf numFmtId="0" fontId="6" fillId="0" borderId="35" xfId="77" applyFont="1" applyBorder="1" applyAlignment="1">
      <alignment horizontal="center" vertical="center" wrapText="1"/>
    </xf>
    <xf numFmtId="0" fontId="6" fillId="0" borderId="10" xfId="77" applyFont="1" applyBorder="1" applyAlignment="1">
      <alignment vertical="center"/>
    </xf>
    <xf numFmtId="0" fontId="6" fillId="0" borderId="36" xfId="77" applyFont="1" applyBorder="1" applyAlignment="1">
      <alignment vertical="center" wrapText="1"/>
    </xf>
    <xf numFmtId="9" fontId="21" fillId="34" borderId="37" xfId="77" applyNumberFormat="1" applyFont="1" applyFill="1" applyBorder="1" applyAlignment="1">
      <alignment horizontal="center" vertical="center" wrapText="1"/>
    </xf>
    <xf numFmtId="9" fontId="6" fillId="0" borderId="38" xfId="77" applyNumberFormat="1" applyFont="1" applyFill="1" applyBorder="1" applyAlignment="1">
      <alignment horizontal="center" vertical="center" wrapText="1"/>
    </xf>
    <xf numFmtId="9" fontId="6" fillId="4" borderId="37" xfId="77" applyNumberFormat="1" applyFont="1" applyFill="1" applyBorder="1" applyAlignment="1">
      <alignment horizontal="center" vertical="center"/>
    </xf>
    <xf numFmtId="0" fontId="6" fillId="0" borderId="13" xfId="0" applyFont="1" applyFill="1" applyBorder="1" applyAlignment="1">
      <alignment wrapText="1"/>
    </xf>
    <xf numFmtId="0" fontId="0" fillId="0" borderId="0" xfId="77" applyFont="1" applyAlignment="1">
      <alignment horizontal="left" vertical="center"/>
    </xf>
    <xf numFmtId="0" fontId="23" fillId="0" borderId="0" xfId="77" applyFont="1" applyAlignment="1">
      <alignment horizontal="left" vertical="center"/>
    </xf>
    <xf numFmtId="0" fontId="6" fillId="0" borderId="10" xfId="0" applyFont="1" applyFill="1" applyBorder="1" applyAlignment="1">
      <alignment wrapText="1"/>
    </xf>
    <xf numFmtId="2" fontId="6" fillId="0" borderId="39" xfId="77" applyNumberFormat="1" applyFont="1" applyFill="1" applyBorder="1" applyAlignment="1">
      <alignment horizontal="center" vertical="center" wrapText="1"/>
    </xf>
    <xf numFmtId="0" fontId="24" fillId="35" borderId="0" xfId="75" applyFont="1" applyFill="1" applyBorder="1" applyAlignment="1">
      <alignment horizontal="center"/>
      <protection/>
    </xf>
    <xf numFmtId="0" fontId="24" fillId="35" borderId="0" xfId="75" applyFont="1" applyFill="1" applyBorder="1" applyAlignment="1">
      <alignment horizontal="center" wrapText="1"/>
      <protection/>
    </xf>
    <xf numFmtId="0" fontId="6" fillId="0" borderId="0" xfId="77" applyFont="1" applyAlignment="1">
      <alignment vertical="center"/>
    </xf>
    <xf numFmtId="0" fontId="13" fillId="0" borderId="0" xfId="77" applyFont="1" applyAlignment="1">
      <alignment horizontal="left" vertical="center" wrapText="1"/>
    </xf>
    <xf numFmtId="9" fontId="13" fillId="33" borderId="40" xfId="77" applyNumberFormat="1" applyFont="1" applyFill="1" applyBorder="1" applyAlignment="1">
      <alignment horizontal="center" vertical="center"/>
    </xf>
    <xf numFmtId="0" fontId="20" fillId="0" borderId="11" xfId="0" applyFont="1" applyBorder="1" applyAlignment="1">
      <alignment wrapText="1"/>
    </xf>
    <xf numFmtId="164" fontId="20" fillId="34" borderId="12" xfId="0" applyNumberFormat="1" applyFont="1" applyFill="1" applyBorder="1" applyAlignment="1">
      <alignment/>
    </xf>
    <xf numFmtId="166" fontId="20" fillId="34" borderId="12" xfId="0" applyNumberFormat="1" applyFont="1" applyFill="1" applyBorder="1" applyAlignment="1">
      <alignment/>
    </xf>
    <xf numFmtId="0" fontId="6" fillId="0" borderId="11" xfId="0" applyFont="1" applyFill="1" applyBorder="1" applyAlignment="1">
      <alignment wrapText="1"/>
    </xf>
    <xf numFmtId="2" fontId="21" fillId="34" borderId="41" xfId="0" applyNumberFormat="1" applyFont="1" applyFill="1" applyBorder="1" applyAlignment="1">
      <alignment horizontal="center" vertical="center" wrapText="1"/>
    </xf>
    <xf numFmtId="4" fontId="6" fillId="0" borderId="38" xfId="0" applyNumberFormat="1" applyFont="1" applyFill="1" applyBorder="1" applyAlignment="1">
      <alignment horizontal="center" vertical="center"/>
    </xf>
    <xf numFmtId="166" fontId="6" fillId="0" borderId="41" xfId="77" applyNumberFormat="1" applyFont="1" applyFill="1" applyBorder="1" applyAlignment="1">
      <alignment horizontal="center" vertical="center" shrinkToFit="1"/>
    </xf>
    <xf numFmtId="2" fontId="21" fillId="34" borderId="39" xfId="0" applyNumberFormat="1" applyFont="1" applyFill="1" applyBorder="1" applyAlignment="1">
      <alignment horizontal="center" vertical="center"/>
    </xf>
    <xf numFmtId="9" fontId="6" fillId="0" borderId="39" xfId="77" applyNumberFormat="1" applyFont="1" applyFill="1" applyBorder="1" applyAlignment="1">
      <alignment horizontal="center" vertical="center" wrapText="1"/>
    </xf>
    <xf numFmtId="2" fontId="6" fillId="4" borderId="41" xfId="77" applyNumberFormat="1" applyFont="1" applyFill="1" applyBorder="1" applyAlignment="1">
      <alignment horizontal="center" vertical="center"/>
    </xf>
    <xf numFmtId="2" fontId="6" fillId="4" borderId="39" xfId="77" applyNumberFormat="1" applyFont="1" applyFill="1" applyBorder="1" applyAlignment="1">
      <alignment horizontal="center" vertical="center"/>
    </xf>
    <xf numFmtId="0" fontId="6" fillId="0" borderId="39" xfId="77" applyFont="1" applyFill="1" applyBorder="1" applyAlignment="1">
      <alignment vertical="center"/>
    </xf>
    <xf numFmtId="0" fontId="6" fillId="0" borderId="13" xfId="77" applyFont="1" applyBorder="1" applyAlignment="1">
      <alignment vertical="center" wrapText="1"/>
    </xf>
    <xf numFmtId="9" fontId="21" fillId="34" borderId="39" xfId="77" applyNumberFormat="1" applyFont="1" applyFill="1" applyBorder="1" applyAlignment="1">
      <alignment horizontal="center" vertical="center" wrapText="1"/>
    </xf>
    <xf numFmtId="9" fontId="6" fillId="0" borderId="42" xfId="77" applyNumberFormat="1" applyFont="1" applyFill="1" applyBorder="1" applyAlignment="1">
      <alignment horizontal="center" vertical="center" wrapText="1"/>
    </xf>
    <xf numFmtId="9" fontId="6" fillId="4" borderId="39" xfId="77" applyNumberFormat="1" applyFont="1" applyFill="1" applyBorder="1" applyAlignment="1">
      <alignment horizontal="center" vertical="center"/>
    </xf>
    <xf numFmtId="0" fontId="21" fillId="35" borderId="0" xfId="75" applyFont="1" applyFill="1" applyBorder="1" applyAlignment="1">
      <alignment horizontal="center"/>
      <protection/>
    </xf>
    <xf numFmtId="0" fontId="6" fillId="0" borderId="13" xfId="0" applyFont="1" applyFill="1" applyBorder="1" applyAlignment="1">
      <alignment vertical="center" wrapText="1"/>
    </xf>
    <xf numFmtId="0" fontId="26" fillId="0" borderId="0" xfId="73" applyFont="1" applyAlignment="1">
      <alignment wrapText="1"/>
    </xf>
    <xf numFmtId="0" fontId="26" fillId="0" borderId="0" xfId="73" applyFont="1" applyAlignment="1">
      <alignment/>
    </xf>
    <xf numFmtId="0" fontId="0" fillId="0" borderId="14" xfId="73" applyFont="1" applyBorder="1" applyAlignment="1">
      <alignment horizontal="center" vertical="center" wrapText="1"/>
    </xf>
    <xf numFmtId="0" fontId="27" fillId="0" borderId="8" xfId="73" applyFont="1" applyBorder="1" applyAlignment="1">
      <alignment wrapText="1"/>
    </xf>
    <xf numFmtId="0" fontId="27" fillId="0" borderId="17" xfId="73" applyFont="1" applyBorder="1" applyAlignment="1">
      <alignment horizontal="center"/>
    </xf>
    <xf numFmtId="0" fontId="27" fillId="0" borderId="17" xfId="73" applyFont="1" applyBorder="1" applyAlignment="1">
      <alignment horizontal="center" wrapText="1"/>
    </xf>
    <xf numFmtId="0" fontId="27" fillId="0" borderId="9" xfId="73" applyFont="1" applyBorder="1" applyAlignment="1">
      <alignment horizontal="center"/>
    </xf>
    <xf numFmtId="0" fontId="26" fillId="0" borderId="11" xfId="73" applyFont="1" applyBorder="1" applyAlignment="1">
      <alignment wrapText="1"/>
    </xf>
    <xf numFmtId="0" fontId="26" fillId="0" borderId="12" xfId="73" applyFont="1" applyBorder="1" applyAlignment="1">
      <alignment/>
    </xf>
    <xf numFmtId="3" fontId="26" fillId="0" borderId="12" xfId="73" applyNumberFormat="1" applyFont="1" applyBorder="1" applyAlignment="1">
      <alignment wrapText="1"/>
    </xf>
    <xf numFmtId="3" fontId="26" fillId="0" borderId="12" xfId="73" applyNumberFormat="1" applyFont="1" applyBorder="1" applyAlignment="1">
      <alignment/>
    </xf>
    <xf numFmtId="0" fontId="26" fillId="0" borderId="21" xfId="73" applyFont="1" applyBorder="1" applyAlignment="1">
      <alignment/>
    </xf>
    <xf numFmtId="0" fontId="26" fillId="0" borderId="12" xfId="73" applyFont="1" applyBorder="1" applyAlignment="1">
      <alignment wrapText="1"/>
    </xf>
    <xf numFmtId="3" fontId="26" fillId="0" borderId="21" xfId="73" applyNumberFormat="1" applyFont="1" applyBorder="1" applyAlignment="1">
      <alignment/>
    </xf>
    <xf numFmtId="0" fontId="20" fillId="0" borderId="11" xfId="73" applyFont="1" applyBorder="1" applyAlignment="1">
      <alignment wrapText="1"/>
    </xf>
    <xf numFmtId="2" fontId="20" fillId="34" borderId="12" xfId="73" applyNumberFormat="1" applyFont="1" applyFill="1" applyBorder="1" applyAlignment="1">
      <alignment wrapText="1"/>
    </xf>
    <xf numFmtId="0" fontId="26" fillId="0" borderId="10" xfId="73" applyFont="1" applyBorder="1" applyAlignment="1">
      <alignment wrapText="1"/>
    </xf>
    <xf numFmtId="168" fontId="26" fillId="33" borderId="40" xfId="73" applyNumberFormat="1" applyFont="1" applyFill="1" applyBorder="1" applyAlignment="1">
      <alignment/>
    </xf>
    <xf numFmtId="0" fontId="26" fillId="0" borderId="43" xfId="73" applyFont="1" applyBorder="1" applyAlignment="1">
      <alignment wrapText="1"/>
    </xf>
    <xf numFmtId="0" fontId="26" fillId="0" borderId="12" xfId="73" applyFont="1" applyFill="1" applyBorder="1" applyAlignment="1">
      <alignment/>
    </xf>
    <xf numFmtId="0" fontId="26" fillId="0" borderId="21" xfId="73" applyFont="1" applyFill="1" applyBorder="1" applyAlignment="1">
      <alignment/>
    </xf>
    <xf numFmtId="8" fontId="26" fillId="0" borderId="12" xfId="73" applyNumberFormat="1" applyFont="1" applyBorder="1" applyAlignment="1">
      <alignment/>
    </xf>
    <xf numFmtId="0" fontId="26" fillId="0" borderId="22" xfId="73" applyFont="1" applyBorder="1" applyAlignment="1">
      <alignment/>
    </xf>
    <xf numFmtId="0" fontId="26" fillId="0" borderId="14" xfId="73" applyFont="1" applyBorder="1" applyAlignment="1">
      <alignment/>
    </xf>
    <xf numFmtId="0" fontId="26" fillId="0" borderId="23" xfId="73" applyFont="1" applyBorder="1" applyAlignment="1">
      <alignment wrapText="1"/>
    </xf>
    <xf numFmtId="0" fontId="26" fillId="0" borderId="23" xfId="73" applyFont="1" applyBorder="1" applyAlignment="1">
      <alignment/>
    </xf>
    <xf numFmtId="8" fontId="26" fillId="0" borderId="23" xfId="73" applyNumberFormat="1" applyFont="1" applyBorder="1" applyAlignment="1">
      <alignment/>
    </xf>
    <xf numFmtId="0" fontId="26" fillId="0" borderId="23" xfId="73" applyFont="1" applyFill="1" applyBorder="1" applyAlignment="1">
      <alignment/>
    </xf>
    <xf numFmtId="0" fontId="26" fillId="0" borderId="24" xfId="73" applyFont="1" applyFill="1" applyBorder="1" applyAlignment="1">
      <alignment/>
    </xf>
    <xf numFmtId="0" fontId="26" fillId="0" borderId="0" xfId="73" applyFont="1" applyFill="1" applyAlignment="1">
      <alignment/>
    </xf>
    <xf numFmtId="3" fontId="26" fillId="0" borderId="0" xfId="73" applyNumberFormat="1" applyFont="1" applyAlignment="1">
      <alignment wrapText="1"/>
    </xf>
    <xf numFmtId="3" fontId="26" fillId="0" borderId="0" xfId="73" applyNumberFormat="1" applyFont="1" applyAlignment="1">
      <alignment/>
    </xf>
    <xf numFmtId="9" fontId="26" fillId="0" borderId="0" xfId="73" applyNumberFormat="1" applyFont="1" applyAlignment="1">
      <alignment/>
    </xf>
    <xf numFmtId="0" fontId="0" fillId="0" borderId="0" xfId="73" applyFont="1" applyBorder="1" applyAlignment="1">
      <alignment horizontal="center" vertical="center" wrapText="1"/>
    </xf>
    <xf numFmtId="0" fontId="20" fillId="0" borderId="18" xfId="73" applyFont="1" applyBorder="1" applyAlignment="1">
      <alignment horizontal="right" wrapText="1"/>
    </xf>
    <xf numFmtId="0" fontId="26" fillId="0" borderId="44" xfId="73" applyFont="1" applyBorder="1" applyAlignment="1">
      <alignment horizontal="center" wrapText="1"/>
    </xf>
    <xf numFmtId="168" fontId="26" fillId="0" borderId="19" xfId="73" applyNumberFormat="1" applyFont="1" applyBorder="1" applyAlignment="1">
      <alignment horizontal="center" wrapText="1"/>
    </xf>
    <xf numFmtId="0" fontId="26" fillId="0" borderId="17" xfId="73" applyFont="1" applyBorder="1" applyAlignment="1">
      <alignment horizontal="center" wrapText="1"/>
    </xf>
    <xf numFmtId="168" fontId="20" fillId="34" borderId="19" xfId="73" applyNumberFormat="1" applyFont="1" applyFill="1" applyBorder="1" applyAlignment="1">
      <alignment horizontal="center" wrapText="1"/>
    </xf>
    <xf numFmtId="168" fontId="26" fillId="0" borderId="20" xfId="73" applyNumberFormat="1" applyFont="1" applyBorder="1" applyAlignment="1">
      <alignment horizontal="center" wrapText="1"/>
    </xf>
    <xf numFmtId="0" fontId="26" fillId="0" borderId="9" xfId="73" applyFont="1" applyBorder="1" applyAlignment="1">
      <alignment horizontal="center" wrapText="1"/>
    </xf>
    <xf numFmtId="3" fontId="26" fillId="0" borderId="43" xfId="73" applyNumberFormat="1" applyFont="1" applyBorder="1" applyAlignment="1">
      <alignment wrapText="1"/>
    </xf>
    <xf numFmtId="3" fontId="20" fillId="0" borderId="21" xfId="73" applyNumberFormat="1" applyFont="1" applyFill="1" applyBorder="1" applyAlignment="1">
      <alignment wrapText="1"/>
    </xf>
    <xf numFmtId="3" fontId="26" fillId="0" borderId="21" xfId="73" applyNumberFormat="1" applyFont="1" applyBorder="1" applyAlignment="1">
      <alignment wrapText="1"/>
    </xf>
    <xf numFmtId="0" fontId="26" fillId="0" borderId="11" xfId="73" applyFont="1" applyBorder="1" applyAlignment="1">
      <alignment horizontal="right" wrapText="1"/>
    </xf>
    <xf numFmtId="0" fontId="26" fillId="0" borderId="45" xfId="73" applyFont="1" applyBorder="1" applyAlignment="1">
      <alignment wrapText="1"/>
    </xf>
    <xf numFmtId="3" fontId="26" fillId="0" borderId="45" xfId="73" applyNumberFormat="1" applyFont="1" applyBorder="1" applyAlignment="1">
      <alignment wrapText="1"/>
    </xf>
    <xf numFmtId="3" fontId="26" fillId="0" borderId="46" xfId="73" applyNumberFormat="1" applyFont="1" applyBorder="1" applyAlignment="1">
      <alignment wrapText="1"/>
    </xf>
    <xf numFmtId="0" fontId="26" fillId="0" borderId="0" xfId="73" applyFont="1" applyBorder="1" applyAlignment="1">
      <alignment/>
    </xf>
    <xf numFmtId="0" fontId="26" fillId="0" borderId="25" xfId="73" applyFont="1" applyBorder="1" applyAlignment="1">
      <alignment horizontal="right" wrapText="1"/>
    </xf>
    <xf numFmtId="0" fontId="26" fillId="0" borderId="25" xfId="73" applyFont="1" applyBorder="1" applyAlignment="1">
      <alignment wrapText="1"/>
    </xf>
    <xf numFmtId="3" fontId="26" fillId="0" borderId="25" xfId="73" applyNumberFormat="1" applyFont="1" applyBorder="1" applyAlignment="1">
      <alignment wrapText="1"/>
    </xf>
    <xf numFmtId="0" fontId="26" fillId="0" borderId="0" xfId="73" applyFont="1" applyBorder="1" applyAlignment="1">
      <alignment horizontal="center"/>
    </xf>
    <xf numFmtId="0" fontId="26" fillId="0" borderId="18" xfId="73" applyFont="1" applyBorder="1" applyAlignment="1">
      <alignment horizontal="center"/>
    </xf>
    <xf numFmtId="0" fontId="26" fillId="0" borderId="17" xfId="73" applyFont="1" applyBorder="1" applyAlignment="1">
      <alignment horizontal="center"/>
    </xf>
    <xf numFmtId="0" fontId="26" fillId="0" borderId="0" xfId="73" applyFont="1" applyAlignment="1">
      <alignment horizontal="center"/>
    </xf>
    <xf numFmtId="0" fontId="26" fillId="0" borderId="11" xfId="73" applyFont="1" applyBorder="1" applyAlignment="1">
      <alignment horizontal="left"/>
    </xf>
    <xf numFmtId="0" fontId="26" fillId="0" borderId="12" xfId="73" applyFont="1" applyBorder="1" applyAlignment="1">
      <alignment horizontal="center" wrapText="1"/>
    </xf>
    <xf numFmtId="2" fontId="26" fillId="0" borderId="12" xfId="73" applyNumberFormat="1" applyFont="1" applyBorder="1" applyAlignment="1">
      <alignment horizontal="right" wrapText="1"/>
    </xf>
    <xf numFmtId="49" fontId="26" fillId="0" borderId="22" xfId="73" applyNumberFormat="1" applyFont="1" applyBorder="1" applyAlignment="1">
      <alignment horizontal="left"/>
    </xf>
    <xf numFmtId="2" fontId="26" fillId="0" borderId="23" xfId="73" applyNumberFormat="1" applyFont="1" applyBorder="1" applyAlignment="1">
      <alignment wrapText="1"/>
    </xf>
    <xf numFmtId="0" fontId="26" fillId="0" borderId="24" xfId="73" applyFont="1" applyBorder="1" applyAlignment="1">
      <alignment/>
    </xf>
    <xf numFmtId="0" fontId="26" fillId="0" borderId="14" xfId="73" applyFont="1" applyBorder="1" applyAlignment="1">
      <alignment horizontal="right" wrapText="1"/>
    </xf>
    <xf numFmtId="0" fontId="26" fillId="0" borderId="14" xfId="73" applyFont="1" applyBorder="1" applyAlignment="1">
      <alignment wrapText="1"/>
    </xf>
    <xf numFmtId="3" fontId="26" fillId="0" borderId="14" xfId="73" applyNumberFormat="1" applyFont="1" applyBorder="1" applyAlignment="1">
      <alignment wrapText="1"/>
    </xf>
    <xf numFmtId="3" fontId="26" fillId="0" borderId="0" xfId="73" applyNumberFormat="1" applyFont="1" applyBorder="1" applyAlignment="1">
      <alignment wrapText="1"/>
    </xf>
    <xf numFmtId="0" fontId="21" fillId="0" borderId="10" xfId="73" applyFont="1" applyBorder="1" applyAlignment="1">
      <alignment wrapText="1"/>
    </xf>
    <xf numFmtId="0" fontId="21" fillId="0" borderId="0" xfId="73" applyFont="1" applyBorder="1" applyAlignment="1">
      <alignment wrapText="1"/>
    </xf>
    <xf numFmtId="0" fontId="26" fillId="0" borderId="0" xfId="73" applyFont="1" applyBorder="1" applyAlignment="1">
      <alignment wrapText="1"/>
    </xf>
    <xf numFmtId="0" fontId="26" fillId="0" borderId="21" xfId="73" applyFont="1" applyBorder="1" applyAlignment="1">
      <alignment horizontal="center" wrapText="1"/>
    </xf>
    <xf numFmtId="0" fontId="48" fillId="0" borderId="0" xfId="73" applyAlignment="1">
      <alignment/>
    </xf>
    <xf numFmtId="0" fontId="20" fillId="0" borderId="10" xfId="73" applyFont="1" applyBorder="1" applyAlignment="1">
      <alignment wrapText="1"/>
    </xf>
    <xf numFmtId="3" fontId="20" fillId="34" borderId="12" xfId="73" applyNumberFormat="1" applyFont="1" applyFill="1" applyBorder="1" applyAlignment="1">
      <alignment wrapText="1"/>
    </xf>
    <xf numFmtId="0" fontId="48" fillId="0" borderId="10" xfId="73" applyBorder="1" applyAlignment="1">
      <alignment/>
    </xf>
    <xf numFmtId="3" fontId="26" fillId="0" borderId="0" xfId="73" applyNumberFormat="1" applyFont="1" applyBorder="1" applyAlignment="1">
      <alignment/>
    </xf>
    <xf numFmtId="3" fontId="26" fillId="0" borderId="24" xfId="73" applyNumberFormat="1" applyFont="1" applyBorder="1" applyAlignment="1">
      <alignment wrapText="1"/>
    </xf>
    <xf numFmtId="0" fontId="20" fillId="34" borderId="9" xfId="73" applyFont="1" applyFill="1" applyBorder="1" applyAlignment="1">
      <alignment wrapText="1"/>
    </xf>
    <xf numFmtId="1" fontId="20" fillId="34" borderId="9" xfId="73" applyNumberFormat="1" applyFont="1" applyFill="1" applyBorder="1" applyAlignment="1">
      <alignment wrapText="1"/>
    </xf>
    <xf numFmtId="0" fontId="26" fillId="0" borderId="9" xfId="73" applyFont="1" applyFill="1" applyBorder="1" applyAlignment="1">
      <alignment wrapText="1"/>
    </xf>
    <xf numFmtId="0" fontId="6" fillId="0" borderId="10" xfId="0" applyFont="1" applyBorder="1" applyAlignment="1">
      <alignment vertical="center"/>
    </xf>
    <xf numFmtId="9" fontId="6" fillId="0" borderId="41" xfId="0" applyNumberFormat="1" applyFont="1" applyFill="1" applyBorder="1" applyAlignment="1">
      <alignment horizontal="center" vertical="center" wrapText="1"/>
    </xf>
    <xf numFmtId="9" fontId="6" fillId="0" borderId="38" xfId="0" applyNumberFormat="1" applyFont="1" applyFill="1" applyBorder="1" applyAlignment="1">
      <alignment horizontal="center" vertical="center" wrapText="1"/>
    </xf>
    <xf numFmtId="9" fontId="6" fillId="4" borderId="38" xfId="0" applyNumberFormat="1" applyFont="1" applyFill="1" applyBorder="1" applyAlignment="1">
      <alignment horizontal="center" vertical="center"/>
    </xf>
    <xf numFmtId="0" fontId="6" fillId="0" borderId="10" xfId="0" applyFont="1" applyFill="1" applyBorder="1" applyAlignment="1">
      <alignment vertical="center"/>
    </xf>
    <xf numFmtId="0" fontId="6" fillId="0" borderId="13" xfId="0" applyFont="1" applyBorder="1" applyAlignment="1">
      <alignment vertical="center" wrapText="1"/>
    </xf>
    <xf numFmtId="9" fontId="21" fillId="34" borderId="41" xfId="80" applyNumberFormat="1" applyFont="1" applyFill="1" applyBorder="1" applyAlignment="1">
      <alignment horizontal="center" vertical="center"/>
    </xf>
    <xf numFmtId="0" fontId="6" fillId="0" borderId="16" xfId="0" applyFont="1" applyBorder="1" applyAlignment="1">
      <alignment vertical="center"/>
    </xf>
    <xf numFmtId="0" fontId="6" fillId="0" borderId="25" xfId="0" applyFont="1" applyBorder="1" applyAlignment="1">
      <alignment vertical="center"/>
    </xf>
    <xf numFmtId="0" fontId="13" fillId="0" borderId="25" xfId="0" applyFont="1" applyFill="1" applyBorder="1" applyAlignment="1">
      <alignment horizontal="center" vertical="center" wrapText="1"/>
    </xf>
    <xf numFmtId="0" fontId="6" fillId="0" borderId="25" xfId="0" applyFont="1" applyFill="1" applyBorder="1" applyAlignment="1">
      <alignment vertical="center"/>
    </xf>
    <xf numFmtId="0" fontId="6" fillId="0" borderId="47" xfId="0" applyFont="1" applyBorder="1" applyAlignment="1">
      <alignment vertical="center"/>
    </xf>
    <xf numFmtId="0" fontId="6" fillId="0" borderId="47" xfId="0" applyFont="1" applyFill="1" applyBorder="1" applyAlignment="1">
      <alignment vertical="center" wrapText="1"/>
    </xf>
    <xf numFmtId="168" fontId="21" fillId="34" borderId="48" xfId="80" applyNumberFormat="1" applyFont="1" applyFill="1" applyBorder="1" applyAlignment="1">
      <alignment horizontal="center" vertical="center"/>
    </xf>
    <xf numFmtId="168" fontId="6" fillId="0" borderId="47" xfId="8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168" fontId="6" fillId="4" borderId="48" xfId="44" applyNumberFormat="1" applyFont="1" applyFill="1" applyBorder="1" applyAlignment="1">
      <alignment horizontal="center" vertical="center"/>
    </xf>
    <xf numFmtId="0" fontId="6" fillId="0" borderId="10" xfId="0" applyFont="1" applyFill="1" applyBorder="1" applyAlignment="1">
      <alignment vertical="center" wrapText="1"/>
    </xf>
    <xf numFmtId="3" fontId="21" fillId="34" borderId="41"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3" fontId="6" fillId="4" borderId="41" xfId="44" applyNumberFormat="1" applyFont="1" applyFill="1" applyBorder="1" applyAlignment="1">
      <alignment horizontal="center" vertical="center"/>
    </xf>
    <xf numFmtId="0" fontId="6" fillId="0" borderId="41" xfId="0" applyFont="1" applyBorder="1" applyAlignment="1">
      <alignment horizontal="left" vertical="center"/>
    </xf>
    <xf numFmtId="0" fontId="6" fillId="0" borderId="41" xfId="0" applyFont="1" applyBorder="1" applyAlignment="1">
      <alignment horizontal="left" vertical="center" wrapText="1"/>
    </xf>
    <xf numFmtId="166" fontId="21" fillId="34" borderId="41" xfId="0" applyNumberFormat="1" applyFont="1" applyFill="1" applyBorder="1" applyAlignment="1">
      <alignment horizontal="center" vertical="center"/>
    </xf>
    <xf numFmtId="166" fontId="6" fillId="0" borderId="41" xfId="0" applyNumberFormat="1" applyFont="1" applyBorder="1" applyAlignment="1">
      <alignment horizontal="center" vertical="center"/>
    </xf>
    <xf numFmtId="0" fontId="6" fillId="0" borderId="41" xfId="0" applyFont="1" applyBorder="1" applyAlignment="1">
      <alignment horizontal="center" vertical="center"/>
    </xf>
    <xf numFmtId="166" fontId="6" fillId="4" borderId="41" xfId="44" applyNumberFormat="1" applyFont="1" applyFill="1" applyBorder="1" applyAlignment="1">
      <alignment horizontal="center" vertical="center"/>
    </xf>
    <xf numFmtId="0" fontId="6" fillId="0" borderId="39" xfId="0" applyFont="1" applyBorder="1" applyAlignment="1">
      <alignment horizontal="left" vertical="center"/>
    </xf>
    <xf numFmtId="0" fontId="6" fillId="0" borderId="39" xfId="0" applyFont="1" applyBorder="1" applyAlignment="1">
      <alignment horizontal="left" vertical="center" wrapText="1"/>
    </xf>
    <xf numFmtId="3" fontId="21" fillId="34" borderId="39" xfId="42" applyNumberFormat="1" applyFont="1" applyFill="1" applyBorder="1" applyAlignment="1">
      <alignment horizontal="center" vertical="center"/>
    </xf>
    <xf numFmtId="3" fontId="6" fillId="0" borderId="39" xfId="0" applyNumberFormat="1" applyFont="1" applyBorder="1" applyAlignment="1">
      <alignment horizontal="center" vertical="center"/>
    </xf>
    <xf numFmtId="0" fontId="6" fillId="0" borderId="39" xfId="0" applyFont="1" applyBorder="1" applyAlignment="1">
      <alignment horizontal="center" vertical="center"/>
    </xf>
    <xf numFmtId="3" fontId="6" fillId="4" borderId="39" xfId="44" applyNumberFormat="1" applyFont="1" applyFill="1" applyBorder="1" applyAlignment="1">
      <alignment horizontal="center" vertical="center"/>
    </xf>
    <xf numFmtId="0" fontId="13" fillId="0" borderId="0" xfId="0" applyFont="1" applyAlignment="1">
      <alignment horizontal="left" vertical="center"/>
    </xf>
    <xf numFmtId="0" fontId="6" fillId="0" borderId="47" xfId="0" applyFont="1" applyBorder="1" applyAlignment="1">
      <alignment vertical="center" wrapText="1"/>
    </xf>
    <xf numFmtId="9" fontId="21" fillId="34" borderId="48" xfId="80" applyNumberFormat="1" applyFont="1" applyFill="1" applyBorder="1" applyAlignment="1">
      <alignment horizontal="center" vertical="center"/>
    </xf>
    <xf numFmtId="9" fontId="6" fillId="0" borderId="48" xfId="0" applyNumberFormat="1" applyFont="1" applyFill="1" applyBorder="1" applyAlignment="1">
      <alignment horizontal="center" vertical="center" wrapText="1"/>
    </xf>
    <xf numFmtId="9" fontId="6" fillId="0" borderId="49" xfId="0" applyNumberFormat="1" applyFont="1" applyFill="1" applyBorder="1" applyAlignment="1">
      <alignment horizontal="center" vertical="center" wrapText="1"/>
    </xf>
    <xf numFmtId="9" fontId="6" fillId="4" borderId="49" xfId="0" applyNumberFormat="1" applyFont="1" applyFill="1" applyBorder="1" applyAlignment="1">
      <alignment horizontal="center" vertical="center"/>
    </xf>
    <xf numFmtId="3" fontId="26" fillId="0" borderId="12" xfId="73" applyNumberFormat="1" applyFont="1" applyFill="1" applyBorder="1" applyAlignment="1">
      <alignment/>
    </xf>
    <xf numFmtId="3" fontId="26" fillId="0" borderId="21" xfId="73" applyNumberFormat="1" applyFont="1" applyFill="1" applyBorder="1" applyAlignment="1">
      <alignment/>
    </xf>
    <xf numFmtId="9" fontId="13" fillId="33" borderId="40" xfId="0" applyNumberFormat="1" applyFont="1" applyFill="1" applyBorder="1" applyAlignment="1">
      <alignment horizontal="center" vertical="center"/>
    </xf>
    <xf numFmtId="0" fontId="13" fillId="0" borderId="0" xfId="77" applyFont="1" applyBorder="1" applyAlignment="1">
      <alignment horizontal="left" vertical="center" wrapText="1"/>
    </xf>
    <xf numFmtId="1" fontId="21" fillId="35" borderId="0" xfId="76" applyNumberFormat="1" applyFont="1" applyFill="1" applyBorder="1" applyAlignment="1">
      <alignment horizontal="center"/>
      <protection/>
    </xf>
    <xf numFmtId="0" fontId="16" fillId="0" borderId="0" xfId="77" applyFont="1" applyAlignment="1">
      <alignment vertical="center" wrapText="1"/>
    </xf>
    <xf numFmtId="0" fontId="6" fillId="0" borderId="0" xfId="77" applyFont="1" applyFill="1" applyBorder="1" applyAlignment="1">
      <alignment horizontal="left" vertical="center" wrapText="1"/>
    </xf>
    <xf numFmtId="0" fontId="0" fillId="0" borderId="0" xfId="77" applyFont="1" applyAlignment="1">
      <alignment horizontal="left" vertical="center" wrapText="1"/>
    </xf>
    <xf numFmtId="1" fontId="13" fillId="35" borderId="0" xfId="76" applyNumberFormat="1" applyFont="1" applyFill="1" applyBorder="1" applyAlignment="1">
      <alignment horizontal="left"/>
      <protection/>
    </xf>
    <xf numFmtId="0" fontId="21" fillId="35" borderId="0" xfId="75" applyFont="1" applyFill="1" applyBorder="1" applyAlignment="1">
      <alignment horizontal="left"/>
      <protection/>
    </xf>
    <xf numFmtId="176" fontId="26" fillId="0" borderId="12" xfId="42" applyNumberFormat="1" applyFont="1" applyBorder="1" applyAlignment="1">
      <alignment vertical="top"/>
    </xf>
    <xf numFmtId="176" fontId="26" fillId="0" borderId="12" xfId="42" applyNumberFormat="1" applyFont="1" applyBorder="1" applyAlignment="1">
      <alignment horizontal="right" vertical="top"/>
    </xf>
    <xf numFmtId="0" fontId="26" fillId="0" borderId="11" xfId="73" applyFont="1" applyBorder="1" applyAlignment="1">
      <alignment horizontal="left" vertical="top" wrapText="1"/>
    </xf>
    <xf numFmtId="0" fontId="26" fillId="0" borderId="12" xfId="73" applyFont="1" applyBorder="1" applyAlignment="1">
      <alignment horizontal="left" vertical="top"/>
    </xf>
    <xf numFmtId="0" fontId="26" fillId="0" borderId="0" xfId="73" applyFont="1" applyAlignment="1">
      <alignment horizontal="left" vertical="top"/>
    </xf>
    <xf numFmtId="1" fontId="26" fillId="0" borderId="12" xfId="42" applyNumberFormat="1" applyFont="1" applyBorder="1" applyAlignment="1">
      <alignment horizontal="right" vertical="top"/>
    </xf>
    <xf numFmtId="175" fontId="26" fillId="0" borderId="0" xfId="42" applyNumberFormat="1" applyFont="1" applyAlignment="1">
      <alignment wrapText="1"/>
    </xf>
    <xf numFmtId="176" fontId="6" fillId="0" borderId="0" xfId="42" applyNumberFormat="1" applyFont="1" applyBorder="1" applyAlignment="1">
      <alignment/>
    </xf>
    <xf numFmtId="0" fontId="62" fillId="0" borderId="0" xfId="0" applyFont="1" applyAlignment="1">
      <alignment horizontal="left" vertical="center"/>
    </xf>
    <xf numFmtId="0" fontId="19" fillId="0" borderId="50" xfId="77" applyFont="1" applyFill="1" applyBorder="1" applyAlignment="1">
      <alignment horizontal="center" vertical="center" wrapText="1"/>
    </xf>
    <xf numFmtId="0" fontId="0" fillId="0" borderId="40" xfId="77" applyFont="1" applyBorder="1" applyAlignment="1">
      <alignment horizontal="center" vertical="center" wrapText="1"/>
    </xf>
    <xf numFmtId="0" fontId="3" fillId="0" borderId="40" xfId="77" applyFont="1" applyBorder="1" applyAlignment="1">
      <alignment horizontal="center" vertical="center" wrapText="1"/>
    </xf>
    <xf numFmtId="0" fontId="3" fillId="0" borderId="40" xfId="77" applyFont="1" applyFill="1" applyBorder="1" applyAlignment="1">
      <alignment horizontal="center" vertical="center" wrapText="1"/>
    </xf>
    <xf numFmtId="9" fontId="21" fillId="0" borderId="25" xfId="0" applyNumberFormat="1" applyFont="1" applyFill="1" applyBorder="1" applyAlignment="1">
      <alignment horizontal="center" vertical="center" wrapText="1"/>
    </xf>
    <xf numFmtId="9" fontId="21" fillId="35" borderId="0" xfId="75" applyNumberFormat="1" applyFont="1" applyFill="1" applyBorder="1" applyAlignment="1">
      <alignment horizontal="center"/>
      <protection/>
    </xf>
    <xf numFmtId="168" fontId="13" fillId="33" borderId="40" xfId="0" applyNumberFormat="1" applyFont="1" applyFill="1" applyBorder="1" applyAlignment="1">
      <alignment horizontal="center" vertical="center"/>
    </xf>
    <xf numFmtId="0" fontId="6" fillId="0" borderId="0" xfId="77" applyFont="1" applyAlignment="1">
      <alignment vertical="center" wrapText="1"/>
    </xf>
    <xf numFmtId="0" fontId="6" fillId="0" borderId="0" xfId="77" applyFont="1" applyAlignment="1">
      <alignment horizontal="center" vertical="center"/>
    </xf>
    <xf numFmtId="0" fontId="13" fillId="0" borderId="0" xfId="77" applyFont="1" applyAlignment="1">
      <alignment horizontal="right" vertical="center" wrapText="1"/>
    </xf>
    <xf numFmtId="9" fontId="13" fillId="0" borderId="40" xfId="77" applyNumberFormat="1" applyFont="1" applyBorder="1" applyAlignment="1">
      <alignment horizontal="center" vertical="center"/>
    </xf>
    <xf numFmtId="10" fontId="13" fillId="0" borderId="40" xfId="77" applyNumberFormat="1" applyFont="1" applyBorder="1" applyAlignment="1">
      <alignment horizontal="center" vertical="center"/>
    </xf>
    <xf numFmtId="0" fontId="6" fillId="0" borderId="51" xfId="77" applyFont="1" applyFill="1" applyBorder="1" applyAlignment="1">
      <alignment horizontal="left" vertical="center" wrapText="1"/>
    </xf>
    <xf numFmtId="49" fontId="63" fillId="0" borderId="0" xfId="74" applyNumberFormat="1" applyFont="1" applyAlignment="1">
      <alignment horizontal="right"/>
      <protection/>
    </xf>
    <xf numFmtId="0" fontId="16" fillId="0" borderId="0" xfId="74" applyFont="1" applyBorder="1" applyAlignment="1">
      <alignment/>
      <protection/>
    </xf>
    <xf numFmtId="0" fontId="13" fillId="0" borderId="0" xfId="74" applyFont="1" applyBorder="1" applyAlignment="1">
      <alignment horizontal="left"/>
      <protection/>
    </xf>
    <xf numFmtId="0" fontId="64" fillId="0" borderId="0" xfId="0" applyFont="1" applyAlignment="1">
      <alignment/>
    </xf>
    <xf numFmtId="0" fontId="65" fillId="36" borderId="0" xfId="0" applyFont="1" applyFill="1" applyAlignment="1">
      <alignment horizontal="center"/>
    </xf>
    <xf numFmtId="0" fontId="65" fillId="37" borderId="0" xfId="0" applyFont="1" applyFill="1" applyAlignment="1">
      <alignment horizontal="center"/>
    </xf>
    <xf numFmtId="0" fontId="64" fillId="38" borderId="0" xfId="0" applyFont="1" applyFill="1" applyAlignment="1">
      <alignment/>
    </xf>
    <xf numFmtId="0" fontId="64" fillId="39" borderId="0" xfId="0" applyFont="1" applyFill="1" applyAlignment="1">
      <alignment/>
    </xf>
    <xf numFmtId="0" fontId="64" fillId="40" borderId="0" xfId="0" applyFont="1" applyFill="1" applyAlignment="1">
      <alignment/>
    </xf>
    <xf numFmtId="0" fontId="64" fillId="0" borderId="0" xfId="0" applyFont="1" applyFill="1" applyAlignment="1">
      <alignment/>
    </xf>
    <xf numFmtId="0" fontId="0" fillId="0" borderId="52" xfId="0" applyFont="1" applyBorder="1" applyAlignment="1">
      <alignment/>
    </xf>
    <xf numFmtId="0" fontId="0" fillId="0" borderId="52" xfId="0" applyBorder="1" applyAlignment="1">
      <alignment/>
    </xf>
    <xf numFmtId="3" fontId="0" fillId="0" borderId="0" xfId="0" applyNumberFormat="1" applyAlignment="1">
      <alignment/>
    </xf>
    <xf numFmtId="0" fontId="0" fillId="0" borderId="0" xfId="0" applyFont="1" applyAlignment="1">
      <alignment/>
    </xf>
    <xf numFmtId="9" fontId="0" fillId="0" borderId="0" xfId="0" applyNumberFormat="1" applyAlignment="1">
      <alignment/>
    </xf>
    <xf numFmtId="8" fontId="0" fillId="0" borderId="0" xfId="0" applyNumberFormat="1" applyAlignment="1">
      <alignment/>
    </xf>
    <xf numFmtId="168" fontId="48" fillId="0" borderId="0" xfId="0" applyNumberFormat="1" applyFont="1" applyAlignment="1">
      <alignment/>
    </xf>
    <xf numFmtId="8" fontId="48" fillId="0" borderId="0" xfId="0" applyNumberFormat="1" applyFont="1" applyAlignment="1">
      <alignment/>
    </xf>
    <xf numFmtId="0" fontId="1" fillId="0" borderId="10" xfId="77" applyFont="1" applyBorder="1" applyAlignment="1">
      <alignment horizontal="left" vertical="center" wrapText="1"/>
    </xf>
    <xf numFmtId="0" fontId="1" fillId="0" borderId="38" xfId="77" applyFont="1" applyBorder="1" applyAlignment="1">
      <alignment horizontal="left" vertical="center" wrapText="1"/>
    </xf>
    <xf numFmtId="0" fontId="66" fillId="0" borderId="26" xfId="77" applyFont="1" applyBorder="1" applyAlignment="1">
      <alignment horizontal="left" vertical="center" wrapText="1"/>
    </xf>
    <xf numFmtId="0" fontId="67" fillId="0" borderId="27" xfId="77" applyFont="1" applyBorder="1" applyAlignment="1">
      <alignment horizontal="left" vertical="center" wrapText="1"/>
    </xf>
    <xf numFmtId="0" fontId="67" fillId="0" borderId="53" xfId="77" applyFont="1" applyFill="1" applyBorder="1" applyAlignment="1">
      <alignment horizontal="left" vertical="center" wrapText="1"/>
    </xf>
    <xf numFmtId="0" fontId="67" fillId="0" borderId="54" xfId="77" applyFont="1" applyBorder="1" applyAlignment="1">
      <alignment horizontal="left" vertical="center" wrapText="1"/>
    </xf>
    <xf numFmtId="0" fontId="67" fillId="0" borderId="55" xfId="77" applyFont="1" applyBorder="1" applyAlignment="1">
      <alignment horizontal="left" vertical="center" wrapText="1"/>
    </xf>
    <xf numFmtId="0" fontId="67" fillId="0" borderId="29" xfId="77" applyFont="1" applyBorder="1" applyAlignment="1">
      <alignment horizontal="left" vertical="center" wrapText="1"/>
    </xf>
    <xf numFmtId="0" fontId="67" fillId="0" borderId="31" xfId="77" applyFont="1" applyBorder="1" applyAlignment="1">
      <alignment horizontal="left" vertical="center" wrapText="1"/>
    </xf>
    <xf numFmtId="0" fontId="67" fillId="0" borderId="33" xfId="77" applyFont="1" applyFill="1" applyBorder="1" applyAlignment="1">
      <alignment horizontal="left" vertical="center" wrapText="1"/>
    </xf>
    <xf numFmtId="0" fontId="67" fillId="0" borderId="31" xfId="77" applyFont="1" applyFill="1" applyBorder="1" applyAlignment="1">
      <alignment horizontal="left" vertical="center" wrapText="1"/>
    </xf>
    <xf numFmtId="0" fontId="67" fillId="0" borderId="0" xfId="77" applyFont="1" applyBorder="1" applyAlignment="1">
      <alignment horizontal="left" vertical="center" wrapText="1"/>
    </xf>
    <xf numFmtId="0" fontId="67" fillId="0" borderId="0" xfId="77" applyFont="1" applyBorder="1" applyAlignment="1">
      <alignment vertical="center" wrapText="1"/>
    </xf>
    <xf numFmtId="0" fontId="68" fillId="0" borderId="0" xfId="0" applyFont="1" applyAlignment="1">
      <alignment/>
    </xf>
    <xf numFmtId="0" fontId="68" fillId="0" borderId="0" xfId="0" applyFont="1" applyAlignment="1">
      <alignment horizontal="left" wrapText="1"/>
    </xf>
    <xf numFmtId="0" fontId="67" fillId="0" borderId="56" xfId="77" applyFont="1" applyFill="1" applyBorder="1" applyAlignment="1">
      <alignment horizontal="left" vertical="center" wrapText="1"/>
    </xf>
    <xf numFmtId="0" fontId="67" fillId="0" borderId="57" xfId="77" applyFont="1" applyFill="1" applyBorder="1" applyAlignment="1">
      <alignment horizontal="left" vertical="center" wrapText="1"/>
    </xf>
    <xf numFmtId="0" fontId="17" fillId="0" borderId="10" xfId="68" applyFont="1" applyBorder="1" applyAlignment="1" applyProtection="1">
      <alignment horizontal="left" vertical="center" wrapText="1"/>
      <protection/>
    </xf>
    <xf numFmtId="0" fontId="17" fillId="0" borderId="38" xfId="68" applyFont="1" applyBorder="1" applyAlignment="1" applyProtection="1">
      <alignment horizontal="left" vertical="center" wrapText="1"/>
      <protection/>
    </xf>
    <xf numFmtId="0" fontId="1" fillId="0" borderId="10" xfId="77" applyFont="1" applyBorder="1" applyAlignment="1">
      <alignment horizontal="left" vertical="top" wrapText="1"/>
    </xf>
    <xf numFmtId="0" fontId="1" fillId="0" borderId="38" xfId="77" applyFont="1" applyBorder="1" applyAlignment="1">
      <alignment horizontal="left" vertical="top" wrapText="1"/>
    </xf>
    <xf numFmtId="0" fontId="1" fillId="0" borderId="10" xfId="77" applyFont="1" applyBorder="1" applyAlignment="1">
      <alignment horizontal="left" vertical="center" wrapText="1"/>
    </xf>
    <xf numFmtId="0" fontId="1" fillId="0" borderId="38" xfId="77" applyFont="1" applyBorder="1" applyAlignment="1">
      <alignment horizontal="left" vertical="center" wrapText="1"/>
    </xf>
    <xf numFmtId="0" fontId="13" fillId="0" borderId="58" xfId="77" applyFont="1" applyBorder="1" applyAlignment="1">
      <alignment horizontal="left" vertical="center" wrapText="1"/>
    </xf>
    <xf numFmtId="0" fontId="13" fillId="0" borderId="59" xfId="77" applyFont="1" applyBorder="1" applyAlignment="1">
      <alignment horizontal="left" vertical="center" wrapText="1"/>
    </xf>
    <xf numFmtId="0" fontId="0" fillId="0" borderId="60" xfId="77" applyFont="1" applyBorder="1" applyAlignment="1">
      <alignment horizontal="right" vertical="center" wrapText="1"/>
    </xf>
    <xf numFmtId="0" fontId="13" fillId="0" borderId="30" xfId="77" applyFont="1" applyBorder="1" applyAlignment="1">
      <alignment horizontal="left" vertical="center" wrapText="1"/>
    </xf>
    <xf numFmtId="0" fontId="13" fillId="0" borderId="28" xfId="77" applyFont="1" applyBorder="1" applyAlignment="1">
      <alignment horizontal="left" vertical="center" wrapText="1"/>
    </xf>
    <xf numFmtId="0" fontId="6" fillId="0" borderId="31" xfId="77" applyFont="1" applyFill="1" applyBorder="1" applyAlignment="1">
      <alignment horizontal="center" vertical="center" wrapText="1"/>
    </xf>
    <xf numFmtId="0" fontId="6" fillId="0" borderId="61" xfId="77" applyFont="1" applyFill="1" applyBorder="1" applyAlignment="1">
      <alignment horizontal="center" vertical="center" wrapText="1"/>
    </xf>
    <xf numFmtId="0" fontId="6" fillId="0" borderId="56" xfId="77" applyFont="1" applyFill="1" applyBorder="1" applyAlignment="1">
      <alignment horizontal="center" vertical="center" wrapText="1"/>
    </xf>
    <xf numFmtId="0" fontId="16" fillId="0" borderId="0" xfId="77" applyFont="1" applyAlignment="1">
      <alignment horizontal="center" vertical="center" wrapText="1"/>
    </xf>
    <xf numFmtId="0" fontId="13" fillId="0" borderId="0" xfId="77" applyFont="1" applyAlignment="1">
      <alignment horizontal="center" vertical="center" wrapText="1"/>
    </xf>
    <xf numFmtId="0" fontId="13" fillId="0" borderId="10" xfId="77" applyFont="1" applyFill="1" applyBorder="1" applyAlignment="1">
      <alignment horizontal="center" vertical="top" wrapText="1"/>
    </xf>
    <xf numFmtId="0" fontId="13" fillId="0" borderId="38" xfId="77" applyFont="1" applyFill="1" applyBorder="1" applyAlignment="1">
      <alignment horizontal="center" vertical="top" wrapText="1"/>
    </xf>
    <xf numFmtId="0" fontId="13" fillId="0" borderId="47" xfId="77" applyFont="1" applyBorder="1" applyAlignment="1">
      <alignment horizontal="center" vertical="center" wrapText="1"/>
    </xf>
    <xf numFmtId="0" fontId="13" fillId="0" borderId="49" xfId="77" applyFont="1" applyBorder="1" applyAlignment="1">
      <alignment horizontal="center" vertical="center" wrapText="1"/>
    </xf>
    <xf numFmtId="0" fontId="17" fillId="0" borderId="10" xfId="69" applyFont="1" applyBorder="1" applyAlignment="1" applyProtection="1">
      <alignment horizontal="left" vertical="center" wrapText="1"/>
      <protection/>
    </xf>
    <xf numFmtId="0" fontId="17" fillId="0" borderId="38" xfId="69" applyFont="1" applyBorder="1" applyAlignment="1" applyProtection="1">
      <alignment horizontal="left" vertical="center" wrapText="1"/>
      <protection/>
    </xf>
    <xf numFmtId="0" fontId="13" fillId="0" borderId="13" xfId="77" applyFont="1" applyFill="1" applyBorder="1" applyAlignment="1">
      <alignment horizontal="center" vertical="top" wrapText="1"/>
    </xf>
    <xf numFmtId="0" fontId="13" fillId="0" borderId="42" xfId="77" applyFont="1" applyFill="1" applyBorder="1" applyAlignment="1">
      <alignment horizontal="center" vertical="top" wrapText="1"/>
    </xf>
    <xf numFmtId="0" fontId="13" fillId="0" borderId="62" xfId="77" applyFont="1" applyBorder="1" applyAlignment="1">
      <alignment horizontal="left" vertical="center" wrapText="1"/>
    </xf>
    <xf numFmtId="0" fontId="6" fillId="0" borderId="10" xfId="77" applyFont="1" applyBorder="1" applyAlignment="1">
      <alignment horizontal="left" vertical="center" wrapText="1"/>
    </xf>
    <xf numFmtId="0" fontId="6" fillId="0" borderId="13" xfId="77" applyFont="1" applyBorder="1" applyAlignment="1">
      <alignment horizontal="left" vertical="center" wrapText="1"/>
    </xf>
    <xf numFmtId="0" fontId="67" fillId="0" borderId="0" xfId="77" applyFont="1" applyBorder="1" applyAlignment="1">
      <alignment horizontal="left" vertical="center" wrapText="1"/>
    </xf>
    <xf numFmtId="0" fontId="67" fillId="0" borderId="0" xfId="77" applyFont="1" applyBorder="1" applyAlignment="1">
      <alignment horizontal="left" vertical="top" wrapText="1"/>
    </xf>
    <xf numFmtId="0" fontId="67" fillId="0" borderId="0" xfId="0" applyFont="1" applyAlignment="1">
      <alignment vertical="top" wrapText="1"/>
    </xf>
    <xf numFmtId="0" fontId="67" fillId="0" borderId="0" xfId="0" applyFont="1" applyAlignment="1">
      <alignment horizontal="left" vertical="top" wrapText="1"/>
    </xf>
    <xf numFmtId="49" fontId="67" fillId="0" borderId="0" xfId="77" applyNumberFormat="1" applyFont="1" applyAlignment="1">
      <alignment horizontal="left" vertical="top" wrapText="1"/>
    </xf>
    <xf numFmtId="0" fontId="69" fillId="0" borderId="0" xfId="77" applyFont="1" applyBorder="1" applyAlignment="1">
      <alignment horizontal="left" vertical="center" wrapText="1"/>
    </xf>
    <xf numFmtId="0" fontId="0" fillId="0" borderId="0" xfId="77" applyFont="1" applyAlignment="1">
      <alignment horizontal="right" vertical="center" wrapText="1"/>
    </xf>
    <xf numFmtId="0" fontId="16" fillId="0" borderId="0" xfId="77" applyFont="1" applyAlignment="1">
      <alignment horizontal="left" vertical="center" wrapText="1"/>
    </xf>
    <xf numFmtId="0" fontId="6" fillId="0" borderId="0" xfId="77" applyFont="1" applyBorder="1" applyAlignment="1">
      <alignment horizontal="left" vertical="center" wrapText="1"/>
    </xf>
    <xf numFmtId="0" fontId="67" fillId="0" borderId="0" xfId="77" applyNumberFormat="1" applyFont="1" applyBorder="1" applyAlignment="1">
      <alignment horizontal="left" vertical="center" wrapText="1"/>
    </xf>
    <xf numFmtId="0" fontId="13" fillId="0" borderId="0" xfId="77" applyFont="1" applyAlignment="1">
      <alignment horizontal="left" vertical="center" wrapText="1"/>
    </xf>
    <xf numFmtId="0" fontId="22" fillId="0" borderId="13" xfId="69" applyFont="1" applyBorder="1" applyAlignment="1" applyProtection="1">
      <alignment horizontal="center" vertical="center"/>
      <protection/>
    </xf>
    <xf numFmtId="0" fontId="22" fillId="0" borderId="42" xfId="69" applyFont="1" applyBorder="1" applyAlignment="1" applyProtection="1">
      <alignment horizontal="center" vertical="center"/>
      <protection/>
    </xf>
    <xf numFmtId="0" fontId="13" fillId="0" borderId="48" xfId="77" applyFont="1" applyBorder="1" applyAlignment="1">
      <alignment horizontal="center" vertical="center"/>
    </xf>
    <xf numFmtId="0" fontId="13" fillId="0" borderId="63" xfId="77" applyFont="1" applyBorder="1" applyAlignment="1">
      <alignment horizontal="center" vertical="center"/>
    </xf>
    <xf numFmtId="0" fontId="13" fillId="0" borderId="15" xfId="77" applyFont="1" applyBorder="1" applyAlignment="1">
      <alignment horizontal="center" vertical="center"/>
    </xf>
    <xf numFmtId="0" fontId="13" fillId="0" borderId="16" xfId="77" applyFont="1" applyBorder="1" applyAlignment="1">
      <alignment horizontal="center" vertical="center"/>
    </xf>
    <xf numFmtId="0" fontId="13" fillId="0" borderId="64" xfId="77" applyFont="1" applyBorder="1" applyAlignment="1">
      <alignment horizontal="center" vertical="center"/>
    </xf>
    <xf numFmtId="0" fontId="13" fillId="0" borderId="48" xfId="77" applyFont="1" applyBorder="1" applyAlignment="1">
      <alignment horizontal="center" vertical="center" wrapText="1"/>
    </xf>
    <xf numFmtId="0" fontId="13" fillId="0" borderId="63" xfId="77" applyFont="1" applyBorder="1" applyAlignment="1">
      <alignment horizontal="center" vertical="center" wrapText="1"/>
    </xf>
    <xf numFmtId="0" fontId="2" fillId="0" borderId="15" xfId="77" applyFont="1" applyBorder="1" applyAlignment="1">
      <alignment horizontal="center" vertical="center"/>
    </xf>
    <xf numFmtId="0" fontId="2" fillId="0" borderId="64" xfId="77" applyFont="1" applyBorder="1" applyAlignment="1">
      <alignment horizontal="center" vertical="center"/>
    </xf>
    <xf numFmtId="0" fontId="0" fillId="35" borderId="65" xfId="77" applyFont="1" applyFill="1" applyBorder="1" applyAlignment="1">
      <alignment horizontal="left" vertical="center" wrapText="1"/>
    </xf>
    <xf numFmtId="0" fontId="0" fillId="35" borderId="0" xfId="77" applyFont="1" applyFill="1" applyBorder="1" applyAlignment="1">
      <alignment horizontal="left" vertical="center" wrapText="1"/>
    </xf>
    <xf numFmtId="0" fontId="0" fillId="35" borderId="29" xfId="77" applyFont="1" applyFill="1" applyBorder="1" applyAlignment="1">
      <alignment horizontal="left" vertical="center" wrapText="1"/>
    </xf>
    <xf numFmtId="0" fontId="0" fillId="35" borderId="66" xfId="77" applyFont="1" applyFill="1" applyBorder="1" applyAlignment="1">
      <alignment horizontal="left" vertical="center" wrapText="1"/>
    </xf>
    <xf numFmtId="0" fontId="0" fillId="35" borderId="60" xfId="77" applyFont="1" applyFill="1" applyBorder="1" applyAlignment="1">
      <alignment horizontal="left" vertical="center" wrapText="1"/>
    </xf>
    <xf numFmtId="0" fontId="0" fillId="35" borderId="27" xfId="77" applyFont="1" applyFill="1" applyBorder="1" applyAlignment="1">
      <alignment horizontal="left" vertical="center" wrapText="1"/>
    </xf>
    <xf numFmtId="0" fontId="13" fillId="0" borderId="0" xfId="77" applyFont="1" applyBorder="1" applyAlignment="1">
      <alignment horizontal="left" vertical="center" wrapText="1"/>
    </xf>
    <xf numFmtId="0" fontId="22" fillId="0" borderId="10" xfId="69" applyFont="1" applyBorder="1" applyAlignment="1" applyProtection="1">
      <alignment horizontal="center" vertical="center"/>
      <protection/>
    </xf>
    <xf numFmtId="0" fontId="22" fillId="0" borderId="38" xfId="69" applyFont="1" applyBorder="1" applyAlignment="1" applyProtection="1">
      <alignment horizontal="center" vertical="center"/>
      <protection/>
    </xf>
    <xf numFmtId="49" fontId="63" fillId="0" borderId="0" xfId="74" applyNumberFormat="1" applyFont="1" applyAlignment="1">
      <alignment horizontal="right"/>
      <protection/>
    </xf>
    <xf numFmtId="1" fontId="15" fillId="4" borderId="47" xfId="75" applyNumberFormat="1" applyFont="1" applyFill="1" applyBorder="1" applyAlignment="1">
      <alignment horizontal="left" wrapText="1"/>
      <protection/>
    </xf>
    <xf numFmtId="1" fontId="6" fillId="4" borderId="25" xfId="75" applyNumberFormat="1" applyFont="1" applyFill="1" applyBorder="1" applyAlignment="1">
      <alignment horizontal="left" wrapText="1"/>
      <protection/>
    </xf>
    <xf numFmtId="1" fontId="6" fillId="4" borderId="49" xfId="75" applyNumberFormat="1" applyFont="1" applyFill="1" applyBorder="1" applyAlignment="1">
      <alignment horizontal="left" wrapText="1"/>
      <protection/>
    </xf>
    <xf numFmtId="1" fontId="15" fillId="4" borderId="15" xfId="75" applyNumberFormat="1" applyFont="1" applyFill="1" applyBorder="1" applyAlignment="1">
      <alignment horizontal="left" wrapText="1"/>
      <protection/>
    </xf>
    <xf numFmtId="1" fontId="6" fillId="4" borderId="16" xfId="75" applyNumberFormat="1" applyFont="1" applyFill="1" applyBorder="1" applyAlignment="1">
      <alignment horizontal="left" wrapText="1"/>
      <protection/>
    </xf>
    <xf numFmtId="1" fontId="6" fillId="4" borderId="64" xfId="75" applyNumberFormat="1" applyFont="1" applyFill="1" applyBorder="1" applyAlignment="1">
      <alignment horizontal="left" wrapText="1"/>
      <protection/>
    </xf>
    <xf numFmtId="1" fontId="6" fillId="4" borderId="47" xfId="75" applyNumberFormat="1" applyFont="1" applyFill="1" applyBorder="1" applyAlignment="1">
      <alignment horizontal="left" wrapText="1"/>
      <protection/>
    </xf>
    <xf numFmtId="0" fontId="62" fillId="0" borderId="0" xfId="0" applyFont="1" applyAlignment="1">
      <alignment horizontal="left" vertical="center"/>
    </xf>
    <xf numFmtId="0" fontId="26" fillId="0" borderId="47" xfId="73" applyFont="1" applyBorder="1" applyAlignment="1">
      <alignment horizontal="left" wrapText="1"/>
    </xf>
    <xf numFmtId="0" fontId="26" fillId="0" borderId="25" xfId="73" applyFont="1" applyBorder="1" applyAlignment="1">
      <alignment horizontal="left" wrapText="1"/>
    </xf>
    <xf numFmtId="0" fontId="26" fillId="0" borderId="44" xfId="73" applyFont="1" applyBorder="1" applyAlignment="1">
      <alignment horizontal="left" wrapText="1"/>
    </xf>
    <xf numFmtId="1" fontId="29" fillId="4" borderId="47" xfId="76" applyNumberFormat="1" applyFont="1" applyFill="1" applyBorder="1" applyAlignment="1">
      <alignment horizontal="left" wrapText="1"/>
      <protection/>
    </xf>
    <xf numFmtId="1" fontId="1" fillId="4" borderId="25" xfId="76" applyNumberFormat="1" applyFont="1" applyFill="1" applyBorder="1" applyAlignment="1">
      <alignment horizontal="left" wrapText="1"/>
      <protection/>
    </xf>
    <xf numFmtId="1" fontId="1" fillId="4" borderId="49" xfId="76" applyNumberFormat="1" applyFont="1" applyFill="1" applyBorder="1" applyAlignment="1">
      <alignment horizontal="left" wrapText="1"/>
      <protection/>
    </xf>
    <xf numFmtId="1" fontId="29" fillId="4" borderId="15" xfId="76" applyNumberFormat="1" applyFont="1" applyFill="1" applyBorder="1" applyAlignment="1">
      <alignment horizontal="left" wrapText="1"/>
      <protection/>
    </xf>
    <xf numFmtId="1" fontId="1" fillId="4" borderId="16" xfId="76" applyNumberFormat="1" applyFont="1" applyFill="1" applyBorder="1" applyAlignment="1">
      <alignment horizontal="left" wrapText="1"/>
      <protection/>
    </xf>
    <xf numFmtId="1" fontId="1" fillId="4" borderId="64" xfId="76" applyNumberFormat="1" applyFont="1" applyFill="1" applyBorder="1" applyAlignment="1">
      <alignment horizontal="left" wrapText="1"/>
      <protection/>
    </xf>
    <xf numFmtId="0" fontId="26" fillId="0" borderId="10" xfId="73" applyFont="1" applyBorder="1" applyAlignment="1">
      <alignment horizontal="left" wrapText="1"/>
    </xf>
    <xf numFmtId="0" fontId="26" fillId="0" borderId="0" xfId="73" applyFont="1" applyBorder="1" applyAlignment="1">
      <alignment horizontal="left" wrapText="1"/>
    </xf>
    <xf numFmtId="0" fontId="26" fillId="0" borderId="43" xfId="73" applyFont="1" applyBorder="1" applyAlignment="1">
      <alignment horizontal="left" wrapText="1"/>
    </xf>
    <xf numFmtId="0" fontId="26" fillId="0" borderId="13" xfId="73" applyFont="1" applyBorder="1" applyAlignment="1">
      <alignment horizontal="left" wrapText="1"/>
    </xf>
    <xf numFmtId="0" fontId="26" fillId="0" borderId="14" xfId="73" applyFont="1" applyBorder="1" applyAlignment="1">
      <alignment horizontal="left" wrapText="1"/>
    </xf>
    <xf numFmtId="0" fontId="26" fillId="0" borderId="67" xfId="73" applyFont="1" applyBorder="1" applyAlignment="1">
      <alignment horizontal="left" wrapText="1"/>
    </xf>
    <xf numFmtId="0" fontId="20" fillId="0" borderId="15" xfId="73" applyFont="1" applyBorder="1" applyAlignment="1">
      <alignment horizontal="left" wrapText="1"/>
    </xf>
    <xf numFmtId="0" fontId="20" fillId="0" borderId="16" xfId="73" applyFont="1" applyBorder="1" applyAlignment="1">
      <alignment horizontal="left" wrapText="1"/>
    </xf>
    <xf numFmtId="0" fontId="6" fillId="0" borderId="15" xfId="73" applyFont="1" applyBorder="1" applyAlignment="1">
      <alignment horizontal="left" wrapText="1"/>
    </xf>
    <xf numFmtId="0" fontId="6" fillId="0" borderId="16" xfId="73" applyFont="1" applyBorder="1" applyAlignment="1">
      <alignment horizontal="left" wrapText="1"/>
    </xf>
    <xf numFmtId="1" fontId="1" fillId="4" borderId="47" xfId="76" applyNumberFormat="1" applyFont="1" applyFill="1" applyBorder="1" applyAlignment="1">
      <alignment horizontal="left" wrapText="1"/>
      <protection/>
    </xf>
    <xf numFmtId="0" fontId="21" fillId="0" borderId="15" xfId="73" applyFont="1" applyBorder="1" applyAlignment="1">
      <alignment horizontal="left" wrapText="1"/>
    </xf>
    <xf numFmtId="0" fontId="21" fillId="0" borderId="16" xfId="73" applyFont="1" applyBorder="1" applyAlignment="1">
      <alignment horizontal="left" wrapText="1"/>
    </xf>
    <xf numFmtId="0" fontId="21" fillId="0" borderId="10" xfId="73" applyFont="1" applyBorder="1" applyAlignment="1">
      <alignment horizontal="left" wrapText="1"/>
    </xf>
    <xf numFmtId="0" fontId="21" fillId="0" borderId="0" xfId="73" applyFont="1" applyBorder="1" applyAlignment="1">
      <alignment horizontal="left" wrapText="1"/>
    </xf>
    <xf numFmtId="0" fontId="21" fillId="0" borderId="64" xfId="73" applyFont="1" applyBorder="1" applyAlignment="1">
      <alignment horizontal="left" wrapText="1"/>
    </xf>
    <xf numFmtId="0" fontId="21" fillId="0" borderId="25" xfId="73" applyFont="1" applyBorder="1" applyAlignment="1">
      <alignment horizontal="left" wrapText="1"/>
    </xf>
    <xf numFmtId="0" fontId="21" fillId="0" borderId="49" xfId="73" applyFont="1" applyBorder="1" applyAlignment="1">
      <alignment horizontal="left" wrapText="1"/>
    </xf>
    <xf numFmtId="0" fontId="26" fillId="0" borderId="15" xfId="73" applyFont="1" applyBorder="1" applyAlignment="1">
      <alignment horizontal="center" wrapText="1"/>
    </xf>
    <xf numFmtId="0" fontId="26" fillId="0" borderId="16" xfId="73" applyFont="1" applyBorder="1" applyAlignment="1">
      <alignment horizontal="center" wrapText="1"/>
    </xf>
    <xf numFmtId="0" fontId="26" fillId="0" borderId="47" xfId="73" applyFont="1" applyBorder="1" applyAlignment="1">
      <alignment horizontal="center" wrapText="1"/>
    </xf>
    <xf numFmtId="0" fontId="26" fillId="0" borderId="44" xfId="73" applyFont="1" applyBorder="1" applyAlignment="1">
      <alignment horizontal="center" wrapText="1"/>
    </xf>
    <xf numFmtId="0" fontId="26" fillId="0" borderId="13" xfId="73" applyFont="1" applyBorder="1" applyAlignment="1">
      <alignment horizontal="center" wrapText="1"/>
    </xf>
    <xf numFmtId="0" fontId="26" fillId="0" borderId="14" xfId="73" applyFont="1" applyBorder="1" applyAlignment="1">
      <alignment horizontal="center" wrapText="1"/>
    </xf>
    <xf numFmtId="0" fontId="26" fillId="0" borderId="42" xfId="73" applyFont="1" applyBorder="1" applyAlignment="1">
      <alignment horizontal="center" wrapText="1"/>
    </xf>
    <xf numFmtId="0" fontId="6" fillId="0" borderId="0" xfId="77" applyFont="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mcc-err-namibia_mkt" xfId="44"/>
    <cellStyle name="Comma0" xfId="45"/>
    <cellStyle name="Currency" xfId="46"/>
    <cellStyle name="Currency [0]" xfId="47"/>
    <cellStyle name="Currency0" xfId="48"/>
    <cellStyle name="Data" xfId="49"/>
    <cellStyle name="Date" xfId="50"/>
    <cellStyle name="Explanatory Text" xfId="51"/>
    <cellStyle name="F2" xfId="52"/>
    <cellStyle name="F3" xfId="53"/>
    <cellStyle name="F4" xfId="54"/>
    <cellStyle name="F5" xfId="55"/>
    <cellStyle name="F6" xfId="56"/>
    <cellStyle name="F7" xfId="57"/>
    <cellStyle name="F8"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Hyperlink_mcc-err-namibia_mkt" xfId="69"/>
    <cellStyle name="Input" xfId="70"/>
    <cellStyle name="Linked Cell" xfId="71"/>
    <cellStyle name="Neutral" xfId="72"/>
    <cellStyle name="Normal 2" xfId="73"/>
    <cellStyle name="Normal_ConsolidatedAg_IM_Clean" xfId="74"/>
    <cellStyle name="Normal_jwwREPMCA ERR Model Tourism Component DRAFT FINAL V3 JB July 2007" xfId="75"/>
    <cellStyle name="Normal_jwwREPMCA ERR Model Tourism Component DRAFT FINAL V3 JB July 2007 2" xfId="76"/>
    <cellStyle name="Normal_mcc-err-namibia_mkt" xfId="77"/>
    <cellStyle name="Note" xfId="78"/>
    <cellStyle name="Output" xfId="79"/>
    <cellStyle name="Percent" xfId="80"/>
    <cellStyle name="Style 1"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0</xdr:rowOff>
    </xdr:from>
    <xdr:to>
      <xdr:col>2</xdr:col>
      <xdr:colOff>1476375</xdr:colOff>
      <xdr:row>8</xdr:row>
      <xdr:rowOff>104775</xdr:rowOff>
    </xdr:to>
    <xdr:pic>
      <xdr:nvPicPr>
        <xdr:cNvPr id="1" name="Picture 1"/>
        <xdr:cNvPicPr preferRelativeResize="1">
          <a:picLocks noChangeAspect="1"/>
        </xdr:cNvPicPr>
      </xdr:nvPicPr>
      <xdr:blipFill>
        <a:blip r:embed="rId1"/>
        <a:stretch>
          <a:fillRect/>
        </a:stretch>
      </xdr:blipFill>
      <xdr:spPr>
        <a:xfrm>
          <a:off x="466725" y="323850"/>
          <a:ext cx="3524250"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5686425</xdr:colOff>
      <xdr:row>0</xdr:row>
      <xdr:rowOff>95250</xdr:rowOff>
    </xdr:from>
    <xdr:to>
      <xdr:col>3</xdr:col>
      <xdr:colOff>19050</xdr:colOff>
      <xdr:row>1</xdr:row>
      <xdr:rowOff>85725</xdr:rowOff>
    </xdr:to>
    <xdr:pic>
      <xdr:nvPicPr>
        <xdr:cNvPr id="1" name="Picture 3" descr="MCC horizontal"/>
        <xdr:cNvPicPr preferRelativeResize="1">
          <a:picLocks noChangeAspect="1"/>
        </xdr:cNvPicPr>
      </xdr:nvPicPr>
      <xdr:blipFill>
        <a:blip r:embed="rId1"/>
        <a:stretch>
          <a:fillRect/>
        </a:stretch>
      </xdr:blipFill>
      <xdr:spPr>
        <a:xfrm>
          <a:off x="8067675" y="95250"/>
          <a:ext cx="217170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19050</xdr:colOff>
      <xdr:row>7</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1038225"/>
          <a:ext cx="19050" cy="19050"/>
        </a:xfrm>
        <a:prstGeom prst="rect">
          <a:avLst/>
        </a:prstGeom>
        <a:noFill/>
        <a:ln w="9525" cmpd="sng">
          <a:noFill/>
        </a:ln>
      </xdr:spPr>
    </xdr:pic>
    <xdr:clientData/>
  </xdr:twoCellAnchor>
  <xdr:twoCellAnchor editAs="oneCell">
    <xdr:from>
      <xdr:col>0</xdr:col>
      <xdr:colOff>0</xdr:colOff>
      <xdr:row>7</xdr:row>
      <xdr:rowOff>0</xdr:rowOff>
    </xdr:from>
    <xdr:to>
      <xdr:col>0</xdr:col>
      <xdr:colOff>19050</xdr:colOff>
      <xdr:row>7</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1038225"/>
          <a:ext cx="19050" cy="19050"/>
        </a:xfrm>
        <a:prstGeom prst="rect">
          <a:avLst/>
        </a:prstGeom>
        <a:noFill/>
        <a:ln w="9525" cmpd="sng">
          <a:noFill/>
        </a:ln>
      </xdr:spPr>
    </xdr:pic>
    <xdr:clientData/>
  </xdr:twoCellAnchor>
  <xdr:twoCellAnchor editAs="oneCell">
    <xdr:from>
      <xdr:col>0</xdr:col>
      <xdr:colOff>0</xdr:colOff>
      <xdr:row>7</xdr:row>
      <xdr:rowOff>0</xdr:rowOff>
    </xdr:from>
    <xdr:to>
      <xdr:col>0</xdr:col>
      <xdr:colOff>19050</xdr:colOff>
      <xdr:row>7</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1038225"/>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4" name="CB_Block_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5" name="CB_Block_7.0.0.0:1"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5</xdr:col>
      <xdr:colOff>885825</xdr:colOff>
      <xdr:row>1</xdr:row>
      <xdr:rowOff>0</xdr:rowOff>
    </xdr:from>
    <xdr:to>
      <xdr:col>7</xdr:col>
      <xdr:colOff>28575</xdr:colOff>
      <xdr:row>1</xdr:row>
      <xdr:rowOff>142875</xdr:rowOff>
    </xdr:to>
    <xdr:pic>
      <xdr:nvPicPr>
        <xdr:cNvPr id="6" name="Picture 3" descr="MCC horizontal"/>
        <xdr:cNvPicPr preferRelativeResize="1">
          <a:picLocks noChangeAspect="1"/>
        </xdr:cNvPicPr>
      </xdr:nvPicPr>
      <xdr:blipFill>
        <a:blip r:embed="rId2"/>
        <a:stretch>
          <a:fillRect/>
        </a:stretch>
      </xdr:blipFill>
      <xdr:spPr>
        <a:xfrm>
          <a:off x="9286875" y="161925"/>
          <a:ext cx="20955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381000" y="126682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381000" y="126682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381000" y="1266825"/>
          <a:ext cx="9525" cy="9525"/>
        </a:xfrm>
        <a:prstGeom prst="rect">
          <a:avLst/>
        </a:prstGeom>
        <a:noFill/>
        <a:ln w="9525" cmpd="sng">
          <a:noFill/>
        </a:ln>
      </xdr:spPr>
    </xdr:pic>
    <xdr:clientData/>
  </xdr:twoCellAnchor>
  <xdr:twoCellAnchor editAs="oneCell">
    <xdr:from>
      <xdr:col>5</xdr:col>
      <xdr:colOff>295275</xdr:colOff>
      <xdr:row>0</xdr:row>
      <xdr:rowOff>142875</xdr:rowOff>
    </xdr:from>
    <xdr:to>
      <xdr:col>7</xdr:col>
      <xdr:colOff>0</xdr:colOff>
      <xdr:row>1</xdr:row>
      <xdr:rowOff>133350</xdr:rowOff>
    </xdr:to>
    <xdr:pic>
      <xdr:nvPicPr>
        <xdr:cNvPr id="4" name="Picture 3" descr="MCC horizontal"/>
        <xdr:cNvPicPr preferRelativeResize="1">
          <a:picLocks noChangeAspect="1"/>
        </xdr:cNvPicPr>
      </xdr:nvPicPr>
      <xdr:blipFill>
        <a:blip r:embed="rId2"/>
        <a:stretch>
          <a:fillRect/>
        </a:stretch>
      </xdr:blipFill>
      <xdr:spPr>
        <a:xfrm>
          <a:off x="8210550" y="142875"/>
          <a:ext cx="20859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19050</xdr:colOff>
      <xdr:row>6</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609600" y="1333500"/>
          <a:ext cx="19050" cy="19050"/>
        </a:xfrm>
        <a:prstGeom prst="rect">
          <a:avLst/>
        </a:prstGeom>
        <a:noFill/>
        <a:ln w="9525" cmpd="sng">
          <a:noFill/>
        </a:ln>
      </xdr:spPr>
    </xdr:pic>
    <xdr:clientData/>
  </xdr:twoCellAnchor>
  <xdr:twoCellAnchor editAs="oneCell">
    <xdr:from>
      <xdr:col>1</xdr:col>
      <xdr:colOff>0</xdr:colOff>
      <xdr:row>6</xdr:row>
      <xdr:rowOff>0</xdr:rowOff>
    </xdr:from>
    <xdr:to>
      <xdr:col>1</xdr:col>
      <xdr:colOff>19050</xdr:colOff>
      <xdr:row>6</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609600" y="1333500"/>
          <a:ext cx="19050" cy="19050"/>
        </a:xfrm>
        <a:prstGeom prst="rect">
          <a:avLst/>
        </a:prstGeom>
        <a:noFill/>
        <a:ln w="9525" cmpd="sng">
          <a:noFill/>
        </a:ln>
      </xdr:spPr>
    </xdr:pic>
    <xdr:clientData/>
  </xdr:twoCellAnchor>
  <xdr:twoCellAnchor editAs="oneCell">
    <xdr:from>
      <xdr:col>1</xdr:col>
      <xdr:colOff>0</xdr:colOff>
      <xdr:row>6</xdr:row>
      <xdr:rowOff>0</xdr:rowOff>
    </xdr:from>
    <xdr:to>
      <xdr:col>1</xdr:col>
      <xdr:colOff>19050</xdr:colOff>
      <xdr:row>6</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609600" y="1333500"/>
          <a:ext cx="19050" cy="19050"/>
        </a:xfrm>
        <a:prstGeom prst="rect">
          <a:avLst/>
        </a:prstGeom>
        <a:noFill/>
        <a:ln w="9525" cmpd="sng">
          <a:noFill/>
        </a:ln>
      </xdr:spPr>
    </xdr:pic>
    <xdr:clientData/>
  </xdr:twoCellAnchor>
  <xdr:twoCellAnchor editAs="oneCell">
    <xdr:from>
      <xdr:col>4</xdr:col>
      <xdr:colOff>323850</xdr:colOff>
      <xdr:row>0</xdr:row>
      <xdr:rowOff>76200</xdr:rowOff>
    </xdr:from>
    <xdr:to>
      <xdr:col>6</xdr:col>
      <xdr:colOff>0</xdr:colOff>
      <xdr:row>1</xdr:row>
      <xdr:rowOff>57150</xdr:rowOff>
    </xdr:to>
    <xdr:pic>
      <xdr:nvPicPr>
        <xdr:cNvPr id="4" name="Picture 3" descr="MCC horizontal"/>
        <xdr:cNvPicPr preferRelativeResize="1">
          <a:picLocks noChangeAspect="1"/>
        </xdr:cNvPicPr>
      </xdr:nvPicPr>
      <xdr:blipFill>
        <a:blip r:embed="rId2"/>
        <a:stretch>
          <a:fillRect/>
        </a:stretch>
      </xdr:blipFill>
      <xdr:spPr>
        <a:xfrm>
          <a:off x="7286625" y="76200"/>
          <a:ext cx="207645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19050</xdr:colOff>
      <xdr:row>5</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381000" y="1104900"/>
          <a:ext cx="19050" cy="19050"/>
        </a:xfrm>
        <a:prstGeom prst="rect">
          <a:avLst/>
        </a:prstGeom>
        <a:noFill/>
        <a:ln w="9525" cmpd="sng">
          <a:noFill/>
        </a:ln>
      </xdr:spPr>
    </xdr:pic>
    <xdr:clientData/>
  </xdr:twoCellAnchor>
  <xdr:twoCellAnchor editAs="oneCell">
    <xdr:from>
      <xdr:col>1</xdr:col>
      <xdr:colOff>0</xdr:colOff>
      <xdr:row>5</xdr:row>
      <xdr:rowOff>0</xdr:rowOff>
    </xdr:from>
    <xdr:to>
      <xdr:col>1</xdr:col>
      <xdr:colOff>19050</xdr:colOff>
      <xdr:row>5</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381000" y="1104900"/>
          <a:ext cx="19050" cy="19050"/>
        </a:xfrm>
        <a:prstGeom prst="rect">
          <a:avLst/>
        </a:prstGeom>
        <a:noFill/>
        <a:ln w="9525" cmpd="sng">
          <a:noFill/>
        </a:ln>
      </xdr:spPr>
    </xdr:pic>
    <xdr:clientData/>
  </xdr:twoCellAnchor>
  <xdr:twoCellAnchor editAs="oneCell">
    <xdr:from>
      <xdr:col>1</xdr:col>
      <xdr:colOff>0</xdr:colOff>
      <xdr:row>5</xdr:row>
      <xdr:rowOff>0</xdr:rowOff>
    </xdr:from>
    <xdr:to>
      <xdr:col>1</xdr:col>
      <xdr:colOff>19050</xdr:colOff>
      <xdr:row>5</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381000" y="1104900"/>
          <a:ext cx="19050" cy="19050"/>
        </a:xfrm>
        <a:prstGeom prst="rect">
          <a:avLst/>
        </a:prstGeom>
        <a:noFill/>
        <a:ln w="9525" cmpd="sng">
          <a:noFill/>
        </a:ln>
      </xdr:spPr>
    </xdr:pic>
    <xdr:clientData/>
  </xdr:twoCellAnchor>
  <xdr:twoCellAnchor editAs="oneCell">
    <xdr:from>
      <xdr:col>5</xdr:col>
      <xdr:colOff>19050</xdr:colOff>
      <xdr:row>0</xdr:row>
      <xdr:rowOff>104775</xdr:rowOff>
    </xdr:from>
    <xdr:to>
      <xdr:col>6</xdr:col>
      <xdr:colOff>1028700</xdr:colOff>
      <xdr:row>1</xdr:row>
      <xdr:rowOff>85725</xdr:rowOff>
    </xdr:to>
    <xdr:pic>
      <xdr:nvPicPr>
        <xdr:cNvPr id="4" name="Picture 3" descr="MCC horizontal"/>
        <xdr:cNvPicPr preferRelativeResize="1">
          <a:picLocks noChangeAspect="1"/>
        </xdr:cNvPicPr>
      </xdr:nvPicPr>
      <xdr:blipFill>
        <a:blip r:embed="rId2"/>
        <a:stretch>
          <a:fillRect/>
        </a:stretch>
      </xdr:blipFill>
      <xdr:spPr>
        <a:xfrm>
          <a:off x="7229475" y="104775"/>
          <a:ext cx="207645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38100</xdr:rowOff>
    </xdr:from>
    <xdr:to>
      <xdr:col>5</xdr:col>
      <xdr:colOff>1019175</xdr:colOff>
      <xdr:row>1</xdr:row>
      <xdr:rowOff>28575</xdr:rowOff>
    </xdr:to>
    <xdr:pic>
      <xdr:nvPicPr>
        <xdr:cNvPr id="1" name="Picture 3" descr="MCC horizontal"/>
        <xdr:cNvPicPr preferRelativeResize="1">
          <a:picLocks noChangeAspect="1"/>
        </xdr:cNvPicPr>
      </xdr:nvPicPr>
      <xdr:blipFill>
        <a:blip r:embed="rId1"/>
        <a:stretch>
          <a:fillRect/>
        </a:stretch>
      </xdr:blipFill>
      <xdr:spPr>
        <a:xfrm>
          <a:off x="5991225" y="38100"/>
          <a:ext cx="20859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nda\projects\My%20Documents\Projects\PROJECT%20REPORTS%201999-2000\Ministry%20of%20Health%20and%20Social%20Services\Backup%20of%20FINANCIAL%20REPORT.xlk"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Copy%20of%20mcc-err-tanzania-energydistribution_Tuesday.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Summary"/>
      <sheetName val="Change"/>
      <sheetName val="Breakdown"/>
      <sheetName val="Cashflow"/>
      <sheetName val="Graph"/>
      <sheetName val="Progress"/>
      <sheetName val="Notes"/>
      <sheetName val="PS"/>
      <sheetName val="FA"/>
      <sheetName val="CA"/>
      <sheetName val="Prov sum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D47"/>
  <sheetViews>
    <sheetView showGridLines="0" tabSelected="1" zoomScale="68" zoomScaleNormal="68" zoomScaleSheetLayoutView="35" zoomScalePageLayoutView="0" workbookViewId="0" topLeftCell="A1">
      <selection activeCell="D14" sqref="D14"/>
    </sheetView>
  </sheetViews>
  <sheetFormatPr defaultColWidth="9.140625" defaultRowHeight="12.75"/>
  <cols>
    <col min="1" max="1" width="5.7109375" style="41" customWidth="1"/>
    <col min="2" max="2" width="32.00390625" style="41" customWidth="1"/>
    <col min="3" max="4" width="77.421875" style="41" customWidth="1"/>
    <col min="5" max="5" width="23.8515625" style="41" customWidth="1"/>
    <col min="6" max="16384" width="9.140625" style="41" customWidth="1"/>
  </cols>
  <sheetData>
    <row r="3" ht="12.75"/>
    <row r="4" ht="12.75"/>
    <row r="5" spans="2:4" ht="12.75" customHeight="1">
      <c r="B5" s="296" t="s">
        <v>150</v>
      </c>
      <c r="C5" s="296"/>
      <c r="D5" s="296"/>
    </row>
    <row r="6" spans="2:4" ht="12.75" customHeight="1">
      <c r="B6" s="296"/>
      <c r="C6" s="296"/>
      <c r="D6" s="296"/>
    </row>
    <row r="7" spans="2:4" ht="12.75" customHeight="1">
      <c r="B7" s="296"/>
      <c r="C7" s="296"/>
      <c r="D7" s="296"/>
    </row>
    <row r="8" spans="2:4" ht="20.25" customHeight="1">
      <c r="B8" s="296"/>
      <c r="C8" s="296"/>
      <c r="D8" s="296"/>
    </row>
    <row r="9" spans="2:4" ht="20.25" customHeight="1">
      <c r="B9" s="297" t="s">
        <v>151</v>
      </c>
      <c r="C9" s="297"/>
      <c r="D9" s="297"/>
    </row>
    <row r="10" spans="2:4" ht="12.75" customHeight="1">
      <c r="B10" s="220"/>
      <c r="C10" s="220"/>
      <c r="D10" s="220"/>
    </row>
    <row r="11" spans="2:4" ht="13.5" thickBot="1">
      <c r="B11" s="290"/>
      <c r="C11" s="290"/>
      <c r="D11" s="290"/>
    </row>
    <row r="12" spans="2:4" ht="18.75" thickTop="1">
      <c r="B12" s="288" t="s">
        <v>37</v>
      </c>
      <c r="C12" s="42" t="s">
        <v>70</v>
      </c>
      <c r="D12" s="267" t="s">
        <v>70</v>
      </c>
    </row>
    <row r="13" spans="2:4" ht="18.75" thickBot="1">
      <c r="B13" s="289"/>
      <c r="C13" s="43" t="s">
        <v>82</v>
      </c>
      <c r="D13" s="268" t="s">
        <v>151</v>
      </c>
    </row>
    <row r="14" spans="2:4" ht="36" customHeight="1" thickTop="1">
      <c r="B14" s="44" t="s">
        <v>38</v>
      </c>
      <c r="C14" s="246" t="s">
        <v>74</v>
      </c>
      <c r="D14" s="269" t="s">
        <v>153</v>
      </c>
    </row>
    <row r="15" spans="2:4" ht="19.5" customHeight="1">
      <c r="B15" s="292" t="s">
        <v>39</v>
      </c>
      <c r="C15" s="307" t="s">
        <v>71</v>
      </c>
      <c r="D15" s="270" t="s">
        <v>183</v>
      </c>
    </row>
    <row r="16" spans="2:4" ht="18" customHeight="1">
      <c r="B16" s="292"/>
      <c r="C16" s="307"/>
      <c r="D16" s="270" t="s">
        <v>184</v>
      </c>
    </row>
    <row r="17" spans="2:4" ht="21.75" customHeight="1">
      <c r="B17" s="306"/>
      <c r="C17" s="308"/>
      <c r="D17" s="271" t="s">
        <v>185</v>
      </c>
    </row>
    <row r="18" spans="2:4" ht="81.75" customHeight="1">
      <c r="B18" s="44" t="s">
        <v>40</v>
      </c>
      <c r="C18" s="45" t="s">
        <v>75</v>
      </c>
      <c r="D18" s="272" t="s">
        <v>154</v>
      </c>
    </row>
    <row r="19" spans="2:4" ht="36">
      <c r="B19" s="46" t="s">
        <v>41</v>
      </c>
      <c r="C19" s="47" t="s">
        <v>77</v>
      </c>
      <c r="D19" s="273" t="s">
        <v>155</v>
      </c>
    </row>
    <row r="20" spans="2:4" ht="72.75" customHeight="1">
      <c r="B20" s="48" t="s">
        <v>76</v>
      </c>
      <c r="C20" s="49" t="s">
        <v>79</v>
      </c>
      <c r="D20" s="274" t="s">
        <v>156</v>
      </c>
    </row>
    <row r="21" spans="2:4" ht="21.75" customHeight="1">
      <c r="B21" s="291" t="s">
        <v>42</v>
      </c>
      <c r="C21" s="293" t="s">
        <v>72</v>
      </c>
      <c r="D21" s="275" t="s">
        <v>157</v>
      </c>
    </row>
    <row r="22" spans="2:4" ht="21.75" customHeight="1">
      <c r="B22" s="292"/>
      <c r="C22" s="294"/>
      <c r="D22" s="275" t="s">
        <v>159</v>
      </c>
    </row>
    <row r="23" spans="2:4" ht="21.75" customHeight="1">
      <c r="B23" s="292"/>
      <c r="C23" s="294"/>
      <c r="D23" s="281" t="s">
        <v>158</v>
      </c>
    </row>
    <row r="24" spans="2:4" ht="23.25" customHeight="1" thickBot="1">
      <c r="B24" s="289"/>
      <c r="C24" s="295"/>
      <c r="D24" s="280" t="s">
        <v>215</v>
      </c>
    </row>
    <row r="25" spans="2:4" ht="38.25" customHeight="1" thickTop="1">
      <c r="B25" s="218"/>
      <c r="C25" s="221"/>
      <c r="D25" s="221"/>
    </row>
    <row r="26" spans="2:3" ht="18">
      <c r="B26" s="300" t="s">
        <v>152</v>
      </c>
      <c r="C26" s="301"/>
    </row>
    <row r="27" spans="2:3" ht="18">
      <c r="B27" s="302" t="s">
        <v>43</v>
      </c>
      <c r="C27" s="303"/>
    </row>
    <row r="28" spans="2:3" ht="34.5" customHeight="1">
      <c r="B28" s="286" t="s">
        <v>44</v>
      </c>
      <c r="C28" s="287"/>
    </row>
    <row r="29" spans="2:3" ht="6" customHeight="1">
      <c r="B29" s="298"/>
      <c r="C29" s="299"/>
    </row>
    <row r="30" spans="2:3" ht="18">
      <c r="B30" s="302" t="s">
        <v>45</v>
      </c>
      <c r="C30" s="303"/>
    </row>
    <row r="31" spans="2:3" ht="15">
      <c r="B31" s="286" t="s">
        <v>46</v>
      </c>
      <c r="C31" s="287"/>
    </row>
    <row r="32" spans="2:3" ht="10.5" customHeight="1">
      <c r="B32" s="265"/>
      <c r="C32" s="266"/>
    </row>
    <row r="33" spans="2:3" ht="18">
      <c r="B33" s="282" t="s">
        <v>216</v>
      </c>
      <c r="C33" s="283"/>
    </row>
    <row r="34" spans="2:3" ht="17.25" customHeight="1">
      <c r="B34" s="284" t="s">
        <v>217</v>
      </c>
      <c r="C34" s="285"/>
    </row>
    <row r="35" spans="2:3" ht="6" customHeight="1">
      <c r="B35" s="298"/>
      <c r="C35" s="299"/>
    </row>
    <row r="36" spans="2:3" ht="18">
      <c r="B36" s="302" t="s">
        <v>177</v>
      </c>
      <c r="C36" s="303"/>
    </row>
    <row r="37" spans="2:3" ht="15">
      <c r="B37" s="286" t="s">
        <v>181</v>
      </c>
      <c r="C37" s="287"/>
    </row>
    <row r="38" spans="2:3" ht="6" customHeight="1">
      <c r="B38" s="298"/>
      <c r="C38" s="299"/>
    </row>
    <row r="39" spans="2:3" ht="18">
      <c r="B39" s="302" t="s">
        <v>178</v>
      </c>
      <c r="C39" s="303"/>
    </row>
    <row r="40" spans="2:3" ht="15">
      <c r="B40" s="286" t="s">
        <v>181</v>
      </c>
      <c r="C40" s="287"/>
    </row>
    <row r="41" spans="2:3" ht="6" customHeight="1">
      <c r="B41" s="298"/>
      <c r="C41" s="299"/>
    </row>
    <row r="42" spans="2:3" ht="18">
      <c r="B42" s="302" t="s">
        <v>179</v>
      </c>
      <c r="C42" s="303"/>
    </row>
    <row r="43" spans="2:3" ht="15">
      <c r="B43" s="286" t="s">
        <v>182</v>
      </c>
      <c r="C43" s="287"/>
    </row>
    <row r="44" spans="2:3" ht="6" customHeight="1">
      <c r="B44" s="298"/>
      <c r="C44" s="299"/>
    </row>
    <row r="45" spans="2:3" ht="18">
      <c r="B45" s="302" t="s">
        <v>180</v>
      </c>
      <c r="C45" s="303"/>
    </row>
    <row r="46" spans="2:3" ht="15">
      <c r="B46" s="286" t="s">
        <v>181</v>
      </c>
      <c r="C46" s="287"/>
    </row>
    <row r="47" spans="2:3" ht="6" customHeight="1">
      <c r="B47" s="304"/>
      <c r="C47" s="305"/>
    </row>
    <row r="49" ht="12.75" customHeight="1"/>
    <row r="50" ht="15" customHeight="1"/>
    <row r="52" ht="12.75" customHeight="1"/>
    <row r="53" ht="15" customHeight="1"/>
    <row r="55" ht="12.75" customHeight="1"/>
    <row r="56" ht="15" customHeight="1"/>
    <row r="58" ht="12.75" customHeight="1"/>
    <row r="60" ht="12.75" customHeight="1"/>
    <row r="61" ht="12.75" customHeight="1"/>
  </sheetData>
  <sheetProtection formatCells="0" insertColumns="0" insertRows="0" insertHyperlinks="0" deleteColumns="0" deleteRows="0" sort="0" autoFilter="0" pivotTables="0"/>
  <mergeCells count="29">
    <mergeCell ref="B36:C36"/>
    <mergeCell ref="B30:C30"/>
    <mergeCell ref="B47:C47"/>
    <mergeCell ref="B40:C40"/>
    <mergeCell ref="B43:C43"/>
    <mergeCell ref="B46:C46"/>
    <mergeCell ref="B39:C39"/>
    <mergeCell ref="B42:C42"/>
    <mergeCell ref="B45:C45"/>
    <mergeCell ref="B35:C35"/>
    <mergeCell ref="B5:D8"/>
    <mergeCell ref="B9:D9"/>
    <mergeCell ref="B38:C38"/>
    <mergeCell ref="B41:C41"/>
    <mergeCell ref="B44:C44"/>
    <mergeCell ref="B26:C26"/>
    <mergeCell ref="B37:C37"/>
    <mergeCell ref="B27:C27"/>
    <mergeCell ref="B28:C28"/>
    <mergeCell ref="B29:C29"/>
    <mergeCell ref="B33:C33"/>
    <mergeCell ref="B34:C34"/>
    <mergeCell ref="B31:C31"/>
    <mergeCell ref="B12:B13"/>
    <mergeCell ref="B11:D11"/>
    <mergeCell ref="B21:B24"/>
    <mergeCell ref="C21:C24"/>
    <mergeCell ref="B15:B17"/>
    <mergeCell ref="C15:C17"/>
  </mergeCells>
  <hyperlinks>
    <hyperlink ref="B36" location="'ERR &amp; Sensitivity Analysis'!A1" display="ERR &amp; Sensitivity Analysis"/>
    <hyperlink ref="B27" location="'Activity Description'!A1" display="Activity Description"/>
    <hyperlink ref="B36:C36" location="'Cost-Benefit Summary - COSDECs'!A1" display="Costs &amp; Benefits Summary - COSDECs"/>
    <hyperlink ref="B30" location="'ERR &amp; Sensitivity Analysis'!A1" display="ERR &amp; Sensitivity Analysis"/>
    <hyperlink ref="B39" location="'Cost-Benefit Summary - NTF'!A1" display="Costs &amp; Benefits Summary - NTF"/>
    <hyperlink ref="B42" location="'NTF Flows and Key Assumptions'!A1" display="NTF Flows and Key Assumptions"/>
    <hyperlink ref="B45" location="'Cost-Benefit Summary - VTGF'!A1" display="Costs &amp; Benefits Summary - VTGF"/>
    <hyperlink ref="B33:C33" location="'Total Cost-Benefit Summary'!A1" display="Total Cost-Benefit Summary"/>
  </hyperlinks>
  <printOptions horizontalCentered="1"/>
  <pageMargins left="0.25" right="0.25" top="1" bottom="1" header="0.5" footer="0.36"/>
  <pageSetup horizontalDpi="600" verticalDpi="600" orientation="portrait" scale="51" r:id="rId3"/>
  <headerFooter alignWithMargins="0">
    <oddHeader xml:space="preserve">&amp;L&amp;G&amp;R&amp;27&amp;A  &amp;10
  </oddHeader>
    <oddFooter>&amp;R&amp;P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Sheet2"/>
  <dimension ref="A2:E40"/>
  <sheetViews>
    <sheetView showGridLines="0" zoomScale="70" zoomScaleNormal="70" zoomScaleSheetLayoutView="35" zoomScalePageLayoutView="0" workbookViewId="0" topLeftCell="A22">
      <selection activeCell="B27" sqref="B27:C31"/>
    </sheetView>
  </sheetViews>
  <sheetFormatPr defaultColWidth="9.140625" defaultRowHeight="12.75"/>
  <cols>
    <col min="1" max="1" width="5.7109375" style="41" customWidth="1"/>
    <col min="2" max="2" width="30.00390625" style="41" customWidth="1"/>
    <col min="3" max="3" width="117.57421875" style="41" customWidth="1"/>
    <col min="4" max="4" width="5.7109375" style="41" customWidth="1"/>
    <col min="5" max="5" width="23.8515625" style="41" customWidth="1"/>
    <col min="6" max="16384" width="9.140625" style="41" customWidth="1"/>
  </cols>
  <sheetData>
    <row r="1" ht="12.75"/>
    <row r="2" spans="2:3" ht="12.75">
      <c r="B2" s="316" t="s">
        <v>150</v>
      </c>
      <c r="C2" s="316"/>
    </row>
    <row r="3" spans="2:3" ht="12.75">
      <c r="B3" s="316"/>
      <c r="C3" s="316"/>
    </row>
    <row r="4" spans="2:3" ht="19.5" customHeight="1">
      <c r="B4" s="316"/>
      <c r="C4" s="316"/>
    </row>
    <row r="5" spans="2:3" ht="24" customHeight="1">
      <c r="B5" s="319" t="s">
        <v>160</v>
      </c>
      <c r="C5" s="319"/>
    </row>
    <row r="6" spans="2:3" ht="12.75">
      <c r="B6" s="315"/>
      <c r="C6" s="315"/>
    </row>
    <row r="7" spans="1:5" ht="18">
      <c r="A7"/>
      <c r="B7" s="317" t="s">
        <v>47</v>
      </c>
      <c r="C7" s="317"/>
      <c r="D7"/>
      <c r="E7"/>
    </row>
    <row r="8" spans="1:5" ht="18">
      <c r="A8"/>
      <c r="B8" s="276"/>
      <c r="C8" s="276"/>
      <c r="D8"/>
      <c r="E8"/>
    </row>
    <row r="9" spans="1:5" ht="18.75">
      <c r="A9"/>
      <c r="B9" s="314" t="s">
        <v>162</v>
      </c>
      <c r="C9" s="314"/>
      <c r="D9"/>
      <c r="E9"/>
    </row>
    <row r="10" spans="1:5" ht="83.25" customHeight="1">
      <c r="A10"/>
      <c r="B10" s="318" t="s">
        <v>161</v>
      </c>
      <c r="C10" s="318"/>
      <c r="D10"/>
      <c r="E10"/>
    </row>
    <row r="11" spans="1:5" ht="12.75" customHeight="1">
      <c r="A11"/>
      <c r="B11" s="277"/>
      <c r="C11" s="277"/>
      <c r="D11"/>
      <c r="E11"/>
    </row>
    <row r="12" spans="1:5" ht="18.75">
      <c r="A12"/>
      <c r="B12" s="314" t="s">
        <v>163</v>
      </c>
      <c r="C12" s="314"/>
      <c r="D12"/>
      <c r="E12"/>
    </row>
    <row r="13" spans="1:5" ht="60" customHeight="1">
      <c r="A13"/>
      <c r="B13" s="309" t="s">
        <v>164</v>
      </c>
      <c r="C13" s="309"/>
      <c r="D13"/>
      <c r="E13"/>
    </row>
    <row r="14" spans="1:5" ht="22.5" customHeight="1">
      <c r="A14"/>
      <c r="B14" s="309" t="s">
        <v>165</v>
      </c>
      <c r="C14" s="309"/>
      <c r="D14"/>
      <c r="E14"/>
    </row>
    <row r="15" spans="1:5" ht="37.5" customHeight="1">
      <c r="A15"/>
      <c r="B15" s="310" t="s">
        <v>166</v>
      </c>
      <c r="C15" s="310"/>
      <c r="D15"/>
      <c r="E15"/>
    </row>
    <row r="16" spans="1:5" ht="20.25" customHeight="1">
      <c r="A16"/>
      <c r="B16" s="310" t="s">
        <v>167</v>
      </c>
      <c r="C16" s="310"/>
      <c r="D16"/>
      <c r="E16"/>
    </row>
    <row r="17" spans="1:5" ht="17.25" customHeight="1">
      <c r="A17"/>
      <c r="B17" s="310" t="s">
        <v>168</v>
      </c>
      <c r="C17" s="310"/>
      <c r="D17"/>
      <c r="E17"/>
    </row>
    <row r="18" spans="1:5" ht="17.25" customHeight="1">
      <c r="A18"/>
      <c r="B18" s="276"/>
      <c r="C18" s="276"/>
      <c r="D18"/>
      <c r="E18"/>
    </row>
    <row r="19" spans="1:5" ht="17.25" customHeight="1">
      <c r="A19"/>
      <c r="B19" s="276"/>
      <c r="C19" s="276"/>
      <c r="D19"/>
      <c r="E19"/>
    </row>
    <row r="20" spans="1:5" ht="18">
      <c r="A20"/>
      <c r="B20" s="313" t="s">
        <v>48</v>
      </c>
      <c r="C20" s="313"/>
      <c r="D20"/>
      <c r="E20"/>
    </row>
    <row r="21" spans="2:3" ht="12.75">
      <c r="B21" s="278"/>
      <c r="C21" s="278"/>
    </row>
    <row r="22" spans="2:3" ht="12.75" customHeight="1">
      <c r="B22" s="312" t="s">
        <v>169</v>
      </c>
      <c r="C22" s="312"/>
    </row>
    <row r="23" spans="2:3" ht="12.75" customHeight="1">
      <c r="B23" s="312"/>
      <c r="C23" s="312"/>
    </row>
    <row r="24" spans="2:3" ht="12.75">
      <c r="B24" s="312"/>
      <c r="C24" s="312"/>
    </row>
    <row r="25" spans="2:3" ht="22.5" customHeight="1">
      <c r="B25" s="312"/>
      <c r="C25" s="312"/>
    </row>
    <row r="26" spans="2:3" ht="6.75" customHeight="1">
      <c r="B26" s="279"/>
      <c r="C26" s="279"/>
    </row>
    <row r="27" spans="2:3" s="50" customFormat="1" ht="83.25" customHeight="1">
      <c r="B27" s="312" t="s">
        <v>212</v>
      </c>
      <c r="C27" s="312"/>
    </row>
    <row r="28" spans="2:3" s="50" customFormat="1" ht="15.75" customHeight="1">
      <c r="B28" s="312"/>
      <c r="C28" s="312"/>
    </row>
    <row r="29" spans="2:3" ht="15.75" customHeight="1">
      <c r="B29" s="312"/>
      <c r="C29" s="312"/>
    </row>
    <row r="30" spans="2:3" ht="15.75" customHeight="1">
      <c r="B30" s="312"/>
      <c r="C30" s="312"/>
    </row>
    <row r="31" spans="2:3" ht="12.75" customHeight="1">
      <c r="B31" s="312"/>
      <c r="C31" s="312"/>
    </row>
    <row r="32" spans="2:3" ht="12.75" customHeight="1">
      <c r="B32" s="311" t="s">
        <v>213</v>
      </c>
      <c r="C32" s="311"/>
    </row>
    <row r="33" spans="2:3" ht="12.75">
      <c r="B33" s="311"/>
      <c r="C33" s="311"/>
    </row>
    <row r="34" spans="2:3" ht="12.75">
      <c r="B34" s="311"/>
      <c r="C34" s="311"/>
    </row>
    <row r="35" spans="2:3" ht="12.75">
      <c r="B35" s="311"/>
      <c r="C35" s="311"/>
    </row>
    <row r="36" spans="2:3" ht="12.75">
      <c r="B36" s="311"/>
      <c r="C36" s="311"/>
    </row>
    <row r="37" spans="2:3" ht="12.75">
      <c r="B37" s="311"/>
      <c r="C37" s="311"/>
    </row>
    <row r="38" spans="2:3" ht="12.75">
      <c r="B38" s="311"/>
      <c r="C38" s="311"/>
    </row>
    <row r="39" spans="2:3" ht="12.75">
      <c r="B39" s="311"/>
      <c r="C39" s="311"/>
    </row>
    <row r="40" spans="2:3" ht="70.5" customHeight="1">
      <c r="B40" s="311"/>
      <c r="C40" s="311"/>
    </row>
    <row r="41" ht="12.75"/>
    <row r="42" ht="12.75"/>
    <row r="43" ht="12.75"/>
    <row r="44" ht="12.75"/>
    <row r="45" ht="12.75"/>
    <row r="46" ht="12.75"/>
    <row r="47" ht="12.75"/>
    <row r="48" ht="12.75"/>
    <row r="49" ht="12.75"/>
    <row r="50" ht="12.75"/>
    <row r="51" ht="12.75"/>
    <row r="52" ht="12.75"/>
    <row r="53" ht="12.75"/>
    <row r="54" ht="12.75" customHeight="1"/>
    <row r="55" ht="12.75" customHeight="1"/>
    <row r="56" ht="12.75"/>
    <row r="57" ht="12.75"/>
    <row r="58" ht="12.75"/>
  </sheetData>
  <sheetProtection formatCells="0" insertColumns="0" insertRows="0" insertHyperlinks="0" deleteColumns="0" deleteRows="0" sort="0" autoFilter="0" pivotTables="0"/>
  <mergeCells count="16">
    <mergeCell ref="B12:C12"/>
    <mergeCell ref="B6:C6"/>
    <mergeCell ref="B2:C4"/>
    <mergeCell ref="B7:C7"/>
    <mergeCell ref="B10:C10"/>
    <mergeCell ref="B5:C5"/>
    <mergeCell ref="B9:C9"/>
    <mergeCell ref="B13:C13"/>
    <mergeCell ref="B14:C14"/>
    <mergeCell ref="B15:C15"/>
    <mergeCell ref="B16:C16"/>
    <mergeCell ref="B17:C17"/>
    <mergeCell ref="B32:C40"/>
    <mergeCell ref="B22:C25"/>
    <mergeCell ref="B27:C31"/>
    <mergeCell ref="B20:C20"/>
  </mergeCells>
  <printOptions horizontalCentered="1"/>
  <pageMargins left="0.25" right="0.25" top="1" bottom="1" header="0.5" footer="0.36"/>
  <pageSetup horizontalDpi="600" verticalDpi="600" orientation="portrait" scale="51" r:id="rId3"/>
  <headerFooter alignWithMargins="0">
    <oddHeader xml:space="preserve">&amp;L&amp;G&amp;R&amp;27&amp;A  &amp;10
  </oddHeader>
    <oddFooter>&amp;R&amp;P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19"/>
  <dimension ref="B1:K41"/>
  <sheetViews>
    <sheetView showGridLines="0" zoomScale="65" zoomScaleNormal="65" zoomScalePageLayoutView="0" workbookViewId="0" topLeftCell="A1">
      <selection activeCell="G36" sqref="G36"/>
    </sheetView>
  </sheetViews>
  <sheetFormatPr defaultColWidth="9.140625" defaultRowHeight="12.75"/>
  <cols>
    <col min="1" max="1" width="5.7109375" style="51" customWidth="1"/>
    <col min="2" max="2" width="25.00390625" style="51" customWidth="1"/>
    <col min="3" max="3" width="55.57421875" style="41" customWidth="1"/>
    <col min="4" max="4" width="21.421875" style="51" customWidth="1"/>
    <col min="5" max="5" width="18.28125" style="52" customWidth="1"/>
    <col min="6" max="6" width="26.00390625" style="51" customWidth="1"/>
    <col min="7" max="7" width="18.28125" style="51" customWidth="1"/>
    <col min="8" max="8" width="5.7109375" style="51" customWidth="1"/>
    <col min="9" max="9" width="5.8515625" style="51" customWidth="1"/>
    <col min="10" max="10" width="17.421875" style="51" customWidth="1"/>
    <col min="11" max="11" width="5.7109375" style="51" customWidth="1"/>
    <col min="12" max="16384" width="9.140625" style="51" customWidth="1"/>
  </cols>
  <sheetData>
    <row r="1" spans="2:7" ht="12.75">
      <c r="B1" s="316" t="s">
        <v>150</v>
      </c>
      <c r="C1" s="316"/>
      <c r="D1" s="316"/>
      <c r="E1" s="316"/>
      <c r="F1" s="316"/>
      <c r="G1" s="316"/>
    </row>
    <row r="2" spans="2:7" ht="12.75">
      <c r="B2" s="316"/>
      <c r="C2" s="316"/>
      <c r="D2" s="316"/>
      <c r="E2" s="316"/>
      <c r="F2" s="316"/>
      <c r="G2" s="316"/>
    </row>
    <row r="3" spans="2:7" ht="12.75">
      <c r="B3" s="316"/>
      <c r="C3" s="316"/>
      <c r="D3" s="316"/>
      <c r="E3" s="316"/>
      <c r="F3" s="316"/>
      <c r="G3" s="316"/>
    </row>
    <row r="4" spans="2:7" ht="6.75" customHeight="1">
      <c r="B4" s="316"/>
      <c r="C4" s="316"/>
      <c r="D4" s="316"/>
      <c r="E4" s="316"/>
      <c r="F4" s="316"/>
      <c r="G4" s="316"/>
    </row>
    <row r="5" spans="2:7" ht="6" customHeight="1">
      <c r="B5" s="316"/>
      <c r="C5" s="316"/>
      <c r="D5" s="316"/>
      <c r="E5" s="316"/>
      <c r="F5" s="316"/>
      <c r="G5" s="316"/>
    </row>
    <row r="6" spans="2:7" ht="18">
      <c r="B6" s="319" t="s">
        <v>160</v>
      </c>
      <c r="C6" s="319"/>
      <c r="D6" s="319"/>
      <c r="E6" s="319"/>
      <c r="F6" s="319"/>
      <c r="G6" s="319"/>
    </row>
    <row r="7" spans="2:7" ht="12.75" customHeight="1">
      <c r="B7" s="315"/>
      <c r="C7" s="315"/>
      <c r="D7" s="315"/>
      <c r="E7" s="315"/>
      <c r="F7" s="315"/>
      <c r="G7" s="315"/>
    </row>
    <row r="8" ht="12.75"/>
    <row r="9" ht="12.75">
      <c r="F9" s="53"/>
    </row>
    <row r="10" spans="2:7" ht="18" customHeight="1">
      <c r="B10" s="337" t="s">
        <v>170</v>
      </c>
      <c r="C10" s="337"/>
      <c r="D10" s="337"/>
      <c r="E10" s="337"/>
      <c r="F10" s="337"/>
      <c r="G10" s="337" t="s">
        <v>49</v>
      </c>
    </row>
    <row r="11" ht="13.5" thickBot="1"/>
    <row r="12" spans="2:7" ht="13.5" thickTop="1">
      <c r="B12" s="54" t="s">
        <v>50</v>
      </c>
      <c r="C12" s="55"/>
      <c r="D12" s="56"/>
      <c r="E12" s="57"/>
      <c r="F12" s="56"/>
      <c r="G12" s="58"/>
    </row>
    <row r="13" spans="2:7" ht="12.75">
      <c r="B13" s="331" t="s">
        <v>73</v>
      </c>
      <c r="C13" s="332"/>
      <c r="D13" s="332"/>
      <c r="E13" s="332"/>
      <c r="F13" s="332"/>
      <c r="G13" s="333"/>
    </row>
    <row r="14" spans="2:7" ht="12.75">
      <c r="B14" s="331"/>
      <c r="C14" s="332"/>
      <c r="D14" s="332"/>
      <c r="E14" s="332"/>
      <c r="F14" s="332"/>
      <c r="G14" s="333"/>
    </row>
    <row r="15" spans="2:7" ht="13.5" thickBot="1">
      <c r="B15" s="334"/>
      <c r="C15" s="335"/>
      <c r="D15" s="335"/>
      <c r="E15" s="335"/>
      <c r="F15" s="335"/>
      <c r="G15" s="336"/>
    </row>
    <row r="16" ht="13.5" thickTop="1"/>
    <row r="17" spans="2:7" ht="39" customHeight="1">
      <c r="B17" s="59"/>
      <c r="C17" s="235" t="s">
        <v>51</v>
      </c>
      <c r="D17" s="237" t="str">
        <f>IF(D21=E21,IF(D22=E22,IF(D26=E26,IF(D27=E27,"Y","N"),"N"),"N"),"N")</f>
        <v>Y</v>
      </c>
      <c r="E17" s="234" t="str">
        <f>IF(D23=E23,IF(D24=E24,IF(D29=E29,IF(D30=E30,IF(D31=E31,IF(D32=E32,"Y","N"),"N"),"N"),"N"),"N"),"N")</f>
        <v>Y</v>
      </c>
      <c r="F17" s="235" t="s">
        <v>186</v>
      </c>
      <c r="G17" s="236" t="str">
        <f>IF(D29=E29,IF(D30=E30,IF(D31=E31,IF(D32=E32,"Y","N"),"N"),"N"),"N")</f>
        <v>Y</v>
      </c>
    </row>
    <row r="18" spans="2:7" ht="12.75" customHeight="1">
      <c r="B18" s="59"/>
      <c r="C18" s="60"/>
      <c r="D18" s="59"/>
      <c r="E18" s="59"/>
      <c r="F18" s="59"/>
      <c r="G18" s="59"/>
    </row>
    <row r="19" spans="2:7" ht="18">
      <c r="B19" s="322" t="s">
        <v>52</v>
      </c>
      <c r="C19" s="327" t="s">
        <v>53</v>
      </c>
      <c r="D19" s="324" t="s">
        <v>54</v>
      </c>
      <c r="E19" s="325"/>
      <c r="F19" s="325"/>
      <c r="G19" s="326"/>
    </row>
    <row r="20" spans="2:9" ht="61.5" customHeight="1" thickBot="1">
      <c r="B20" s="323"/>
      <c r="C20" s="328"/>
      <c r="D20" s="61" t="s">
        <v>55</v>
      </c>
      <c r="E20" s="62" t="s">
        <v>56</v>
      </c>
      <c r="F20" s="62" t="s">
        <v>57</v>
      </c>
      <c r="G20" s="62" t="s">
        <v>58</v>
      </c>
      <c r="I20" s="59"/>
    </row>
    <row r="21" spans="2:10" ht="36">
      <c r="B21" s="63" t="s">
        <v>59</v>
      </c>
      <c r="C21" s="64" t="s">
        <v>60</v>
      </c>
      <c r="D21" s="65">
        <v>1</v>
      </c>
      <c r="E21" s="66">
        <v>1</v>
      </c>
      <c r="F21" s="66" t="s">
        <v>61</v>
      </c>
      <c r="G21" s="67">
        <f>D21</f>
        <v>1</v>
      </c>
      <c r="I21" s="329" t="s">
        <v>62</v>
      </c>
      <c r="J21" s="330"/>
    </row>
    <row r="22" spans="2:10" ht="36">
      <c r="B22" s="89" t="s">
        <v>59</v>
      </c>
      <c r="C22" s="90" t="s">
        <v>63</v>
      </c>
      <c r="D22" s="91">
        <v>1</v>
      </c>
      <c r="E22" s="92">
        <v>1</v>
      </c>
      <c r="F22" s="92" t="s">
        <v>61</v>
      </c>
      <c r="G22" s="93">
        <f>D22</f>
        <v>1</v>
      </c>
      <c r="I22" s="338" t="s">
        <v>43</v>
      </c>
      <c r="J22" s="339"/>
    </row>
    <row r="23" spans="2:10" ht="27" customHeight="1">
      <c r="B23" s="71" t="s">
        <v>64</v>
      </c>
      <c r="C23" s="81" t="s">
        <v>23</v>
      </c>
      <c r="D23" s="82">
        <v>0.8</v>
      </c>
      <c r="E23" s="83">
        <v>0.8</v>
      </c>
      <c r="F23" s="84" t="s">
        <v>68</v>
      </c>
      <c r="G23" s="87">
        <f>IF($D$17="Y",D23,E23)</f>
        <v>0.8</v>
      </c>
      <c r="I23" s="320" t="s">
        <v>65</v>
      </c>
      <c r="J23" s="321"/>
    </row>
    <row r="24" spans="2:9" s="69" customFormat="1" ht="44.25" customHeight="1">
      <c r="B24" s="95" t="s">
        <v>64</v>
      </c>
      <c r="C24" s="68" t="s">
        <v>81</v>
      </c>
      <c r="D24" s="85">
        <v>0.9</v>
      </c>
      <c r="E24" s="72">
        <v>0.9</v>
      </c>
      <c r="F24" s="86" t="s">
        <v>69</v>
      </c>
      <c r="G24" s="88">
        <f>IF($D$17="Y",D24,E24)</f>
        <v>0.9</v>
      </c>
      <c r="I24" s="70"/>
    </row>
    <row r="25" spans="2:8" ht="20.25">
      <c r="B25" s="73"/>
      <c r="C25" s="74"/>
      <c r="D25" s="73"/>
      <c r="F25"/>
      <c r="G25"/>
      <c r="H25"/>
    </row>
    <row r="26" spans="2:8" ht="36">
      <c r="B26" s="186" t="s">
        <v>59</v>
      </c>
      <c r="C26" s="210" t="s">
        <v>60</v>
      </c>
      <c r="D26" s="211">
        <v>1</v>
      </c>
      <c r="E26" s="212">
        <v>1</v>
      </c>
      <c r="F26" s="213">
        <v>1</v>
      </c>
      <c r="G26" s="214">
        <f>D26</f>
        <v>1</v>
      </c>
      <c r="H26"/>
    </row>
    <row r="27" spans="2:7" ht="36">
      <c r="B27" s="179" t="s">
        <v>59</v>
      </c>
      <c r="C27" s="180" t="s">
        <v>63</v>
      </c>
      <c r="D27" s="181">
        <v>1</v>
      </c>
      <c r="E27" s="176">
        <v>1</v>
      </c>
      <c r="F27" s="177">
        <v>1</v>
      </c>
      <c r="G27" s="178">
        <f>D27</f>
        <v>1</v>
      </c>
    </row>
    <row r="28" spans="2:7" ht="18">
      <c r="B28" s="182"/>
      <c r="C28" s="183"/>
      <c r="D28" s="238"/>
      <c r="E28" s="184"/>
      <c r="F28" s="184"/>
      <c r="G28" s="185"/>
    </row>
    <row r="29" spans="2:11" ht="18">
      <c r="B29" s="186" t="s">
        <v>64</v>
      </c>
      <c r="C29" s="187" t="s">
        <v>133</v>
      </c>
      <c r="D29" s="188">
        <v>0.01</v>
      </c>
      <c r="E29" s="189">
        <v>0.01</v>
      </c>
      <c r="F29" s="190" t="s">
        <v>134</v>
      </c>
      <c r="G29" s="191">
        <f>IF($D$17="Y",D29,E29)</f>
        <v>0.01</v>
      </c>
      <c r="K29" s="51" t="s">
        <v>66</v>
      </c>
    </row>
    <row r="30" spans="2:7" ht="29.25" customHeight="1">
      <c r="B30" s="175" t="s">
        <v>64</v>
      </c>
      <c r="C30" s="192" t="s">
        <v>135</v>
      </c>
      <c r="D30" s="193">
        <v>8970574</v>
      </c>
      <c r="E30" s="194">
        <v>8970574</v>
      </c>
      <c r="F30" s="195" t="s">
        <v>136</v>
      </c>
      <c r="G30" s="196">
        <f>IF($D$17="Y",D30,E30)</f>
        <v>8970574</v>
      </c>
    </row>
    <row r="31" spans="2:7" ht="36">
      <c r="B31" s="197" t="s">
        <v>64</v>
      </c>
      <c r="C31" s="198" t="s">
        <v>137</v>
      </c>
      <c r="D31" s="199">
        <v>1</v>
      </c>
      <c r="E31" s="200">
        <v>1</v>
      </c>
      <c r="F31" s="201" t="s">
        <v>138</v>
      </c>
      <c r="G31" s="202">
        <f>IF($D$17="Y",D31,E31)</f>
        <v>1</v>
      </c>
    </row>
    <row r="32" spans="2:7" ht="36">
      <c r="B32" s="203" t="s">
        <v>64</v>
      </c>
      <c r="C32" s="204" t="s">
        <v>128</v>
      </c>
      <c r="D32" s="205">
        <v>50000</v>
      </c>
      <c r="E32" s="206">
        <v>50000</v>
      </c>
      <c r="F32" s="207" t="s">
        <v>139</v>
      </c>
      <c r="G32" s="208">
        <f>IF($D$17="Y",D32,E32)</f>
        <v>50000</v>
      </c>
    </row>
    <row r="33" spans="2:6" ht="18">
      <c r="B33" s="224">
        <f>IF($D$17="N","NOTE: Current calculations are based on USER INPUT and are not the original MCC estimates.",IF($G$17="N","NOTE: Current calculations are based on USER INPUT and are not the original MCC estimates.",""))</f>
      </c>
      <c r="C33" s="94"/>
      <c r="D33" s="239"/>
      <c r="E33" s="94"/>
      <c r="F33" s="94"/>
    </row>
    <row r="35" spans="3:7" ht="18">
      <c r="C35" s="241"/>
      <c r="D35" s="242" t="s">
        <v>188</v>
      </c>
      <c r="E35" s="242" t="s">
        <v>189</v>
      </c>
      <c r="F35" s="242" t="s">
        <v>190</v>
      </c>
      <c r="G35" s="242" t="s">
        <v>214</v>
      </c>
    </row>
    <row r="36" spans="3:7" ht="18">
      <c r="C36" s="243" t="s">
        <v>187</v>
      </c>
      <c r="D36" s="77">
        <f>'Cost-Benefit Summary - COSDECs'!C35</f>
        <v>1.0115312630600934</v>
      </c>
      <c r="E36" s="240">
        <f>'Cost-Benefit Summary - NTF'!C19</f>
        <v>0.16616541475379343</v>
      </c>
      <c r="F36" s="217">
        <f>'Cost-Benefit Summary - VTGF'!C33</f>
        <v>0.21380633369263435</v>
      </c>
      <c r="G36" s="217">
        <f>'Total Cost-Benefit Summary'!B24</f>
        <v>0.531438841988481</v>
      </c>
    </row>
    <row r="37" spans="3:6" ht="18">
      <c r="C37" s="241"/>
      <c r="D37" s="75"/>
      <c r="E37" s="242"/>
      <c r="F37" s="75"/>
    </row>
    <row r="38" spans="3:7" ht="18">
      <c r="C38" s="243" t="s">
        <v>191</v>
      </c>
      <c r="D38" s="244">
        <v>1.01</v>
      </c>
      <c r="E38" s="245">
        <v>0.166</v>
      </c>
      <c r="F38" s="244">
        <v>0.21</v>
      </c>
      <c r="G38" s="244">
        <v>0.53</v>
      </c>
    </row>
    <row r="39" spans="3:6" ht="18">
      <c r="C39" s="241"/>
      <c r="D39" s="75"/>
      <c r="E39" s="242"/>
      <c r="F39" s="75"/>
    </row>
    <row r="40" spans="3:6" ht="18">
      <c r="C40" s="241"/>
      <c r="D40" s="75"/>
      <c r="E40" s="242"/>
      <c r="F40" s="75"/>
    </row>
    <row r="41" spans="3:6" ht="18">
      <c r="C41" s="241"/>
      <c r="D41" s="75"/>
      <c r="E41" s="242"/>
      <c r="F41" s="75"/>
    </row>
  </sheetData>
  <sheetProtection/>
  <mergeCells count="11">
    <mergeCell ref="B6:G6"/>
    <mergeCell ref="B1:G5"/>
    <mergeCell ref="B7:G7"/>
    <mergeCell ref="B10:G10"/>
    <mergeCell ref="I22:J22"/>
    <mergeCell ref="I23:J23"/>
    <mergeCell ref="B19:B20"/>
    <mergeCell ref="D19:G19"/>
    <mergeCell ref="C19:C20"/>
    <mergeCell ref="I21:J21"/>
    <mergeCell ref="B13:G15"/>
  </mergeCells>
  <hyperlinks>
    <hyperlink ref="I22" location="'Activity Description'!A1" display="   Activity Description"/>
    <hyperlink ref="I23" location="'User''s Guide'!A1" display="User's Guide"/>
  </hyperlinks>
  <printOptions horizontalCentered="1"/>
  <pageMargins left="0.25" right="0.25" top="1" bottom="1" header="0.5" footer="0.36"/>
  <pageSetup horizontalDpi="600" verticalDpi="600" orientation="portrait" scale="35"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X29"/>
  <sheetViews>
    <sheetView zoomScalePageLayoutView="0" workbookViewId="0" topLeftCell="A1">
      <selection activeCell="C13" sqref="C13"/>
    </sheetView>
  </sheetViews>
  <sheetFormatPr defaultColWidth="9.140625" defaultRowHeight="12.75"/>
  <cols>
    <col min="1" max="1" width="28.00390625" style="0" customWidth="1"/>
    <col min="2" max="2" width="15.57421875" style="0" bestFit="1" customWidth="1"/>
    <col min="3" max="3" width="15.421875" style="0" bestFit="1" customWidth="1"/>
    <col min="4" max="4" width="10.7109375" style="0" bestFit="1" customWidth="1"/>
    <col min="5" max="5" width="24.7109375" style="0" bestFit="1" customWidth="1"/>
    <col min="6" max="9" width="10.140625" style="0" bestFit="1" customWidth="1"/>
    <col min="10" max="21" width="11.140625" style="0" bestFit="1" customWidth="1"/>
    <col min="22" max="22" width="18.8515625" style="0" bestFit="1" customWidth="1"/>
  </cols>
  <sheetData>
    <row r="1" spans="9:24" ht="12.75">
      <c r="I1" s="340"/>
      <c r="J1" s="340"/>
      <c r="K1" s="340"/>
      <c r="V1" s="247" t="s">
        <v>193</v>
      </c>
      <c r="W1" s="247"/>
      <c r="X1" s="247"/>
    </row>
    <row r="2" ht="20.25">
      <c r="A2" s="248" t="s">
        <v>218</v>
      </c>
    </row>
    <row r="3" ht="18">
      <c r="A3" s="249"/>
    </row>
    <row r="4" spans="1:2" ht="18">
      <c r="A4" s="249"/>
      <c r="B4" s="250"/>
    </row>
    <row r="5" spans="2:21" ht="15">
      <c r="B5" s="251"/>
      <c r="C5" s="252"/>
      <c r="D5" s="252"/>
      <c r="E5" s="252" t="s">
        <v>194</v>
      </c>
      <c r="F5" s="252"/>
      <c r="G5" s="252"/>
      <c r="H5" s="253"/>
      <c r="I5" s="253"/>
      <c r="J5" s="253"/>
      <c r="K5" s="253"/>
      <c r="L5" s="253"/>
      <c r="M5" s="254"/>
      <c r="N5" s="254"/>
      <c r="O5" s="254"/>
      <c r="P5" s="254"/>
      <c r="Q5" s="254"/>
      <c r="R5" s="255"/>
      <c r="S5" s="255"/>
      <c r="T5" s="255"/>
      <c r="U5" s="255"/>
    </row>
    <row r="6" spans="1:21" ht="15">
      <c r="A6" s="256" t="s">
        <v>84</v>
      </c>
      <c r="B6" s="256">
        <v>1</v>
      </c>
      <c r="C6" s="256">
        <f aca="true" t="shared" si="0" ref="C6:R6">B6+1</f>
        <v>2</v>
      </c>
      <c r="D6" s="256">
        <f t="shared" si="0"/>
        <v>3</v>
      </c>
      <c r="E6" s="256">
        <f t="shared" si="0"/>
        <v>4</v>
      </c>
      <c r="F6" s="256">
        <f t="shared" si="0"/>
        <v>5</v>
      </c>
      <c r="G6" s="256">
        <f t="shared" si="0"/>
        <v>6</v>
      </c>
      <c r="H6" s="256">
        <f t="shared" si="0"/>
        <v>7</v>
      </c>
      <c r="I6" s="256">
        <f t="shared" si="0"/>
        <v>8</v>
      </c>
      <c r="J6" s="256">
        <f t="shared" si="0"/>
        <v>9</v>
      </c>
      <c r="K6" s="256">
        <f t="shared" si="0"/>
        <v>10</v>
      </c>
      <c r="L6" s="256">
        <f t="shared" si="0"/>
        <v>11</v>
      </c>
      <c r="M6" s="256">
        <f t="shared" si="0"/>
        <v>12</v>
      </c>
      <c r="N6" s="256">
        <f t="shared" si="0"/>
        <v>13</v>
      </c>
      <c r="O6" s="256">
        <f t="shared" si="0"/>
        <v>14</v>
      </c>
      <c r="P6" s="256">
        <f t="shared" si="0"/>
        <v>15</v>
      </c>
      <c r="Q6" s="256">
        <f t="shared" si="0"/>
        <v>16</v>
      </c>
      <c r="R6" s="256">
        <f t="shared" si="0"/>
        <v>17</v>
      </c>
      <c r="S6" s="256">
        <f>R6+1</f>
        <v>18</v>
      </c>
      <c r="T6" s="256">
        <f>S6+1</f>
        <v>19</v>
      </c>
      <c r="U6" s="256">
        <f>T6+1</f>
        <v>20</v>
      </c>
    </row>
    <row r="7" spans="1:21" ht="13.5" thickBot="1">
      <c r="A7" s="257" t="s">
        <v>195</v>
      </c>
      <c r="B7" s="258"/>
      <c r="C7" s="258"/>
      <c r="D7" s="258"/>
      <c r="E7" s="258"/>
      <c r="F7" s="258"/>
      <c r="G7" s="258"/>
      <c r="H7" s="258"/>
      <c r="I7" s="258"/>
      <c r="J7" s="258"/>
      <c r="K7" s="258"/>
      <c r="L7" s="258"/>
      <c r="M7" s="258"/>
      <c r="N7" s="258"/>
      <c r="O7" s="258"/>
      <c r="P7" s="258"/>
      <c r="Q7" s="258"/>
      <c r="R7" s="258"/>
      <c r="S7" s="258"/>
      <c r="T7" s="258"/>
      <c r="U7" s="258"/>
    </row>
    <row r="8" spans="1:22" ht="12.75">
      <c r="A8" s="260" t="s">
        <v>199</v>
      </c>
      <c r="B8" s="259">
        <f>'Cost-Benefit Summary - COSDECs'!D33</f>
        <v>0</v>
      </c>
      <c r="C8" s="259">
        <f>'Cost-Benefit Summary - COSDECs'!E33</f>
        <v>0</v>
      </c>
      <c r="D8" s="259">
        <f>'Cost-Benefit Summary - COSDECs'!F33</f>
        <v>0</v>
      </c>
      <c r="E8" s="259">
        <f>'Cost-Benefit Summary - COSDECs'!G33</f>
        <v>0</v>
      </c>
      <c r="F8" s="259">
        <f>'Cost-Benefit Summary - COSDECs'!H33</f>
        <v>0</v>
      </c>
      <c r="G8" s="259">
        <f>'Cost-Benefit Summary - COSDECs'!I33</f>
        <v>25697133.117503807</v>
      </c>
      <c r="H8" s="259">
        <f>'Cost-Benefit Summary - COSDECs'!J33</f>
        <v>51394266.235007614</v>
      </c>
      <c r="I8" s="259">
        <f>'Cost-Benefit Summary - COSDECs'!K33</f>
        <v>77091399.35251142</v>
      </c>
      <c r="J8" s="259">
        <f>'Cost-Benefit Summary - COSDECs'!L33</f>
        <v>102788532.47001523</v>
      </c>
      <c r="K8" s="259">
        <f>'Cost-Benefit Summary - COSDECs'!M33</f>
        <v>128485665.58751903</v>
      </c>
      <c r="L8" s="259">
        <f>'Cost-Benefit Summary - COSDECs'!N33</f>
        <v>128485665.58751903</v>
      </c>
      <c r="M8" s="259">
        <f>'Cost-Benefit Summary - COSDECs'!O33</f>
        <v>128485665.58751903</v>
      </c>
      <c r="N8" s="259">
        <f>'Cost-Benefit Summary - COSDECs'!P33</f>
        <v>128485665.58751903</v>
      </c>
      <c r="O8" s="259">
        <f>'Cost-Benefit Summary - COSDECs'!Q33</f>
        <v>128485665.58751903</v>
      </c>
      <c r="P8" s="259">
        <f>'Cost-Benefit Summary - COSDECs'!R33</f>
        <v>128485665.58751903</v>
      </c>
      <c r="Q8" s="259">
        <f>'Cost-Benefit Summary - COSDECs'!S33</f>
        <v>128485665.58751903</v>
      </c>
      <c r="R8" s="259">
        <f>'Cost-Benefit Summary - COSDECs'!T33</f>
        <v>128485665.58751903</v>
      </c>
      <c r="S8" s="259">
        <f>'Cost-Benefit Summary - COSDECs'!U33</f>
        <v>128485665.58751903</v>
      </c>
      <c r="T8" s="259">
        <f>'Cost-Benefit Summary - COSDECs'!V33</f>
        <v>128485665.58751903</v>
      </c>
      <c r="U8" s="259">
        <f>'Cost-Benefit Summary - COSDECs'!W33</f>
        <v>128485665.58751903</v>
      </c>
      <c r="V8" s="259"/>
    </row>
    <row r="9" spans="1:21" ht="12.75">
      <c r="A9" s="260" t="s">
        <v>200</v>
      </c>
      <c r="B9" s="259">
        <f>'Cost-Benefit Summary - COSDECs'!D32</f>
        <v>0</v>
      </c>
      <c r="C9" s="259">
        <f>'Cost-Benefit Summary - COSDECs'!E32</f>
        <v>22853.591399999998</v>
      </c>
      <c r="D9" s="259">
        <f>'Cost-Benefit Summary - COSDECs'!F32</f>
        <v>2346984.3809</v>
      </c>
      <c r="E9" s="259">
        <f>'Cost-Benefit Summary - COSDECs'!G32</f>
        <v>8872775.801099999</v>
      </c>
      <c r="F9" s="259">
        <f>'Cost-Benefit Summary - COSDECs'!H32</f>
        <v>6415168.538142863</v>
      </c>
      <c r="G9" s="259">
        <f>'Cost-Benefit Summary - COSDECs'!I32</f>
        <v>12499646.203285726</v>
      </c>
      <c r="H9" s="259">
        <f>'Cost-Benefit Summary - COSDECs'!J32</f>
        <v>12499646.203285726</v>
      </c>
      <c r="I9" s="259">
        <f>'Cost-Benefit Summary - COSDECs'!K32</f>
        <v>18584123.868428588</v>
      </c>
      <c r="J9" s="259">
        <f>'Cost-Benefit Summary - COSDECs'!L32</f>
        <v>24668601.533571452</v>
      </c>
      <c r="K9" s="259">
        <f>'Cost-Benefit Summary - COSDECs'!M32</f>
        <v>30753079.198714316</v>
      </c>
      <c r="L9" s="259">
        <f>'Cost-Benefit Summary - COSDECs'!N32</f>
        <v>30753079.198714316</v>
      </c>
      <c r="M9" s="259">
        <f>'Cost-Benefit Summary - COSDECs'!O32</f>
        <v>30753079.198714316</v>
      </c>
      <c r="N9" s="259">
        <f>'Cost-Benefit Summary - COSDECs'!P32</f>
        <v>30753079.198714316</v>
      </c>
      <c r="O9" s="259">
        <f>'Cost-Benefit Summary - COSDECs'!Q32</f>
        <v>30753079.198714316</v>
      </c>
      <c r="P9" s="259">
        <f>'Cost-Benefit Summary - COSDECs'!R32</f>
        <v>30753079.198714316</v>
      </c>
      <c r="Q9" s="259">
        <f>'Cost-Benefit Summary - COSDECs'!S32</f>
        <v>30753079.198714316</v>
      </c>
      <c r="R9" s="259">
        <f>'Cost-Benefit Summary - COSDECs'!T32</f>
        <v>30753079.198714316</v>
      </c>
      <c r="S9" s="259">
        <f>'Cost-Benefit Summary - COSDECs'!U32</f>
        <v>30753079.198714316</v>
      </c>
      <c r="T9" s="259">
        <f>'Cost-Benefit Summary - COSDECs'!V32</f>
        <v>30753079.198714316</v>
      </c>
      <c r="U9" s="259">
        <f>'Cost-Benefit Summary - COSDECs'!W32</f>
        <v>30753079.198714316</v>
      </c>
    </row>
    <row r="10" spans="1:22" ht="12.75">
      <c r="A10" s="260" t="s">
        <v>207</v>
      </c>
      <c r="B10" s="259">
        <f>B8-B9</f>
        <v>0</v>
      </c>
      <c r="C10" s="259">
        <f aca="true" t="shared" si="1" ref="C10:U10">C8-C9</f>
        <v>-22853.591399999998</v>
      </c>
      <c r="D10" s="259">
        <f t="shared" si="1"/>
        <v>-2346984.3809</v>
      </c>
      <c r="E10" s="259">
        <f t="shared" si="1"/>
        <v>-8872775.801099999</v>
      </c>
      <c r="F10" s="259">
        <f t="shared" si="1"/>
        <v>-6415168.538142863</v>
      </c>
      <c r="G10" s="259">
        <f t="shared" si="1"/>
        <v>13197486.914218081</v>
      </c>
      <c r="H10" s="259">
        <f t="shared" si="1"/>
        <v>38894620.03172189</v>
      </c>
      <c r="I10" s="259">
        <f t="shared" si="1"/>
        <v>58507275.48408283</v>
      </c>
      <c r="J10" s="259">
        <f t="shared" si="1"/>
        <v>78119930.93644378</v>
      </c>
      <c r="K10" s="259">
        <f t="shared" si="1"/>
        <v>97732586.38880472</v>
      </c>
      <c r="L10" s="259">
        <f t="shared" si="1"/>
        <v>97732586.38880472</v>
      </c>
      <c r="M10" s="259">
        <f t="shared" si="1"/>
        <v>97732586.38880472</v>
      </c>
      <c r="N10" s="259">
        <f t="shared" si="1"/>
        <v>97732586.38880472</v>
      </c>
      <c r="O10" s="259">
        <f t="shared" si="1"/>
        <v>97732586.38880472</v>
      </c>
      <c r="P10" s="259">
        <f t="shared" si="1"/>
        <v>97732586.38880472</v>
      </c>
      <c r="Q10" s="259">
        <f t="shared" si="1"/>
        <v>97732586.38880472</v>
      </c>
      <c r="R10" s="259">
        <f t="shared" si="1"/>
        <v>97732586.38880472</v>
      </c>
      <c r="S10" s="259">
        <f t="shared" si="1"/>
        <v>97732586.38880472</v>
      </c>
      <c r="T10" s="259">
        <f t="shared" si="1"/>
        <v>97732586.38880472</v>
      </c>
      <c r="U10" s="259">
        <f t="shared" si="1"/>
        <v>97732586.38880472</v>
      </c>
      <c r="V10" s="261"/>
    </row>
    <row r="11" spans="2:21" ht="12.75">
      <c r="B11" s="259"/>
      <c r="C11" s="259"/>
      <c r="D11" s="259"/>
      <c r="E11" s="259"/>
      <c r="F11" s="259"/>
      <c r="G11" s="259"/>
      <c r="H11" s="259"/>
      <c r="I11" s="259"/>
      <c r="J11" s="259"/>
      <c r="K11" s="259"/>
      <c r="L11" s="259"/>
      <c r="M11" s="259"/>
      <c r="N11" s="259"/>
      <c r="O11" s="259"/>
      <c r="P11" s="259"/>
      <c r="Q11" s="259"/>
      <c r="R11" s="259"/>
      <c r="S11" s="259"/>
      <c r="T11" s="259"/>
      <c r="U11" s="259"/>
    </row>
    <row r="12" spans="1:21" ht="12.75">
      <c r="A12" s="260" t="s">
        <v>201</v>
      </c>
      <c r="B12" s="259">
        <f>'Cost-Benefit Summary - NTF'!D16</f>
        <v>0</v>
      </c>
      <c r="C12" s="259">
        <f>'Cost-Benefit Summary - NTF'!E16</f>
        <v>0</v>
      </c>
      <c r="D12" s="259">
        <f>'Cost-Benefit Summary - NTF'!F16</f>
        <v>1916859.5715554915</v>
      </c>
      <c r="E12" s="259">
        <f>'Cost-Benefit Summary - NTF'!G16</f>
        <v>1920797.3551144777</v>
      </c>
      <c r="F12" s="259">
        <f>'Cost-Benefit Summary - NTF'!H16</f>
        <v>1924813.8943446437</v>
      </c>
      <c r="G12" s="259">
        <f>'Cost-Benefit Summary - NTF'!I16</f>
        <v>1928910.7643594127</v>
      </c>
      <c r="H12" s="259">
        <f>'Cost-Benefit Summary - NTF'!J16</f>
        <v>1933089.5717744771</v>
      </c>
      <c r="I12" s="259">
        <f>'Cost-Benefit Summary - NTF'!K16</f>
        <v>1937351.9553378439</v>
      </c>
      <c r="J12" s="259">
        <f>'Cost-Benefit Summary - NTF'!L16</f>
        <v>1941699.5865724767</v>
      </c>
      <c r="K12" s="259">
        <f>'Cost-Benefit Summary - NTF'!M16</f>
        <v>1946134.170431804</v>
      </c>
      <c r="L12" s="259">
        <f>'Cost-Benefit Summary - NTF'!N16</f>
        <v>1950657.445968316</v>
      </c>
      <c r="M12" s="259">
        <f>'Cost-Benefit Summary - NTF'!O16</f>
        <v>1955271.1870155586</v>
      </c>
      <c r="N12" s="259">
        <f>'Cost-Benefit Summary - NTF'!P16</f>
        <v>1959977.2028837465</v>
      </c>
      <c r="O12" s="259">
        <f>'Cost-Benefit Summary - NTF'!Q16</f>
        <v>1964777.3390692975</v>
      </c>
      <c r="P12" s="259">
        <f>'Cost-Benefit Summary - NTF'!R16</f>
        <v>1969673.477978561</v>
      </c>
      <c r="Q12" s="259">
        <f>'Cost-Benefit Summary - NTF'!S16</f>
        <v>1974667.5396660082</v>
      </c>
      <c r="R12" s="259">
        <f>'Cost-Benefit Summary - NTF'!T16</f>
        <v>1979761.4825872043</v>
      </c>
      <c r="S12" s="259">
        <f>'Cost-Benefit Summary - NTF'!U16</f>
        <v>1984957.3043668251</v>
      </c>
      <c r="T12" s="259">
        <f>'Cost-Benefit Summary - NTF'!V16</f>
        <v>1990257.0425820388</v>
      </c>
      <c r="U12" s="259">
        <f>'Cost-Benefit Summary - NTF'!W16</f>
        <v>1995662.7755615553</v>
      </c>
    </row>
    <row r="13" spans="1:21" ht="12.75">
      <c r="A13" s="260" t="s">
        <v>202</v>
      </c>
      <c r="B13" s="259">
        <f>'Cost-Benefit Summary - NTF'!D8</f>
        <v>1415156.4000000001</v>
      </c>
      <c r="C13" s="259">
        <f>'Cost-Benefit Summary - NTF'!E8</f>
        <v>5236078.68</v>
      </c>
      <c r="D13" s="259">
        <f>'Cost-Benefit Summary - NTF'!F8</f>
        <v>2405754.1199999996</v>
      </c>
      <c r="E13" s="259">
        <f>'Cost-Benefit Summary - NTF'!G8</f>
        <v>2688797.16</v>
      </c>
      <c r="F13" s="259">
        <f>'Cost-Benefit Summary - NTF'!H8</f>
        <v>0</v>
      </c>
      <c r="G13" s="259">
        <f>'Cost-Benefit Summary - NTF'!I8</f>
        <v>0</v>
      </c>
      <c r="H13" s="259">
        <f>'Cost-Benefit Summary - NTF'!J8</f>
        <v>0</v>
      </c>
      <c r="I13" s="259">
        <f>'Cost-Benefit Summary - NTF'!K8</f>
        <v>0</v>
      </c>
      <c r="J13" s="259">
        <f>'Cost-Benefit Summary - NTF'!L8</f>
        <v>0</v>
      </c>
      <c r="K13" s="259">
        <f>'Cost-Benefit Summary - NTF'!M8</f>
        <v>0</v>
      </c>
      <c r="L13" s="259">
        <f>'Cost-Benefit Summary - NTF'!N8</f>
        <v>0</v>
      </c>
      <c r="M13" s="259">
        <f>'Cost-Benefit Summary - NTF'!O8</f>
        <v>0</v>
      </c>
      <c r="N13" s="259">
        <f>'Cost-Benefit Summary - NTF'!P8</f>
        <v>0</v>
      </c>
      <c r="O13" s="259">
        <f>'Cost-Benefit Summary - NTF'!Q8</f>
        <v>0</v>
      </c>
      <c r="P13" s="259">
        <f>'Cost-Benefit Summary - NTF'!R8</f>
        <v>0</v>
      </c>
      <c r="Q13" s="259">
        <f>'Cost-Benefit Summary - NTF'!S8</f>
        <v>0</v>
      </c>
      <c r="R13" s="259">
        <f>'Cost-Benefit Summary - NTF'!T8</f>
        <v>0</v>
      </c>
      <c r="S13" s="259">
        <f>'Cost-Benefit Summary - NTF'!U8</f>
        <v>0</v>
      </c>
      <c r="T13" s="259">
        <f>'Cost-Benefit Summary - NTF'!V8</f>
        <v>0</v>
      </c>
      <c r="U13" s="259">
        <f>'Cost-Benefit Summary - NTF'!W8</f>
        <v>0</v>
      </c>
    </row>
    <row r="14" spans="1:22" ht="12.75">
      <c r="A14" s="260" t="s">
        <v>208</v>
      </c>
      <c r="B14" s="259">
        <f>B12-B13</f>
        <v>-1415156.4000000001</v>
      </c>
      <c r="C14" s="259">
        <f aca="true" t="shared" si="2" ref="C14:U14">C12-C13</f>
        <v>-5236078.68</v>
      </c>
      <c r="D14" s="259">
        <f t="shared" si="2"/>
        <v>-488894.5484445081</v>
      </c>
      <c r="E14" s="259">
        <f t="shared" si="2"/>
        <v>-767999.8048855225</v>
      </c>
      <c r="F14" s="259">
        <f t="shared" si="2"/>
        <v>1924813.8943446437</v>
      </c>
      <c r="G14" s="259">
        <f t="shared" si="2"/>
        <v>1928910.7643594127</v>
      </c>
      <c r="H14" s="259">
        <f t="shared" si="2"/>
        <v>1933089.5717744771</v>
      </c>
      <c r="I14" s="259">
        <f t="shared" si="2"/>
        <v>1937351.9553378439</v>
      </c>
      <c r="J14" s="259">
        <f t="shared" si="2"/>
        <v>1941699.5865724767</v>
      </c>
      <c r="K14" s="259">
        <f t="shared" si="2"/>
        <v>1946134.170431804</v>
      </c>
      <c r="L14" s="259">
        <f t="shared" si="2"/>
        <v>1950657.445968316</v>
      </c>
      <c r="M14" s="259">
        <f t="shared" si="2"/>
        <v>1955271.1870155586</v>
      </c>
      <c r="N14" s="259">
        <f t="shared" si="2"/>
        <v>1959977.2028837465</v>
      </c>
      <c r="O14" s="259">
        <f t="shared" si="2"/>
        <v>1964777.3390692975</v>
      </c>
      <c r="P14" s="259">
        <f t="shared" si="2"/>
        <v>1969673.477978561</v>
      </c>
      <c r="Q14" s="259">
        <f t="shared" si="2"/>
        <v>1974667.5396660082</v>
      </c>
      <c r="R14" s="259">
        <f t="shared" si="2"/>
        <v>1979761.4825872043</v>
      </c>
      <c r="S14" s="259">
        <f t="shared" si="2"/>
        <v>1984957.3043668251</v>
      </c>
      <c r="T14" s="259">
        <f t="shared" si="2"/>
        <v>1990257.0425820388</v>
      </c>
      <c r="U14" s="259">
        <f t="shared" si="2"/>
        <v>1995662.7755615553</v>
      </c>
      <c r="V14" s="261"/>
    </row>
    <row r="15" spans="2:21" ht="12.75">
      <c r="B15" s="259"/>
      <c r="C15" s="259"/>
      <c r="D15" s="259"/>
      <c r="E15" s="259"/>
      <c r="F15" s="259"/>
      <c r="G15" s="259"/>
      <c r="H15" s="259"/>
      <c r="I15" s="259"/>
      <c r="J15" s="259"/>
      <c r="K15" s="259"/>
      <c r="L15" s="259"/>
      <c r="M15" s="259"/>
      <c r="N15" s="259"/>
      <c r="O15" s="259"/>
      <c r="P15" s="259"/>
      <c r="Q15" s="259"/>
      <c r="R15" s="259"/>
      <c r="S15" s="259"/>
      <c r="T15" s="259"/>
      <c r="U15" s="259"/>
    </row>
    <row r="16" spans="1:21" ht="12.75">
      <c r="A16" s="260" t="s">
        <v>203</v>
      </c>
      <c r="B16" s="259">
        <f>'Cost-Benefit Summary - VTGF'!D31</f>
        <v>0</v>
      </c>
      <c r="C16" s="259">
        <f>'Cost-Benefit Summary - VTGF'!E31</f>
        <v>0</v>
      </c>
      <c r="D16" s="259">
        <f>'Cost-Benefit Summary - VTGF'!F31</f>
        <v>3423320.501812791</v>
      </c>
      <c r="E16" s="259">
        <f>'Cost-Benefit Summary - VTGF'!G31</f>
        <v>22629482.27821702</v>
      </c>
      <c r="F16" s="259">
        <f>'Cost-Benefit Summary - VTGF'!H31</f>
        <v>61886521.279524736</v>
      </c>
      <c r="G16" s="259">
        <f>'Cost-Benefit Summary - VTGF'!I31</f>
        <v>0</v>
      </c>
      <c r="H16" s="259">
        <f>'Cost-Benefit Summary - VTGF'!J31</f>
        <v>0</v>
      </c>
      <c r="I16" s="259">
        <f>'Cost-Benefit Summary - VTGF'!K31</f>
        <v>0</v>
      </c>
      <c r="J16" s="259">
        <f>'Cost-Benefit Summary - VTGF'!L31</f>
        <v>0</v>
      </c>
      <c r="K16" s="259">
        <f>'Cost-Benefit Summary - VTGF'!M31</f>
        <v>0</v>
      </c>
      <c r="L16" s="259">
        <f>'Cost-Benefit Summary - VTGF'!N31</f>
        <v>0</v>
      </c>
      <c r="M16" s="259">
        <f>'Cost-Benefit Summary - VTGF'!O31</f>
        <v>0</v>
      </c>
      <c r="N16" s="259">
        <f>'Cost-Benefit Summary - VTGF'!P31</f>
        <v>0</v>
      </c>
      <c r="O16" s="259">
        <f>'Cost-Benefit Summary - VTGF'!Q31</f>
        <v>0</v>
      </c>
      <c r="P16" s="259">
        <f>'Cost-Benefit Summary - VTGF'!R31</f>
        <v>0</v>
      </c>
      <c r="Q16" s="259">
        <f>'Cost-Benefit Summary - VTGF'!S31</f>
        <v>0</v>
      </c>
      <c r="R16" s="259">
        <f>'Cost-Benefit Summary - VTGF'!T31</f>
        <v>0</v>
      </c>
      <c r="S16" s="259">
        <f>'Cost-Benefit Summary - VTGF'!U31</f>
        <v>0</v>
      </c>
      <c r="T16" s="259">
        <f>'Cost-Benefit Summary - VTGF'!V31</f>
        <v>0</v>
      </c>
      <c r="U16" s="259">
        <f>'Cost-Benefit Summary - VTGF'!W31</f>
        <v>0</v>
      </c>
    </row>
    <row r="17" spans="1:21" ht="12.75">
      <c r="A17" s="260" t="s">
        <v>204</v>
      </c>
      <c r="B17" s="259">
        <f>'Cost-Benefit Summary - VTGF'!D30</f>
        <v>0</v>
      </c>
      <c r="C17" s="259">
        <f>'Cost-Benefit Summary - VTGF'!E30</f>
        <v>16380000</v>
      </c>
      <c r="D17" s="259">
        <f>'Cost-Benefit Summary - VTGF'!F30</f>
        <v>17062500</v>
      </c>
      <c r="E17" s="259">
        <f>'Cost-Benefit Summary - VTGF'!G30</f>
        <v>17745000</v>
      </c>
      <c r="F17" s="259">
        <f>'Cost-Benefit Summary - VTGF'!H30</f>
        <v>18427500</v>
      </c>
      <c r="G17" s="259">
        <f>'Cost-Benefit Summary - VTGF'!I30</f>
        <v>0</v>
      </c>
      <c r="H17" s="259">
        <f>'Cost-Benefit Summary - VTGF'!J30</f>
        <v>0</v>
      </c>
      <c r="I17" s="259">
        <f>'Cost-Benefit Summary - VTGF'!K30</f>
        <v>0</v>
      </c>
      <c r="J17" s="259">
        <f>'Cost-Benefit Summary - VTGF'!L30</f>
        <v>0</v>
      </c>
      <c r="K17" s="259">
        <f>'Cost-Benefit Summary - VTGF'!M30</f>
        <v>0</v>
      </c>
      <c r="L17" s="259">
        <f>'Cost-Benefit Summary - VTGF'!N30</f>
        <v>0</v>
      </c>
      <c r="M17" s="259">
        <f>'Cost-Benefit Summary - VTGF'!O30</f>
        <v>0</v>
      </c>
      <c r="N17" s="259">
        <f>'Cost-Benefit Summary - VTGF'!P30</f>
        <v>0</v>
      </c>
      <c r="O17" s="259">
        <f>'Cost-Benefit Summary - VTGF'!Q30</f>
        <v>0</v>
      </c>
      <c r="P17" s="259">
        <f>'Cost-Benefit Summary - VTGF'!R30</f>
        <v>0</v>
      </c>
      <c r="Q17" s="259">
        <f>'Cost-Benefit Summary - VTGF'!S30</f>
        <v>0</v>
      </c>
      <c r="R17" s="259">
        <f>'Cost-Benefit Summary - VTGF'!T30</f>
        <v>0</v>
      </c>
      <c r="S17" s="259">
        <f>'Cost-Benefit Summary - VTGF'!U30</f>
        <v>0</v>
      </c>
      <c r="T17" s="259">
        <f>'Cost-Benefit Summary - VTGF'!V30</f>
        <v>0</v>
      </c>
      <c r="U17" s="259">
        <f>'Cost-Benefit Summary - VTGF'!W30</f>
        <v>0</v>
      </c>
    </row>
    <row r="18" spans="1:22" ht="12.75">
      <c r="A18" s="260" t="s">
        <v>206</v>
      </c>
      <c r="B18" s="259">
        <f>B16-B17</f>
        <v>0</v>
      </c>
      <c r="C18" s="259">
        <f aca="true" t="shared" si="3" ref="C18:U18">C16-C17</f>
        <v>-16380000</v>
      </c>
      <c r="D18" s="259">
        <f t="shared" si="3"/>
        <v>-13639179.498187209</v>
      </c>
      <c r="E18" s="259">
        <f t="shared" si="3"/>
        <v>4884482.278217021</v>
      </c>
      <c r="F18" s="259">
        <f t="shared" si="3"/>
        <v>43459021.279524736</v>
      </c>
      <c r="G18" s="259">
        <f t="shared" si="3"/>
        <v>0</v>
      </c>
      <c r="H18" s="259">
        <f t="shared" si="3"/>
        <v>0</v>
      </c>
      <c r="I18" s="259">
        <f t="shared" si="3"/>
        <v>0</v>
      </c>
      <c r="J18" s="259">
        <f t="shared" si="3"/>
        <v>0</v>
      </c>
      <c r="K18" s="259">
        <f t="shared" si="3"/>
        <v>0</v>
      </c>
      <c r="L18" s="259">
        <f t="shared" si="3"/>
        <v>0</v>
      </c>
      <c r="M18" s="259">
        <f t="shared" si="3"/>
        <v>0</v>
      </c>
      <c r="N18" s="259">
        <f t="shared" si="3"/>
        <v>0</v>
      </c>
      <c r="O18" s="259">
        <f t="shared" si="3"/>
        <v>0</v>
      </c>
      <c r="P18" s="259">
        <f t="shared" si="3"/>
        <v>0</v>
      </c>
      <c r="Q18" s="259">
        <f t="shared" si="3"/>
        <v>0</v>
      </c>
      <c r="R18" s="259">
        <f t="shared" si="3"/>
        <v>0</v>
      </c>
      <c r="S18" s="259">
        <f t="shared" si="3"/>
        <v>0</v>
      </c>
      <c r="T18" s="259">
        <f t="shared" si="3"/>
        <v>0</v>
      </c>
      <c r="U18" s="259">
        <f t="shared" si="3"/>
        <v>0</v>
      </c>
      <c r="V18" s="261"/>
    </row>
    <row r="19" spans="1:22" ht="12.75">
      <c r="A19" s="260"/>
      <c r="B19" s="259"/>
      <c r="C19" s="259"/>
      <c r="D19" s="259"/>
      <c r="E19" s="259"/>
      <c r="F19" s="259"/>
      <c r="G19" s="259"/>
      <c r="H19" s="259"/>
      <c r="I19" s="259"/>
      <c r="J19" s="259"/>
      <c r="K19" s="259"/>
      <c r="L19" s="259"/>
      <c r="M19" s="259"/>
      <c r="N19" s="259"/>
      <c r="O19" s="259"/>
      <c r="P19" s="259"/>
      <c r="Q19" s="259"/>
      <c r="R19" s="259"/>
      <c r="S19" s="259"/>
      <c r="T19" s="259"/>
      <c r="U19" s="259"/>
      <c r="V19" s="261"/>
    </row>
    <row r="20" spans="1:22" ht="12.75">
      <c r="A20" s="260" t="s">
        <v>209</v>
      </c>
      <c r="B20" s="259">
        <f>B16+B12+B8</f>
        <v>0</v>
      </c>
      <c r="C20" s="259">
        <f aca="true" t="shared" si="4" ref="C20:U20">C16+C12+C8</f>
        <v>0</v>
      </c>
      <c r="D20" s="259">
        <f t="shared" si="4"/>
        <v>5340180.073368283</v>
      </c>
      <c r="E20" s="259">
        <f t="shared" si="4"/>
        <v>24550279.6333315</v>
      </c>
      <c r="F20" s="259">
        <f t="shared" si="4"/>
        <v>63811335.17386938</v>
      </c>
      <c r="G20" s="259">
        <f t="shared" si="4"/>
        <v>27626043.88186322</v>
      </c>
      <c r="H20" s="259">
        <f t="shared" si="4"/>
        <v>53327355.80678209</v>
      </c>
      <c r="I20" s="259">
        <f t="shared" si="4"/>
        <v>79028751.30784926</v>
      </c>
      <c r="J20" s="259">
        <f t="shared" si="4"/>
        <v>104730232.05658771</v>
      </c>
      <c r="K20" s="259">
        <f t="shared" si="4"/>
        <v>130431799.75795084</v>
      </c>
      <c r="L20" s="259">
        <f t="shared" si="4"/>
        <v>130436323.03348735</v>
      </c>
      <c r="M20" s="259">
        <f t="shared" si="4"/>
        <v>130440936.7745346</v>
      </c>
      <c r="N20" s="259">
        <f t="shared" si="4"/>
        <v>130445642.79040278</v>
      </c>
      <c r="O20" s="259">
        <f t="shared" si="4"/>
        <v>130450442.92658833</v>
      </c>
      <c r="P20" s="259">
        <f t="shared" si="4"/>
        <v>130455339.06549759</v>
      </c>
      <c r="Q20" s="259">
        <f t="shared" si="4"/>
        <v>130460333.12718505</v>
      </c>
      <c r="R20" s="259">
        <f t="shared" si="4"/>
        <v>130465427.07010624</v>
      </c>
      <c r="S20" s="259">
        <f t="shared" si="4"/>
        <v>130470622.89188586</v>
      </c>
      <c r="T20" s="259">
        <f t="shared" si="4"/>
        <v>130475922.63010107</v>
      </c>
      <c r="U20" s="259">
        <f t="shared" si="4"/>
        <v>130481328.36308059</v>
      </c>
      <c r="V20" s="261"/>
    </row>
    <row r="21" spans="1:22" ht="12.75">
      <c r="A21" s="260" t="s">
        <v>210</v>
      </c>
      <c r="B21" s="259">
        <f>B17+B13+B9</f>
        <v>1415156.4000000001</v>
      </c>
      <c r="C21" s="259">
        <f aca="true" t="shared" si="5" ref="C21:U21">C17+C13+C9</f>
        <v>21638932.2714</v>
      </c>
      <c r="D21" s="259">
        <f t="shared" si="5"/>
        <v>21815238.5009</v>
      </c>
      <c r="E21" s="259">
        <f t="shared" si="5"/>
        <v>29306572.961099997</v>
      </c>
      <c r="F21" s="259">
        <f t="shared" si="5"/>
        <v>24842668.538142864</v>
      </c>
      <c r="G21" s="259">
        <f t="shared" si="5"/>
        <v>12499646.203285726</v>
      </c>
      <c r="H21" s="259">
        <f t="shared" si="5"/>
        <v>12499646.203285726</v>
      </c>
      <c r="I21" s="259">
        <f t="shared" si="5"/>
        <v>18584123.868428588</v>
      </c>
      <c r="J21" s="259">
        <f t="shared" si="5"/>
        <v>24668601.533571452</v>
      </c>
      <c r="K21" s="259">
        <f t="shared" si="5"/>
        <v>30753079.198714316</v>
      </c>
      <c r="L21" s="259">
        <f t="shared" si="5"/>
        <v>30753079.198714316</v>
      </c>
      <c r="M21" s="259">
        <f t="shared" si="5"/>
        <v>30753079.198714316</v>
      </c>
      <c r="N21" s="259">
        <f t="shared" si="5"/>
        <v>30753079.198714316</v>
      </c>
      <c r="O21" s="259">
        <f t="shared" si="5"/>
        <v>30753079.198714316</v>
      </c>
      <c r="P21" s="259">
        <f t="shared" si="5"/>
        <v>30753079.198714316</v>
      </c>
      <c r="Q21" s="259">
        <f t="shared" si="5"/>
        <v>30753079.198714316</v>
      </c>
      <c r="R21" s="259">
        <f t="shared" si="5"/>
        <v>30753079.198714316</v>
      </c>
      <c r="S21" s="259">
        <f t="shared" si="5"/>
        <v>30753079.198714316</v>
      </c>
      <c r="T21" s="259">
        <f t="shared" si="5"/>
        <v>30753079.198714316</v>
      </c>
      <c r="U21" s="259">
        <f t="shared" si="5"/>
        <v>30753079.198714316</v>
      </c>
      <c r="V21" s="261"/>
    </row>
    <row r="22" spans="1:22" ht="12.75">
      <c r="A22" s="260" t="s">
        <v>211</v>
      </c>
      <c r="B22" s="259">
        <f>B18+B14+B10</f>
        <v>-1415156.4000000001</v>
      </c>
      <c r="C22" s="259">
        <f aca="true" t="shared" si="6" ref="C22:U22">C18+C14+C10</f>
        <v>-21638932.2714</v>
      </c>
      <c r="D22" s="259">
        <f t="shared" si="6"/>
        <v>-16475058.427531715</v>
      </c>
      <c r="E22" s="259">
        <f t="shared" si="6"/>
        <v>-4756293.3277685</v>
      </c>
      <c r="F22" s="259">
        <f t="shared" si="6"/>
        <v>38968666.63572652</v>
      </c>
      <c r="G22" s="259">
        <f t="shared" si="6"/>
        <v>15126397.678577494</v>
      </c>
      <c r="H22" s="259">
        <f t="shared" si="6"/>
        <v>40827709.603496365</v>
      </c>
      <c r="I22" s="259">
        <f t="shared" si="6"/>
        <v>60444627.43942068</v>
      </c>
      <c r="J22" s="259">
        <f t="shared" si="6"/>
        <v>80061630.52301626</v>
      </c>
      <c r="K22" s="259">
        <f t="shared" si="6"/>
        <v>99678720.55923653</v>
      </c>
      <c r="L22" s="259">
        <f t="shared" si="6"/>
        <v>99683243.83477303</v>
      </c>
      <c r="M22" s="259">
        <f t="shared" si="6"/>
        <v>99687857.57582028</v>
      </c>
      <c r="N22" s="259">
        <f t="shared" si="6"/>
        <v>99692563.59168847</v>
      </c>
      <c r="O22" s="259">
        <f t="shared" si="6"/>
        <v>99697363.72787401</v>
      </c>
      <c r="P22" s="259">
        <f t="shared" si="6"/>
        <v>99702259.86678328</v>
      </c>
      <c r="Q22" s="259">
        <f t="shared" si="6"/>
        <v>99707253.92847073</v>
      </c>
      <c r="R22" s="259">
        <f t="shared" si="6"/>
        <v>99712347.87139192</v>
      </c>
      <c r="S22" s="259">
        <f t="shared" si="6"/>
        <v>99717543.69317155</v>
      </c>
      <c r="T22" s="259">
        <f t="shared" si="6"/>
        <v>99722843.43138675</v>
      </c>
      <c r="U22" s="259">
        <f t="shared" si="6"/>
        <v>99728249.16436628</v>
      </c>
      <c r="V22" s="261"/>
    </row>
    <row r="23" spans="2:21" ht="12.75">
      <c r="B23" s="259"/>
      <c r="C23" s="259"/>
      <c r="D23" s="259"/>
      <c r="E23" s="259"/>
      <c r="F23" s="259"/>
      <c r="G23" s="259"/>
      <c r="H23" s="259"/>
      <c r="I23" s="259"/>
      <c r="J23" s="259"/>
      <c r="K23" s="259"/>
      <c r="L23" s="259"/>
      <c r="M23" s="259"/>
      <c r="N23" s="259"/>
      <c r="O23" s="259"/>
      <c r="P23" s="259"/>
      <c r="Q23" s="259"/>
      <c r="R23" s="259"/>
      <c r="S23" s="259"/>
      <c r="T23" s="259"/>
      <c r="U23" s="259"/>
    </row>
    <row r="24" spans="1:2" ht="15">
      <c r="A24" s="250" t="s">
        <v>205</v>
      </c>
      <c r="B24" s="263">
        <f>IRR(B22:U22)</f>
        <v>0.531438841988481</v>
      </c>
    </row>
    <row r="25" ht="12.75">
      <c r="B25" s="260"/>
    </row>
    <row r="26" spans="2:6" ht="15">
      <c r="B26" s="260"/>
      <c r="F26" s="256"/>
    </row>
    <row r="27" spans="1:2" ht="15">
      <c r="A27" s="256" t="s">
        <v>196</v>
      </c>
      <c r="B27" s="264">
        <f>NPV(0.1,B22:U22)</f>
        <v>355663813.1654215</v>
      </c>
    </row>
    <row r="28" spans="1:3" ht="15">
      <c r="A28" s="250" t="s">
        <v>197</v>
      </c>
      <c r="B28" s="264">
        <f>NPV(0.1,B20:U20)</f>
        <v>543978101.1819947</v>
      </c>
      <c r="C28" s="262"/>
    </row>
    <row r="29" spans="1:2" ht="15">
      <c r="A29" s="250" t="s">
        <v>198</v>
      </c>
      <c r="B29" s="264">
        <f>NPV(0.1,B21:U21)</f>
        <v>188314288.01657325</v>
      </c>
    </row>
  </sheetData>
  <sheetProtection/>
  <mergeCells count="1">
    <mergeCell ref="I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tabColor theme="3" tint="0.39998000860214233"/>
  </sheetPr>
  <dimension ref="B1:AG49"/>
  <sheetViews>
    <sheetView showGridLines="0" zoomScale="65" zoomScaleNormal="65" zoomScalePageLayoutView="0" workbookViewId="0" topLeftCell="A4">
      <selection activeCell="B28" sqref="B28"/>
    </sheetView>
  </sheetViews>
  <sheetFormatPr defaultColWidth="9.140625" defaultRowHeight="12.75"/>
  <cols>
    <col min="1" max="1" width="5.7109375" style="1" customWidth="1"/>
    <col min="2" max="2" width="62.7109375" style="2" bestFit="1" customWidth="1"/>
    <col min="3" max="3" width="18.140625" style="1" bestFit="1" customWidth="1"/>
    <col min="4" max="4" width="15.57421875" style="2" bestFit="1" customWidth="1"/>
    <col min="5" max="6" width="16.57421875" style="1" bestFit="1" customWidth="1"/>
    <col min="7" max="7" width="19.140625" style="1" bestFit="1" customWidth="1"/>
    <col min="8" max="23" width="17.28125" style="1" bestFit="1" customWidth="1"/>
    <col min="24" max="16384" width="9.140625" style="1" customWidth="1"/>
  </cols>
  <sheetData>
    <row r="1" spans="2:6" s="222" customFormat="1" ht="12.75" customHeight="1">
      <c r="B1" s="316" t="s">
        <v>150</v>
      </c>
      <c r="C1" s="316"/>
      <c r="D1" s="316"/>
      <c r="E1" s="316"/>
      <c r="F1" s="316"/>
    </row>
    <row r="2" spans="2:6" s="222" customFormat="1" ht="12.75" customHeight="1">
      <c r="B2" s="316"/>
      <c r="C2" s="316"/>
      <c r="D2" s="316"/>
      <c r="E2" s="316"/>
      <c r="F2" s="316"/>
    </row>
    <row r="3" spans="2:6" s="222" customFormat="1" ht="19.5" customHeight="1">
      <c r="B3" s="316"/>
      <c r="C3" s="316"/>
      <c r="D3" s="316"/>
      <c r="E3" s="316"/>
      <c r="F3" s="316"/>
    </row>
    <row r="4" spans="2:6" s="222" customFormat="1" ht="24" customHeight="1">
      <c r="B4" s="319" t="s">
        <v>171</v>
      </c>
      <c r="C4" s="319"/>
      <c r="D4" s="319"/>
      <c r="E4" s="319"/>
      <c r="F4" s="319"/>
    </row>
    <row r="6" ht="18">
      <c r="B6" s="2" t="s">
        <v>172</v>
      </c>
    </row>
    <row r="7" ht="18">
      <c r="B7" s="2" t="s">
        <v>0</v>
      </c>
    </row>
    <row r="8" spans="2:7" ht="18">
      <c r="B8" s="348">
        <f>IF('ERR &amp; Sensitivity Analysis'!D17="N","NOTE: Current calculations are based on USER INPUT and are not the original MCC estimates.",IF('ERR &amp; Sensitivity Analysis'!G17="N","NOTE: Current calculations are based on USER INPUT and are not the original MCC estimates.",""))</f>
      </c>
      <c r="C8" s="348"/>
      <c r="D8" s="348"/>
      <c r="E8" s="348"/>
      <c r="F8" s="348"/>
      <c r="G8" s="348"/>
    </row>
    <row r="9" spans="2:7" ht="18">
      <c r="B9" s="209" t="s">
        <v>192</v>
      </c>
      <c r="C9" s="233"/>
      <c r="D9" s="233"/>
      <c r="E9" s="233"/>
      <c r="F9" s="233"/>
      <c r="G9" s="233"/>
    </row>
    <row r="10" spans="2:23" ht="18">
      <c r="B10" s="3"/>
      <c r="C10" s="4" t="s">
        <v>13</v>
      </c>
      <c r="D10" s="5"/>
      <c r="E10" s="6"/>
      <c r="F10" s="6"/>
      <c r="G10" s="6"/>
      <c r="H10" s="6"/>
      <c r="I10" s="6"/>
      <c r="J10" s="6"/>
      <c r="K10" s="6"/>
      <c r="L10" s="6"/>
      <c r="M10" s="6"/>
      <c r="N10" s="6"/>
      <c r="O10" s="6"/>
      <c r="P10" s="6"/>
      <c r="Q10" s="6"/>
      <c r="R10" s="6"/>
      <c r="S10" s="6"/>
      <c r="T10" s="6"/>
      <c r="U10" s="6"/>
      <c r="V10" s="6"/>
      <c r="W10" s="6"/>
    </row>
    <row r="11" spans="2:4" ht="18">
      <c r="B11" s="18" t="s">
        <v>36</v>
      </c>
      <c r="C11" s="21">
        <v>7</v>
      </c>
      <c r="D11" s="1"/>
    </row>
    <row r="12" spans="2:4" ht="21">
      <c r="B12" s="7" t="s">
        <v>28</v>
      </c>
      <c r="C12" s="29">
        <v>23101.69</v>
      </c>
      <c r="D12" s="1"/>
    </row>
    <row r="13" spans="2:23" ht="21">
      <c r="B13" s="7" t="s">
        <v>29</v>
      </c>
      <c r="C13" s="29">
        <f>+(C37+C38)/2*C11*1.1</f>
        <v>33073.972932462006</v>
      </c>
      <c r="D13" s="6"/>
      <c r="E13" s="6"/>
      <c r="F13" s="6"/>
      <c r="G13" s="6"/>
      <c r="H13" s="6"/>
      <c r="I13" s="6"/>
      <c r="J13" s="6"/>
      <c r="K13" s="6"/>
      <c r="L13" s="6"/>
      <c r="M13" s="6"/>
      <c r="N13" s="6"/>
      <c r="O13" s="6"/>
      <c r="P13" s="6"/>
      <c r="Q13" s="6"/>
      <c r="R13" s="6"/>
      <c r="S13" s="6"/>
      <c r="T13" s="6"/>
      <c r="U13" s="6"/>
      <c r="V13" s="6"/>
      <c r="W13" s="6"/>
    </row>
    <row r="14" spans="2:23" ht="21">
      <c r="B14" s="7" t="s">
        <v>30</v>
      </c>
      <c r="C14" s="9">
        <f>+C17*89%</f>
        <v>0.7120000000000001</v>
      </c>
      <c r="D14" s="5"/>
      <c r="E14" s="6"/>
      <c r="F14" s="6"/>
      <c r="G14" s="6"/>
      <c r="H14" s="6"/>
      <c r="I14" s="6"/>
      <c r="J14" s="6"/>
      <c r="K14" s="6"/>
      <c r="L14" s="6"/>
      <c r="M14" s="6"/>
      <c r="N14" s="6"/>
      <c r="O14" s="6"/>
      <c r="P14" s="6"/>
      <c r="Q14" s="6"/>
      <c r="R14" s="6"/>
      <c r="S14" s="6"/>
      <c r="T14" s="6"/>
      <c r="U14" s="6"/>
      <c r="V14" s="6"/>
      <c r="W14" s="6"/>
    </row>
    <row r="15" spans="2:23" ht="21">
      <c r="B15" s="7" t="s">
        <v>31</v>
      </c>
      <c r="C15" s="9">
        <v>0.57</v>
      </c>
      <c r="D15" s="5"/>
      <c r="E15" s="6"/>
      <c r="F15" s="6"/>
      <c r="G15" s="6"/>
      <c r="H15" s="6"/>
      <c r="I15" s="6"/>
      <c r="J15" s="6"/>
      <c r="K15" s="6"/>
      <c r="L15" s="6"/>
      <c r="M15" s="6"/>
      <c r="N15" s="6"/>
      <c r="O15" s="6"/>
      <c r="P15" s="6"/>
      <c r="Q15" s="6"/>
      <c r="R15" s="6"/>
      <c r="S15" s="6"/>
      <c r="T15" s="6"/>
      <c r="U15" s="6"/>
      <c r="V15" s="6"/>
      <c r="W15" s="6"/>
    </row>
    <row r="16" spans="2:23" ht="18">
      <c r="B16" s="7" t="s">
        <v>10</v>
      </c>
      <c r="C16" s="8">
        <f>+C12*0.7</f>
        <v>16171.182999999997</v>
      </c>
      <c r="D16" s="5"/>
      <c r="E16" s="6"/>
      <c r="F16" s="6"/>
      <c r="G16" s="6"/>
      <c r="H16" s="6"/>
      <c r="I16" s="6"/>
      <c r="J16" s="6"/>
      <c r="K16" s="6"/>
      <c r="L16" s="6"/>
      <c r="M16" s="6"/>
      <c r="N16" s="6"/>
      <c r="O16" s="6"/>
      <c r="P16" s="6"/>
      <c r="Q16" s="6"/>
      <c r="R16" s="6"/>
      <c r="S16" s="6"/>
      <c r="T16" s="6"/>
      <c r="U16" s="6"/>
      <c r="V16" s="6"/>
      <c r="W16" s="6"/>
    </row>
    <row r="17" spans="2:23" ht="18">
      <c r="B17" s="78" t="s">
        <v>23</v>
      </c>
      <c r="C17" s="79">
        <f>'ERR &amp; Sensitivity Analysis'!G23</f>
        <v>0.8</v>
      </c>
      <c r="D17" s="5"/>
      <c r="E17" s="6"/>
      <c r="F17" s="6"/>
      <c r="G17" s="6"/>
      <c r="H17" s="6"/>
      <c r="I17" s="6"/>
      <c r="J17" s="6"/>
      <c r="K17" s="6"/>
      <c r="L17" s="6"/>
      <c r="M17" s="6"/>
      <c r="N17" s="6"/>
      <c r="O17" s="6"/>
      <c r="P17" s="6"/>
      <c r="Q17" s="6"/>
      <c r="R17" s="6"/>
      <c r="S17" s="6"/>
      <c r="T17" s="6"/>
      <c r="U17" s="6"/>
      <c r="V17" s="6"/>
      <c r="W17" s="6"/>
    </row>
    <row r="18" spans="2:23" ht="18">
      <c r="B18" s="7" t="s">
        <v>11</v>
      </c>
      <c r="C18" s="8">
        <f>+C13*(1-C15)+C16*C15</f>
        <v>23439.382670958665</v>
      </c>
      <c r="D18" s="5"/>
      <c r="E18" s="6"/>
      <c r="F18" s="6"/>
      <c r="G18" s="6"/>
      <c r="H18" s="6"/>
      <c r="I18" s="6"/>
      <c r="J18" s="6"/>
      <c r="K18" s="6"/>
      <c r="L18" s="6"/>
      <c r="M18" s="6"/>
      <c r="N18" s="6"/>
      <c r="O18" s="6"/>
      <c r="P18" s="6"/>
      <c r="Q18" s="6"/>
      <c r="R18" s="6"/>
      <c r="S18" s="6"/>
      <c r="T18" s="6"/>
      <c r="U18" s="6"/>
      <c r="V18" s="6"/>
      <c r="W18" s="6"/>
    </row>
    <row r="19" spans="2:23" ht="18">
      <c r="B19" s="7" t="s">
        <v>12</v>
      </c>
      <c r="C19" s="8">
        <f>+C12*(1-C14)+C14*C16</f>
        <v>18167.169016</v>
      </c>
      <c r="D19" s="5"/>
      <c r="E19" s="6"/>
      <c r="F19" s="6"/>
      <c r="G19" s="6"/>
      <c r="H19" s="6"/>
      <c r="I19" s="6"/>
      <c r="J19" s="6"/>
      <c r="K19" s="6"/>
      <c r="L19" s="6"/>
      <c r="M19" s="6"/>
      <c r="N19" s="6"/>
      <c r="O19" s="6"/>
      <c r="P19" s="6"/>
      <c r="Q19" s="6"/>
      <c r="R19" s="6"/>
      <c r="S19" s="6"/>
      <c r="T19" s="6"/>
      <c r="U19" s="6"/>
      <c r="V19" s="6"/>
      <c r="W19" s="6"/>
    </row>
    <row r="20" spans="2:23" ht="18">
      <c r="B20" s="7" t="s">
        <v>26</v>
      </c>
      <c r="C20" s="10">
        <f>(C18-C19)/C19</f>
        <v>0.2902055708468048</v>
      </c>
      <c r="D20" s="5"/>
      <c r="E20" s="6"/>
      <c r="F20" s="6"/>
      <c r="G20" s="6"/>
      <c r="H20" s="6"/>
      <c r="I20" s="6"/>
      <c r="J20" s="6"/>
      <c r="K20" s="6"/>
      <c r="L20" s="6"/>
      <c r="M20" s="6"/>
      <c r="N20" s="6"/>
      <c r="O20" s="6"/>
      <c r="P20" s="6"/>
      <c r="Q20" s="6"/>
      <c r="R20" s="6"/>
      <c r="S20" s="6"/>
      <c r="T20" s="6"/>
      <c r="U20" s="6"/>
      <c r="V20" s="6"/>
      <c r="W20" s="6"/>
    </row>
    <row r="21" spans="2:23" ht="18">
      <c r="B21" s="7" t="s">
        <v>14</v>
      </c>
      <c r="C21" s="8">
        <f>+(C18-C19)*C22</f>
        <v>4744.992289462799</v>
      </c>
      <c r="D21" s="5"/>
      <c r="E21" s="6"/>
      <c r="F21" s="6"/>
      <c r="G21" s="6"/>
      <c r="H21" s="6"/>
      <c r="I21" s="6"/>
      <c r="J21" s="6"/>
      <c r="K21" s="6"/>
      <c r="L21" s="6"/>
      <c r="M21" s="6"/>
      <c r="N21" s="6"/>
      <c r="O21" s="6"/>
      <c r="P21" s="6"/>
      <c r="Q21" s="6"/>
      <c r="R21" s="6"/>
      <c r="S21" s="6"/>
      <c r="T21" s="6"/>
      <c r="U21" s="6"/>
      <c r="V21" s="6"/>
      <c r="W21" s="6"/>
    </row>
    <row r="22" spans="2:23" ht="21" customHeight="1">
      <c r="B22" s="78" t="s">
        <v>80</v>
      </c>
      <c r="C22" s="80">
        <f>'ERR &amp; Sensitivity Analysis'!G24</f>
        <v>0.9</v>
      </c>
      <c r="D22" s="5"/>
      <c r="E22" s="6"/>
      <c r="F22" s="6"/>
      <c r="G22" s="6"/>
      <c r="H22" s="6"/>
      <c r="I22" s="6"/>
      <c r="J22" s="6"/>
      <c r="K22" s="6"/>
      <c r="L22" s="6"/>
      <c r="M22" s="6"/>
      <c r="N22" s="6"/>
      <c r="O22" s="6"/>
      <c r="P22" s="6"/>
      <c r="Q22" s="6"/>
      <c r="R22" s="6"/>
      <c r="S22" s="6"/>
      <c r="T22" s="6"/>
      <c r="U22" s="6"/>
      <c r="V22" s="6"/>
      <c r="W22" s="6"/>
    </row>
    <row r="23" spans="2:23" ht="27" customHeight="1">
      <c r="B23" s="7" t="s">
        <v>16</v>
      </c>
      <c r="C23" s="11">
        <f>+C41</f>
        <v>44458.70781575053</v>
      </c>
      <c r="D23" s="12"/>
      <c r="E23" s="13"/>
      <c r="F23" s="13"/>
      <c r="G23" s="13"/>
      <c r="H23" s="13"/>
      <c r="I23" s="13"/>
      <c r="J23" s="13"/>
      <c r="K23" s="13"/>
      <c r="L23" s="13"/>
      <c r="M23" s="13"/>
      <c r="N23" s="13"/>
      <c r="O23" s="13"/>
      <c r="P23" s="13"/>
      <c r="Q23" s="13"/>
      <c r="R23" s="13"/>
      <c r="S23" s="13"/>
      <c r="T23" s="13"/>
      <c r="U23" s="13"/>
      <c r="V23" s="13"/>
      <c r="W23" s="13"/>
    </row>
    <row r="24" spans="2:23" s="17" customFormat="1" ht="18">
      <c r="B24" s="14" t="s">
        <v>1</v>
      </c>
      <c r="C24" s="15" t="s">
        <v>67</v>
      </c>
      <c r="D24" s="16">
        <v>1</v>
      </c>
      <c r="E24" s="16">
        <v>2</v>
      </c>
      <c r="F24" s="16">
        <v>3</v>
      </c>
      <c r="G24" s="16">
        <v>4</v>
      </c>
      <c r="H24" s="16">
        <v>5</v>
      </c>
      <c r="I24" s="16">
        <v>6</v>
      </c>
      <c r="J24" s="16">
        <v>7</v>
      </c>
      <c r="K24" s="16">
        <v>8</v>
      </c>
      <c r="L24" s="16">
        <v>9</v>
      </c>
      <c r="M24" s="16">
        <v>10</v>
      </c>
      <c r="N24" s="16">
        <v>11</v>
      </c>
      <c r="O24" s="16">
        <v>12</v>
      </c>
      <c r="P24" s="16">
        <v>13</v>
      </c>
      <c r="Q24" s="16">
        <v>14</v>
      </c>
      <c r="R24" s="16">
        <v>15</v>
      </c>
      <c r="S24" s="16">
        <v>16</v>
      </c>
      <c r="T24" s="16">
        <v>17</v>
      </c>
      <c r="U24" s="16">
        <v>18</v>
      </c>
      <c r="V24" s="16">
        <v>19</v>
      </c>
      <c r="W24" s="4">
        <v>20</v>
      </c>
    </row>
    <row r="25" spans="2:23" ht="18">
      <c r="B25" s="18" t="s">
        <v>2</v>
      </c>
      <c r="C25" s="19">
        <f>18000000*C11</f>
        <v>126000000</v>
      </c>
      <c r="D25" s="19">
        <v>0</v>
      </c>
      <c r="E25" s="19">
        <v>20047.01</v>
      </c>
      <c r="F25" s="19">
        <v>1244583.36</v>
      </c>
      <c r="G25" s="19">
        <v>5349187.09</v>
      </c>
      <c r="H25" s="19">
        <v>0</v>
      </c>
      <c r="I25" s="20"/>
      <c r="J25" s="20"/>
      <c r="K25" s="20"/>
      <c r="L25" s="20"/>
      <c r="M25" s="20"/>
      <c r="N25" s="20"/>
      <c r="O25" s="20"/>
      <c r="P25" s="20"/>
      <c r="Q25" s="20"/>
      <c r="R25" s="20"/>
      <c r="S25" s="20"/>
      <c r="T25" s="20"/>
      <c r="U25" s="20"/>
      <c r="V25" s="20"/>
      <c r="W25" s="21"/>
    </row>
    <row r="26" spans="2:23" ht="24.75" customHeight="1">
      <c r="B26" s="22" t="s">
        <v>78</v>
      </c>
      <c r="C26" s="23"/>
      <c r="D26" s="8">
        <f>+D25</f>
        <v>0</v>
      </c>
      <c r="E26" s="8">
        <f>+D26+E25</f>
        <v>20047.01</v>
      </c>
      <c r="F26" s="8">
        <f>+E26+F25</f>
        <v>1264630.37</v>
      </c>
      <c r="G26" s="8">
        <f>+F26+G25</f>
        <v>6613817.46</v>
      </c>
      <c r="H26" s="8">
        <f>+G26+H25</f>
        <v>6613817.46</v>
      </c>
      <c r="I26" s="8">
        <f>+H26</f>
        <v>6613817.46</v>
      </c>
      <c r="J26" s="8">
        <f>+I26</f>
        <v>6613817.46</v>
      </c>
      <c r="K26" s="8">
        <f>+J26</f>
        <v>6613817.46</v>
      </c>
      <c r="L26" s="8">
        <f aca="true" t="shared" si="0" ref="L26:W26">+K26</f>
        <v>6613817.46</v>
      </c>
      <c r="M26" s="8">
        <f t="shared" si="0"/>
        <v>6613817.46</v>
      </c>
      <c r="N26" s="8">
        <f t="shared" si="0"/>
        <v>6613817.46</v>
      </c>
      <c r="O26" s="8">
        <f t="shared" si="0"/>
        <v>6613817.46</v>
      </c>
      <c r="P26" s="8">
        <f t="shared" si="0"/>
        <v>6613817.46</v>
      </c>
      <c r="Q26" s="8">
        <f t="shared" si="0"/>
        <v>6613817.46</v>
      </c>
      <c r="R26" s="8">
        <f t="shared" si="0"/>
        <v>6613817.46</v>
      </c>
      <c r="S26" s="8">
        <f t="shared" si="0"/>
        <v>6613817.46</v>
      </c>
      <c r="T26" s="8">
        <f t="shared" si="0"/>
        <v>6613817.46</v>
      </c>
      <c r="U26" s="8">
        <f t="shared" si="0"/>
        <v>6613817.46</v>
      </c>
      <c r="V26" s="8">
        <f t="shared" si="0"/>
        <v>6613817.46</v>
      </c>
      <c r="W26" s="29">
        <f t="shared" si="0"/>
        <v>6613817.46</v>
      </c>
    </row>
    <row r="27" spans="2:23" ht="24.75" customHeight="1">
      <c r="B27" s="7" t="s">
        <v>9</v>
      </c>
      <c r="C27" s="24">
        <v>10526.777967375196</v>
      </c>
      <c r="D27" s="8"/>
      <c r="E27" s="8"/>
      <c r="F27" s="8"/>
      <c r="G27" s="8"/>
      <c r="H27" s="8"/>
      <c r="I27" s="8"/>
      <c r="J27" s="8"/>
      <c r="K27" s="8"/>
      <c r="L27" s="8"/>
      <c r="M27" s="8"/>
      <c r="N27" s="8"/>
      <c r="O27" s="8"/>
      <c r="P27" s="8"/>
      <c r="Q27" s="8"/>
      <c r="R27" s="8"/>
      <c r="S27" s="8"/>
      <c r="T27" s="8"/>
      <c r="U27" s="8"/>
      <c r="V27" s="8"/>
      <c r="W27" s="29"/>
    </row>
    <row r="28" spans="2:23" ht="22.5" customHeight="1">
      <c r="B28" s="7" t="s">
        <v>140</v>
      </c>
      <c r="C28" s="23">
        <f>3600*0.8-470+600*0.8</f>
        <v>2890</v>
      </c>
      <c r="D28" s="23">
        <v>0</v>
      </c>
      <c r="E28" s="25">
        <v>0</v>
      </c>
      <c r="F28" s="25">
        <v>0</v>
      </c>
      <c r="G28" s="25">
        <v>0</v>
      </c>
      <c r="H28" s="25">
        <v>0</v>
      </c>
      <c r="I28" s="25">
        <f>+$C$28/5</f>
        <v>578</v>
      </c>
      <c r="J28" s="25">
        <f>+$C$28/5*2</f>
        <v>1156</v>
      </c>
      <c r="K28" s="25">
        <f>+$C$28/5*3</f>
        <v>1734</v>
      </c>
      <c r="L28" s="25">
        <f>+$C$28/5*4</f>
        <v>2312</v>
      </c>
      <c r="M28" s="25">
        <f>+$C$28/5*5</f>
        <v>2890</v>
      </c>
      <c r="N28" s="25">
        <f aca="true" t="shared" si="1" ref="N28:W28">+M28</f>
        <v>2890</v>
      </c>
      <c r="O28" s="25">
        <f t="shared" si="1"/>
        <v>2890</v>
      </c>
      <c r="P28" s="25">
        <f t="shared" si="1"/>
        <v>2890</v>
      </c>
      <c r="Q28" s="25">
        <f t="shared" si="1"/>
        <v>2890</v>
      </c>
      <c r="R28" s="25">
        <f t="shared" si="1"/>
        <v>2890</v>
      </c>
      <c r="S28" s="25">
        <f t="shared" si="1"/>
        <v>2890</v>
      </c>
      <c r="T28" s="25">
        <f t="shared" si="1"/>
        <v>2890</v>
      </c>
      <c r="U28" s="25">
        <f t="shared" si="1"/>
        <v>2890</v>
      </c>
      <c r="V28" s="25">
        <f t="shared" si="1"/>
        <v>2890</v>
      </c>
      <c r="W28" s="26">
        <f t="shared" si="1"/>
        <v>2890</v>
      </c>
    </row>
    <row r="29" spans="2:23" ht="18">
      <c r="B29" s="7" t="s">
        <v>17</v>
      </c>
      <c r="C29" s="23"/>
      <c r="D29" s="8">
        <f>+D28*$C$27</f>
        <v>0</v>
      </c>
      <c r="E29" s="8">
        <f>+F28*$C$27</f>
        <v>0</v>
      </c>
      <c r="F29" s="8">
        <f>7*132451</f>
        <v>927157</v>
      </c>
      <c r="G29" s="8">
        <f>7*387353</f>
        <v>2711471</v>
      </c>
      <c r="H29" s="8">
        <f>+I28*$C$27</f>
        <v>6084477.665142863</v>
      </c>
      <c r="I29" s="8">
        <f>+J28*$C$27</f>
        <v>12168955.330285726</v>
      </c>
      <c r="J29" s="8">
        <f>+J28*$C$27</f>
        <v>12168955.330285726</v>
      </c>
      <c r="K29" s="8">
        <f>+K28*$C$27</f>
        <v>18253432.99542859</v>
      </c>
      <c r="L29" s="8">
        <f>+L28*$C$27</f>
        <v>24337910.660571452</v>
      </c>
      <c r="M29" s="8">
        <f>+M28*$C$27</f>
        <v>30422388.325714316</v>
      </c>
      <c r="N29" s="8">
        <f aca="true" t="shared" si="2" ref="N29:W29">+N28*$C$27</f>
        <v>30422388.325714316</v>
      </c>
      <c r="O29" s="8">
        <f t="shared" si="2"/>
        <v>30422388.325714316</v>
      </c>
      <c r="P29" s="8">
        <f t="shared" si="2"/>
        <v>30422388.325714316</v>
      </c>
      <c r="Q29" s="8">
        <f t="shared" si="2"/>
        <v>30422388.325714316</v>
      </c>
      <c r="R29" s="8">
        <f t="shared" si="2"/>
        <v>30422388.325714316</v>
      </c>
      <c r="S29" s="8">
        <f t="shared" si="2"/>
        <v>30422388.325714316</v>
      </c>
      <c r="T29" s="8">
        <f t="shared" si="2"/>
        <v>30422388.325714316</v>
      </c>
      <c r="U29" s="8">
        <f t="shared" si="2"/>
        <v>30422388.325714316</v>
      </c>
      <c r="V29" s="8">
        <f t="shared" si="2"/>
        <v>30422388.325714316</v>
      </c>
      <c r="W29" s="29">
        <f t="shared" si="2"/>
        <v>30422388.325714316</v>
      </c>
    </row>
    <row r="30" spans="2:23" ht="18">
      <c r="B30" s="7" t="s">
        <v>18</v>
      </c>
      <c r="C30" s="10">
        <v>0.05</v>
      </c>
      <c r="D30" s="8">
        <f aca="true" t="shared" si="3" ref="D30:W30">+D26*$C$30</f>
        <v>0</v>
      </c>
      <c r="E30" s="8">
        <f t="shared" si="3"/>
        <v>1002.3505</v>
      </c>
      <c r="F30" s="8">
        <f t="shared" si="3"/>
        <v>63231.518500000006</v>
      </c>
      <c r="G30" s="8">
        <f t="shared" si="3"/>
        <v>330690.873</v>
      </c>
      <c r="H30" s="8">
        <f t="shared" si="3"/>
        <v>330690.873</v>
      </c>
      <c r="I30" s="8">
        <f t="shared" si="3"/>
        <v>330690.873</v>
      </c>
      <c r="J30" s="8">
        <f t="shared" si="3"/>
        <v>330690.873</v>
      </c>
      <c r="K30" s="8">
        <f t="shared" si="3"/>
        <v>330690.873</v>
      </c>
      <c r="L30" s="8">
        <f t="shared" si="3"/>
        <v>330690.873</v>
      </c>
      <c r="M30" s="8">
        <f t="shared" si="3"/>
        <v>330690.873</v>
      </c>
      <c r="N30" s="8">
        <f t="shared" si="3"/>
        <v>330690.873</v>
      </c>
      <c r="O30" s="8">
        <f t="shared" si="3"/>
        <v>330690.873</v>
      </c>
      <c r="P30" s="8">
        <f t="shared" si="3"/>
        <v>330690.873</v>
      </c>
      <c r="Q30" s="8">
        <f t="shared" si="3"/>
        <v>330690.873</v>
      </c>
      <c r="R30" s="8">
        <f t="shared" si="3"/>
        <v>330690.873</v>
      </c>
      <c r="S30" s="8">
        <f t="shared" si="3"/>
        <v>330690.873</v>
      </c>
      <c r="T30" s="8">
        <f t="shared" si="3"/>
        <v>330690.873</v>
      </c>
      <c r="U30" s="8">
        <f t="shared" si="3"/>
        <v>330690.873</v>
      </c>
      <c r="V30" s="8">
        <f t="shared" si="3"/>
        <v>330690.873</v>
      </c>
      <c r="W30" s="29">
        <f t="shared" si="3"/>
        <v>330690.873</v>
      </c>
    </row>
    <row r="31" spans="2:23" ht="18">
      <c r="B31" s="7" t="s">
        <v>24</v>
      </c>
      <c r="C31" s="10">
        <v>0.09</v>
      </c>
      <c r="D31" s="8">
        <f>+D25*$C$31</f>
        <v>0</v>
      </c>
      <c r="E31" s="8">
        <f>+E25*$C$31</f>
        <v>1804.2308999999998</v>
      </c>
      <c r="F31" s="8">
        <f>+F25*$C$31</f>
        <v>112012.50240000001</v>
      </c>
      <c r="G31" s="8">
        <f>+G25*$C$31</f>
        <v>481426.8381</v>
      </c>
      <c r="H31" s="8">
        <f>+H25*$C$31</f>
        <v>0</v>
      </c>
      <c r="I31" s="8"/>
      <c r="J31" s="8"/>
      <c r="K31" s="8"/>
      <c r="L31" s="8"/>
      <c r="M31" s="8"/>
      <c r="N31" s="8"/>
      <c r="O31" s="8"/>
      <c r="P31" s="8"/>
      <c r="Q31" s="8"/>
      <c r="R31" s="8"/>
      <c r="S31" s="8"/>
      <c r="T31" s="8"/>
      <c r="U31" s="8"/>
      <c r="V31" s="8"/>
      <c r="W31" s="29"/>
    </row>
    <row r="32" spans="2:23" ht="18">
      <c r="B32" s="7" t="s">
        <v>20</v>
      </c>
      <c r="C32" s="23"/>
      <c r="D32" s="8">
        <f>(+D30+D29+D25+D31)*'ERR &amp; Sensitivity Analysis'!$G$21</f>
        <v>0</v>
      </c>
      <c r="E32" s="8">
        <f>(+E30+E29+E25+E31)*'ERR &amp; Sensitivity Analysis'!$G$21</f>
        <v>22853.591399999998</v>
      </c>
      <c r="F32" s="8">
        <f>(+F30+F29+F25+F31)*'ERR &amp; Sensitivity Analysis'!$G$21</f>
        <v>2346984.3809</v>
      </c>
      <c r="G32" s="8">
        <f>(+G30+G29+G25+G31)*'ERR &amp; Sensitivity Analysis'!$G$21</f>
        <v>8872775.801099999</v>
      </c>
      <c r="H32" s="8">
        <f>(+H30+H29+H25+H31)*'ERR &amp; Sensitivity Analysis'!$G$21</f>
        <v>6415168.538142863</v>
      </c>
      <c r="I32" s="8">
        <f>(+I30+I29+I25+I31)*'ERR &amp; Sensitivity Analysis'!$G$21</f>
        <v>12499646.203285726</v>
      </c>
      <c r="J32" s="8">
        <f>(+J30+J29+J25+J31)*'ERR &amp; Sensitivity Analysis'!$G$21</f>
        <v>12499646.203285726</v>
      </c>
      <c r="K32" s="8">
        <f>(+K30+K29+K25+K31)*'ERR &amp; Sensitivity Analysis'!$G$21</f>
        <v>18584123.868428588</v>
      </c>
      <c r="L32" s="8">
        <f>(+L30+L29+L25+L31)*'ERR &amp; Sensitivity Analysis'!$G$21</f>
        <v>24668601.533571452</v>
      </c>
      <c r="M32" s="8">
        <f>(+M30+M29+M25+M31)*'ERR &amp; Sensitivity Analysis'!$G$21</f>
        <v>30753079.198714316</v>
      </c>
      <c r="N32" s="8">
        <f>(+N30+N29+N25+N31)*'ERR &amp; Sensitivity Analysis'!$G$21</f>
        <v>30753079.198714316</v>
      </c>
      <c r="O32" s="8">
        <f>(+O30+O29+O25+O31)*'ERR &amp; Sensitivity Analysis'!$G$21</f>
        <v>30753079.198714316</v>
      </c>
      <c r="P32" s="8">
        <f>(+P30+P29+P25+P31)*'ERR &amp; Sensitivity Analysis'!$G$21</f>
        <v>30753079.198714316</v>
      </c>
      <c r="Q32" s="8">
        <f>(+Q30+Q29+Q25+Q31)*'ERR &amp; Sensitivity Analysis'!$G$21</f>
        <v>30753079.198714316</v>
      </c>
      <c r="R32" s="8">
        <f>(+R30+R29+R25+R31)*'ERR &amp; Sensitivity Analysis'!$G$21</f>
        <v>30753079.198714316</v>
      </c>
      <c r="S32" s="8">
        <f>(+S30+S29+S25+S31)*'ERR &amp; Sensitivity Analysis'!$G$21</f>
        <v>30753079.198714316</v>
      </c>
      <c r="T32" s="8">
        <f>(+T30+T29+T25+T31)*'ERR &amp; Sensitivity Analysis'!$G$21</f>
        <v>30753079.198714316</v>
      </c>
      <c r="U32" s="8">
        <f>(+U30+U29+U25+U31)*'ERR &amp; Sensitivity Analysis'!$G$21</f>
        <v>30753079.198714316</v>
      </c>
      <c r="V32" s="8">
        <f>(+V30+V29+V25+V31)*'ERR &amp; Sensitivity Analysis'!$G$21</f>
        <v>30753079.198714316</v>
      </c>
      <c r="W32" s="8">
        <f>(+W30+W29+W25+W31)*'ERR &amp; Sensitivity Analysis'!$G$21</f>
        <v>30753079.198714316</v>
      </c>
    </row>
    <row r="33" spans="2:23" ht="20.25" customHeight="1">
      <c r="B33" s="7" t="s">
        <v>19</v>
      </c>
      <c r="C33" s="23"/>
      <c r="D33" s="8">
        <f>(+D28*$C$23)*'ERR &amp; Sensitivity Analysis'!$G$22</f>
        <v>0</v>
      </c>
      <c r="E33" s="8">
        <f>(+E28*$C$23)*'ERR &amp; Sensitivity Analysis'!$G$22</f>
        <v>0</v>
      </c>
      <c r="F33" s="8">
        <f>(+F28*$C$23)*'ERR &amp; Sensitivity Analysis'!$G$22</f>
        <v>0</v>
      </c>
      <c r="G33" s="8">
        <f>(+G28*$C$23)*'ERR &amp; Sensitivity Analysis'!$G$22</f>
        <v>0</v>
      </c>
      <c r="H33" s="8">
        <f>(+H28*$C$23)*'ERR &amp; Sensitivity Analysis'!$G$22</f>
        <v>0</v>
      </c>
      <c r="I33" s="8">
        <f>(+I28*$C$23)*'ERR &amp; Sensitivity Analysis'!$G$22</f>
        <v>25697133.117503807</v>
      </c>
      <c r="J33" s="8">
        <f>(+J28*$C$23)*'ERR &amp; Sensitivity Analysis'!$G$22</f>
        <v>51394266.235007614</v>
      </c>
      <c r="K33" s="8">
        <f>(+K28*$C$23)*'ERR &amp; Sensitivity Analysis'!$G$22</f>
        <v>77091399.35251142</v>
      </c>
      <c r="L33" s="8">
        <f>(+L28*$C$23)*'ERR &amp; Sensitivity Analysis'!$G$22</f>
        <v>102788532.47001523</v>
      </c>
      <c r="M33" s="8">
        <f>(+M28*$C$23)*'ERR &amp; Sensitivity Analysis'!$G$22</f>
        <v>128485665.58751903</v>
      </c>
      <c r="N33" s="8">
        <f>(+N28*$C$23)*'ERR &amp; Sensitivity Analysis'!$G$22</f>
        <v>128485665.58751903</v>
      </c>
      <c r="O33" s="8">
        <f>(+O28*$C$23)*'ERR &amp; Sensitivity Analysis'!$G$22</f>
        <v>128485665.58751903</v>
      </c>
      <c r="P33" s="8">
        <f>(+P28*$C$23)*'ERR &amp; Sensitivity Analysis'!$G$22</f>
        <v>128485665.58751903</v>
      </c>
      <c r="Q33" s="8">
        <f>(+Q28*$C$23)*'ERR &amp; Sensitivity Analysis'!$G$22</f>
        <v>128485665.58751903</v>
      </c>
      <c r="R33" s="8">
        <f>(+R28*$C$23)*'ERR &amp; Sensitivity Analysis'!$G$22</f>
        <v>128485665.58751903</v>
      </c>
      <c r="S33" s="8">
        <f>(+S28*$C$23)*'ERR &amp; Sensitivity Analysis'!$G$22</f>
        <v>128485665.58751903</v>
      </c>
      <c r="T33" s="8">
        <f>(+T28*$C$23)*'ERR &amp; Sensitivity Analysis'!$G$22</f>
        <v>128485665.58751903</v>
      </c>
      <c r="U33" s="8">
        <f>(+U28*$C$23)*'ERR &amp; Sensitivity Analysis'!$G$22</f>
        <v>128485665.58751903</v>
      </c>
      <c r="V33" s="8">
        <f>(+V28*$C$23)*'ERR &amp; Sensitivity Analysis'!$G$22</f>
        <v>128485665.58751903</v>
      </c>
      <c r="W33" s="8">
        <f>(+W28*$C$23)*'ERR &amp; Sensitivity Analysis'!$G$22</f>
        <v>128485665.58751903</v>
      </c>
    </row>
    <row r="34" spans="2:23" ht="18">
      <c r="B34" s="7" t="s">
        <v>21</v>
      </c>
      <c r="C34" s="23"/>
      <c r="D34" s="8">
        <f aca="true" t="shared" si="4" ref="D34:W34">+D33-D32</f>
        <v>0</v>
      </c>
      <c r="E34" s="8">
        <f t="shared" si="4"/>
        <v>-22853.591399999998</v>
      </c>
      <c r="F34" s="8">
        <f t="shared" si="4"/>
        <v>-2346984.3809</v>
      </c>
      <c r="G34" s="8">
        <f t="shared" si="4"/>
        <v>-8872775.801099999</v>
      </c>
      <c r="H34" s="8">
        <f t="shared" si="4"/>
        <v>-6415168.538142863</v>
      </c>
      <c r="I34" s="8">
        <f t="shared" si="4"/>
        <v>13197486.914218081</v>
      </c>
      <c r="J34" s="8">
        <f t="shared" si="4"/>
        <v>38894620.03172189</v>
      </c>
      <c r="K34" s="8">
        <f t="shared" si="4"/>
        <v>58507275.48408283</v>
      </c>
      <c r="L34" s="8">
        <f t="shared" si="4"/>
        <v>78119930.93644378</v>
      </c>
      <c r="M34" s="8">
        <f t="shared" si="4"/>
        <v>97732586.38880472</v>
      </c>
      <c r="N34" s="8">
        <f t="shared" si="4"/>
        <v>97732586.38880472</v>
      </c>
      <c r="O34" s="8">
        <f t="shared" si="4"/>
        <v>97732586.38880472</v>
      </c>
      <c r="P34" s="8">
        <f t="shared" si="4"/>
        <v>97732586.38880472</v>
      </c>
      <c r="Q34" s="8">
        <f t="shared" si="4"/>
        <v>97732586.38880472</v>
      </c>
      <c r="R34" s="8">
        <f t="shared" si="4"/>
        <v>97732586.38880472</v>
      </c>
      <c r="S34" s="8">
        <f t="shared" si="4"/>
        <v>97732586.38880472</v>
      </c>
      <c r="T34" s="8">
        <f t="shared" si="4"/>
        <v>97732586.38880472</v>
      </c>
      <c r="U34" s="8">
        <f t="shared" si="4"/>
        <v>97732586.38880472</v>
      </c>
      <c r="V34" s="8">
        <f t="shared" si="4"/>
        <v>97732586.38880472</v>
      </c>
      <c r="W34" s="29">
        <f t="shared" si="4"/>
        <v>97732586.38880472</v>
      </c>
    </row>
    <row r="35" spans="2:23" ht="18">
      <c r="B35" s="27" t="s">
        <v>22</v>
      </c>
      <c r="C35" s="36">
        <f>+IRR(D34:R34)</f>
        <v>1.0115312630600934</v>
      </c>
      <c r="D35" s="28"/>
      <c r="E35" s="28"/>
      <c r="F35" s="28"/>
      <c r="G35" s="28"/>
      <c r="H35" s="28"/>
      <c r="I35" s="28"/>
      <c r="J35" s="28"/>
      <c r="K35" s="28"/>
      <c r="L35" s="28"/>
      <c r="M35" s="28"/>
      <c r="N35" s="28"/>
      <c r="O35" s="28"/>
      <c r="P35" s="28"/>
      <c r="Q35" s="28"/>
      <c r="R35" s="28"/>
      <c r="S35" s="28"/>
      <c r="T35" s="28"/>
      <c r="U35" s="28"/>
      <c r="V35" s="28"/>
      <c r="W35" s="37"/>
    </row>
    <row r="36" spans="2:23" ht="18">
      <c r="B36" s="34" t="s">
        <v>7</v>
      </c>
      <c r="C36" s="35" t="s">
        <v>8</v>
      </c>
      <c r="D36" s="38"/>
      <c r="E36" s="38"/>
      <c r="F36" s="38"/>
      <c r="G36" s="38"/>
      <c r="H36" s="38"/>
      <c r="I36" s="38"/>
      <c r="J36" s="38"/>
      <c r="K36" s="38"/>
      <c r="L36" s="38"/>
      <c r="M36" s="38"/>
      <c r="N36" s="38"/>
      <c r="O36" s="38"/>
      <c r="P36" s="38"/>
      <c r="Q36" s="38"/>
      <c r="R36" s="38"/>
      <c r="S36" s="38"/>
      <c r="T36" s="38"/>
      <c r="U36" s="38"/>
      <c r="V36" s="38"/>
      <c r="W36" s="38"/>
    </row>
    <row r="37" spans="2:23" ht="21.75" customHeight="1">
      <c r="B37" s="7" t="s">
        <v>3</v>
      </c>
      <c r="C37" s="39">
        <v>3436.2569280480006</v>
      </c>
      <c r="D37" s="6"/>
      <c r="E37" s="6"/>
      <c r="F37" s="6"/>
      <c r="G37" s="6"/>
      <c r="H37" s="6"/>
      <c r="I37" s="6"/>
      <c r="J37" s="6"/>
      <c r="K37" s="6"/>
      <c r="L37" s="6"/>
      <c r="M37" s="6"/>
      <c r="N37" s="6"/>
      <c r="O37" s="6"/>
      <c r="P37" s="6"/>
      <c r="Q37" s="6"/>
      <c r="R37" s="6"/>
      <c r="S37" s="6"/>
      <c r="T37" s="6"/>
      <c r="U37" s="6"/>
      <c r="V37" s="6"/>
      <c r="W37" s="6"/>
    </row>
    <row r="38" spans="2:23" ht="38.25" customHeight="1">
      <c r="B38" s="7" t="s">
        <v>4</v>
      </c>
      <c r="C38" s="40">
        <v>5154.385392072001</v>
      </c>
      <c r="D38" s="6"/>
      <c r="E38" s="6"/>
      <c r="F38" s="6"/>
      <c r="G38" s="6"/>
      <c r="H38" s="6"/>
      <c r="I38" s="6"/>
      <c r="J38" s="6"/>
      <c r="K38" s="6"/>
      <c r="L38" s="6"/>
      <c r="M38" s="6"/>
      <c r="N38" s="6"/>
      <c r="O38" s="6"/>
      <c r="P38" s="6"/>
      <c r="Q38" s="6"/>
      <c r="R38" s="6"/>
      <c r="S38" s="6"/>
      <c r="T38" s="6"/>
      <c r="U38" s="6"/>
      <c r="V38" s="6"/>
      <c r="W38" s="6"/>
    </row>
    <row r="39" spans="2:23" ht="36">
      <c r="B39" s="7" t="s">
        <v>5</v>
      </c>
      <c r="C39" s="40">
        <v>5834.357103582001</v>
      </c>
      <c r="D39" s="6"/>
      <c r="E39" s="6"/>
      <c r="F39" s="6"/>
      <c r="G39" s="6"/>
      <c r="H39" s="6"/>
      <c r="I39" s="6"/>
      <c r="J39" s="6"/>
      <c r="K39" s="6"/>
      <c r="L39" s="6"/>
      <c r="M39" s="6"/>
      <c r="N39" s="6"/>
      <c r="O39" s="6"/>
      <c r="P39" s="6"/>
      <c r="Q39" s="6"/>
      <c r="R39" s="6"/>
      <c r="S39" s="6"/>
      <c r="T39" s="6"/>
      <c r="U39" s="6"/>
      <c r="V39" s="6"/>
      <c r="W39" s="6"/>
    </row>
    <row r="40" spans="2:23" ht="36">
      <c r="B40" s="7" t="s">
        <v>6</v>
      </c>
      <c r="C40" s="40">
        <v>12915.642452895001</v>
      </c>
      <c r="D40" s="13"/>
      <c r="E40" s="13"/>
      <c r="F40" s="13"/>
      <c r="G40" s="13"/>
      <c r="H40" s="13"/>
      <c r="I40" s="13"/>
      <c r="J40" s="13"/>
      <c r="K40" s="13"/>
      <c r="L40" s="13"/>
      <c r="M40" s="13"/>
      <c r="N40" s="13"/>
      <c r="O40" s="13"/>
      <c r="P40" s="13"/>
      <c r="Q40" s="13"/>
      <c r="R40" s="13"/>
      <c r="S40" s="13"/>
      <c r="T40" s="13"/>
      <c r="U40" s="13"/>
      <c r="V40" s="13"/>
      <c r="W40" s="13"/>
    </row>
    <row r="41" spans="2:33" ht="24" customHeight="1">
      <c r="B41" s="7" t="s">
        <v>15</v>
      </c>
      <c r="C41" s="32">
        <f>+NPV(0.1,E41:AG41)</f>
        <v>44458.70781575053</v>
      </c>
      <c r="D41" s="8">
        <f>+$C$21</f>
        <v>4744.992289462799</v>
      </c>
      <c r="E41" s="8">
        <f aca="true" t="shared" si="5" ref="E41:AC41">+$C$21</f>
        <v>4744.992289462799</v>
      </c>
      <c r="F41" s="8">
        <f t="shared" si="5"/>
        <v>4744.992289462799</v>
      </c>
      <c r="G41" s="8">
        <f t="shared" si="5"/>
        <v>4744.992289462799</v>
      </c>
      <c r="H41" s="8">
        <f t="shared" si="5"/>
        <v>4744.992289462799</v>
      </c>
      <c r="I41" s="8">
        <f t="shared" si="5"/>
        <v>4744.992289462799</v>
      </c>
      <c r="J41" s="8">
        <f t="shared" si="5"/>
        <v>4744.992289462799</v>
      </c>
      <c r="K41" s="8">
        <f t="shared" si="5"/>
        <v>4744.992289462799</v>
      </c>
      <c r="L41" s="8">
        <f t="shared" si="5"/>
        <v>4744.992289462799</v>
      </c>
      <c r="M41" s="8">
        <f t="shared" si="5"/>
        <v>4744.992289462799</v>
      </c>
      <c r="N41" s="8">
        <f t="shared" si="5"/>
        <v>4744.992289462799</v>
      </c>
      <c r="O41" s="8">
        <f t="shared" si="5"/>
        <v>4744.992289462799</v>
      </c>
      <c r="P41" s="8">
        <f t="shared" si="5"/>
        <v>4744.992289462799</v>
      </c>
      <c r="Q41" s="8">
        <f t="shared" si="5"/>
        <v>4744.992289462799</v>
      </c>
      <c r="R41" s="8">
        <f t="shared" si="5"/>
        <v>4744.992289462799</v>
      </c>
      <c r="S41" s="8">
        <f t="shared" si="5"/>
        <v>4744.992289462799</v>
      </c>
      <c r="T41" s="8">
        <f t="shared" si="5"/>
        <v>4744.992289462799</v>
      </c>
      <c r="U41" s="8">
        <f t="shared" si="5"/>
        <v>4744.992289462799</v>
      </c>
      <c r="V41" s="8">
        <f t="shared" si="5"/>
        <v>4744.992289462799</v>
      </c>
      <c r="W41" s="8">
        <f t="shared" si="5"/>
        <v>4744.992289462799</v>
      </c>
      <c r="X41" s="8">
        <f t="shared" si="5"/>
        <v>4744.992289462799</v>
      </c>
      <c r="Y41" s="8">
        <f t="shared" si="5"/>
        <v>4744.992289462799</v>
      </c>
      <c r="Z41" s="8">
        <f t="shared" si="5"/>
        <v>4744.992289462799</v>
      </c>
      <c r="AA41" s="8">
        <f t="shared" si="5"/>
        <v>4744.992289462799</v>
      </c>
      <c r="AB41" s="8">
        <f t="shared" si="5"/>
        <v>4744.992289462799</v>
      </c>
      <c r="AC41" s="8">
        <f t="shared" si="5"/>
        <v>4744.992289462799</v>
      </c>
      <c r="AD41" s="8">
        <f>+$C$21</f>
        <v>4744.992289462799</v>
      </c>
      <c r="AE41" s="8">
        <f>+$C$21</f>
        <v>4744.992289462799</v>
      </c>
      <c r="AF41" s="8">
        <f>+$C$21</f>
        <v>4744.992289462799</v>
      </c>
      <c r="AG41" s="8">
        <f>+$C$21</f>
        <v>4744.992289462799</v>
      </c>
    </row>
    <row r="42" spans="2:33" ht="23.25" customHeight="1">
      <c r="B42" s="27" t="s">
        <v>25</v>
      </c>
      <c r="C42" s="33"/>
      <c r="D42" s="28">
        <f>D28</f>
        <v>0</v>
      </c>
      <c r="E42" s="30">
        <f aca="true" t="shared" si="6" ref="E42:M42">D42+E28</f>
        <v>0</v>
      </c>
      <c r="F42" s="30">
        <f t="shared" si="6"/>
        <v>0</v>
      </c>
      <c r="G42" s="30">
        <f t="shared" si="6"/>
        <v>0</v>
      </c>
      <c r="H42" s="30">
        <f t="shared" si="6"/>
        <v>0</v>
      </c>
      <c r="I42" s="30">
        <f t="shared" si="6"/>
        <v>578</v>
      </c>
      <c r="J42" s="30">
        <f t="shared" si="6"/>
        <v>1734</v>
      </c>
      <c r="K42" s="30">
        <f t="shared" si="6"/>
        <v>3468</v>
      </c>
      <c r="L42" s="30">
        <f t="shared" si="6"/>
        <v>5780</v>
      </c>
      <c r="M42" s="30">
        <f t="shared" si="6"/>
        <v>8670</v>
      </c>
      <c r="N42" s="30">
        <f aca="true" t="shared" si="7" ref="N42:W42">M42+N28</f>
        <v>11560</v>
      </c>
      <c r="O42" s="30">
        <f t="shared" si="7"/>
        <v>14450</v>
      </c>
      <c r="P42" s="30">
        <f t="shared" si="7"/>
        <v>17340</v>
      </c>
      <c r="Q42" s="30">
        <f t="shared" si="7"/>
        <v>20230</v>
      </c>
      <c r="R42" s="30">
        <f t="shared" si="7"/>
        <v>23120</v>
      </c>
      <c r="S42" s="30">
        <f t="shared" si="7"/>
        <v>26010</v>
      </c>
      <c r="T42" s="30">
        <f t="shared" si="7"/>
        <v>28900</v>
      </c>
      <c r="U42" s="30">
        <f t="shared" si="7"/>
        <v>31790</v>
      </c>
      <c r="V42" s="30">
        <f t="shared" si="7"/>
        <v>34680</v>
      </c>
      <c r="W42" s="30">
        <f t="shared" si="7"/>
        <v>37570</v>
      </c>
      <c r="X42" s="30">
        <f aca="true" t="shared" si="8" ref="X42:AG42">W42+X28</f>
        <v>37570</v>
      </c>
      <c r="Y42" s="30">
        <f t="shared" si="8"/>
        <v>37570</v>
      </c>
      <c r="Z42" s="30">
        <f t="shared" si="8"/>
        <v>37570</v>
      </c>
      <c r="AA42" s="30">
        <f t="shared" si="8"/>
        <v>37570</v>
      </c>
      <c r="AB42" s="30">
        <f t="shared" si="8"/>
        <v>37570</v>
      </c>
      <c r="AC42" s="30">
        <f t="shared" si="8"/>
        <v>37570</v>
      </c>
      <c r="AD42" s="30">
        <f t="shared" si="8"/>
        <v>37570</v>
      </c>
      <c r="AE42" s="30">
        <f t="shared" si="8"/>
        <v>37570</v>
      </c>
      <c r="AF42" s="30">
        <f t="shared" si="8"/>
        <v>37570</v>
      </c>
      <c r="AG42" s="30">
        <f t="shared" si="8"/>
        <v>37570</v>
      </c>
    </row>
    <row r="45" spans="2:6" ht="18">
      <c r="B45" s="347" t="s">
        <v>27</v>
      </c>
      <c r="C45" s="342"/>
      <c r="D45" s="342"/>
      <c r="E45" s="342"/>
      <c r="F45" s="343"/>
    </row>
    <row r="46" spans="2:6" ht="18">
      <c r="B46" s="341" t="s">
        <v>32</v>
      </c>
      <c r="C46" s="342"/>
      <c r="D46" s="342"/>
      <c r="E46" s="342"/>
      <c r="F46" s="343"/>
    </row>
    <row r="47" spans="2:6" ht="18">
      <c r="B47" s="341" t="s">
        <v>33</v>
      </c>
      <c r="C47" s="342"/>
      <c r="D47" s="342"/>
      <c r="E47" s="342"/>
      <c r="F47" s="343"/>
    </row>
    <row r="48" spans="2:6" ht="18">
      <c r="B48" s="341" t="s">
        <v>34</v>
      </c>
      <c r="C48" s="342"/>
      <c r="D48" s="342"/>
      <c r="E48" s="342"/>
      <c r="F48" s="343"/>
    </row>
    <row r="49" spans="2:6" ht="18">
      <c r="B49" s="344" t="s">
        <v>35</v>
      </c>
      <c r="C49" s="345"/>
      <c r="D49" s="345"/>
      <c r="E49" s="345"/>
      <c r="F49" s="346"/>
    </row>
  </sheetData>
  <sheetProtection/>
  <mergeCells count="8">
    <mergeCell ref="B48:F48"/>
    <mergeCell ref="B49:F49"/>
    <mergeCell ref="B45:F45"/>
    <mergeCell ref="B46:F46"/>
    <mergeCell ref="B47:F47"/>
    <mergeCell ref="B1:F3"/>
    <mergeCell ref="B4:F4"/>
    <mergeCell ref="B8:G8"/>
  </mergeCells>
  <printOptions horizontalCentered="1"/>
  <pageMargins left="0.25" right="0.25" top="1" bottom="1" header="0.5" footer="0.36"/>
  <pageSetup horizontalDpi="600" verticalDpi="600" orientation="portrait" scale="20" r:id="rId3"/>
  <headerFooter alignWithMargins="0">
    <oddHeader>&amp;L&amp;G&amp;R&amp;27&amp;A</oddHeader>
    <oddFooter>&amp;R&amp;P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Sheet5">
    <tabColor theme="6" tint="-0.24997000396251678"/>
  </sheetPr>
  <dimension ref="B1:W33"/>
  <sheetViews>
    <sheetView showGridLines="0" zoomScale="65" zoomScaleNormal="65" zoomScalePageLayoutView="0" workbookViewId="0" topLeftCell="A1">
      <selection activeCell="D16" sqref="D16"/>
    </sheetView>
  </sheetViews>
  <sheetFormatPr defaultColWidth="9.140625" defaultRowHeight="12.75"/>
  <cols>
    <col min="1" max="1" width="9.140625" style="97" customWidth="1"/>
    <col min="2" max="2" width="52.140625" style="96" customWidth="1"/>
    <col min="3" max="3" width="15.421875" style="97" bestFit="1" customWidth="1"/>
    <col min="4" max="4" width="27.7109375" style="96" customWidth="1"/>
    <col min="5" max="5" width="15.00390625" style="97" bestFit="1" customWidth="1"/>
    <col min="6" max="6" width="21.00390625" style="97" bestFit="1" customWidth="1"/>
    <col min="7" max="23" width="19.57421875" style="97" bestFit="1" customWidth="1"/>
    <col min="24" max="16384" width="9.140625" style="97" customWidth="1"/>
  </cols>
  <sheetData>
    <row r="1" spans="2:6" s="41" customFormat="1" ht="12.75" customHeight="1">
      <c r="B1" s="316" t="s">
        <v>150</v>
      </c>
      <c r="C1" s="316"/>
      <c r="D1" s="316"/>
      <c r="E1" s="316"/>
      <c r="F1" s="316"/>
    </row>
    <row r="2" spans="2:6" s="41" customFormat="1" ht="12.75" customHeight="1">
      <c r="B2" s="316"/>
      <c r="C2" s="316"/>
      <c r="D2" s="316"/>
      <c r="E2" s="316"/>
      <c r="F2" s="316"/>
    </row>
    <row r="3" spans="2:6" s="41" customFormat="1" ht="19.5" customHeight="1">
      <c r="B3" s="316"/>
      <c r="C3" s="316"/>
      <c r="D3" s="316"/>
      <c r="E3" s="316"/>
      <c r="F3" s="316"/>
    </row>
    <row r="4" spans="2:6" s="41" customFormat="1" ht="24" customHeight="1">
      <c r="B4" s="319" t="s">
        <v>173</v>
      </c>
      <c r="C4" s="319"/>
      <c r="D4" s="319"/>
      <c r="E4" s="319"/>
      <c r="F4" s="319"/>
    </row>
    <row r="5" spans="2:23" ht="18">
      <c r="B5" s="348">
        <f>IF('ERR &amp; Sensitivity Analysis'!D17="N","NOTE: Current calculations are based on USER INPUT and are not the original MCC estimates.",IF('ERR &amp; Sensitivity Analysis'!G17="N","NOTE: Current calculations are based on USER INPUT and are not the original MCC estimates.",""))</f>
      </c>
      <c r="C5" s="348"/>
      <c r="D5" s="348"/>
      <c r="E5" s="348"/>
      <c r="F5" s="348"/>
      <c r="G5" s="348"/>
      <c r="H5" s="98"/>
      <c r="I5" s="98"/>
      <c r="J5" s="98"/>
      <c r="K5" s="98"/>
      <c r="L5" s="98"/>
      <c r="M5" s="98"/>
      <c r="N5" s="98"/>
      <c r="O5" s="98"/>
      <c r="P5" s="98"/>
      <c r="Q5" s="98"/>
      <c r="R5" s="98"/>
      <c r="S5" s="98"/>
      <c r="T5" s="98"/>
      <c r="U5" s="98"/>
      <c r="V5" s="98"/>
      <c r="W5" s="98"/>
    </row>
    <row r="6" spans="2:23" ht="18">
      <c r="B6" s="223" t="s">
        <v>174</v>
      </c>
      <c r="C6" s="219"/>
      <c r="D6" s="219"/>
      <c r="E6" s="219"/>
      <c r="F6" s="219"/>
      <c r="G6" s="219"/>
      <c r="H6" s="98"/>
      <c r="I6" s="98"/>
      <c r="J6" s="98"/>
      <c r="K6" s="98"/>
      <c r="L6" s="98"/>
      <c r="M6" s="98"/>
      <c r="N6" s="98"/>
      <c r="O6" s="98"/>
      <c r="P6" s="98"/>
      <c r="Q6" s="98"/>
      <c r="R6" s="98"/>
      <c r="S6" s="98"/>
      <c r="T6" s="98"/>
      <c r="U6" s="98"/>
      <c r="V6" s="98"/>
      <c r="W6" s="98"/>
    </row>
    <row r="7" spans="2:23" ht="18">
      <c r="B7" s="99" t="s">
        <v>83</v>
      </c>
      <c r="C7" s="100" t="s">
        <v>84</v>
      </c>
      <c r="D7" s="101">
        <v>1</v>
      </c>
      <c r="E7" s="100">
        <v>2</v>
      </c>
      <c r="F7" s="100">
        <v>3</v>
      </c>
      <c r="G7" s="100">
        <v>4</v>
      </c>
      <c r="H7" s="100">
        <v>5</v>
      </c>
      <c r="I7" s="100">
        <v>6</v>
      </c>
      <c r="J7" s="100">
        <v>7</v>
      </c>
      <c r="K7" s="100">
        <v>8</v>
      </c>
      <c r="L7" s="100">
        <v>9</v>
      </c>
      <c r="M7" s="100">
        <v>10</v>
      </c>
      <c r="N7" s="100">
        <v>11</v>
      </c>
      <c r="O7" s="100">
        <v>12</v>
      </c>
      <c r="P7" s="100">
        <v>13</v>
      </c>
      <c r="Q7" s="100">
        <v>14</v>
      </c>
      <c r="R7" s="100">
        <v>15</v>
      </c>
      <c r="S7" s="100">
        <v>16</v>
      </c>
      <c r="T7" s="100">
        <v>17</v>
      </c>
      <c r="U7" s="100">
        <v>18</v>
      </c>
      <c r="V7" s="100">
        <v>19</v>
      </c>
      <c r="W7" s="102">
        <v>20</v>
      </c>
    </row>
    <row r="8" spans="2:23" ht="18">
      <c r="B8" s="103" t="s">
        <v>148</v>
      </c>
      <c r="C8" s="106">
        <f>SUM(D8:H8)</f>
        <v>11745786.36</v>
      </c>
      <c r="D8" s="105">
        <f>7*202165.2</f>
        <v>1415156.4000000001</v>
      </c>
      <c r="E8" s="105">
        <f>7*748011.24</f>
        <v>5236078.68</v>
      </c>
      <c r="F8" s="105">
        <f>7*343679.16</f>
        <v>2405754.1199999996</v>
      </c>
      <c r="G8" s="105">
        <f>7*384113.88</f>
        <v>2688797.16</v>
      </c>
      <c r="H8" s="104">
        <v>0</v>
      </c>
      <c r="I8" s="104"/>
      <c r="J8" s="104">
        <v>0</v>
      </c>
      <c r="K8" s="104">
        <v>0</v>
      </c>
      <c r="L8" s="104"/>
      <c r="M8" s="104"/>
      <c r="N8" s="104"/>
      <c r="O8" s="104"/>
      <c r="P8" s="104"/>
      <c r="Q8" s="104"/>
      <c r="R8" s="104"/>
      <c r="S8" s="104"/>
      <c r="T8" s="104"/>
      <c r="U8" s="104"/>
      <c r="V8" s="104"/>
      <c r="W8" s="107"/>
    </row>
    <row r="9" spans="2:23" ht="18">
      <c r="B9" s="103" t="s">
        <v>85</v>
      </c>
      <c r="C9" s="104"/>
      <c r="D9" s="108"/>
      <c r="E9" s="104"/>
      <c r="F9" s="106">
        <f>+'NTF Flows and Key Assumptions'!$G$11+7000000/5</f>
        <v>4922229.448732886</v>
      </c>
      <c r="G9" s="106">
        <f>+F9*1.02</f>
        <v>5020674.037707544</v>
      </c>
      <c r="H9" s="106">
        <f aca="true" t="shared" si="0" ref="H9:R9">+G9*1.02</f>
        <v>5121087.518461695</v>
      </c>
      <c r="I9" s="106">
        <f t="shared" si="0"/>
        <v>5223509.268830929</v>
      </c>
      <c r="J9" s="106">
        <f t="shared" si="0"/>
        <v>5327979.454207548</v>
      </c>
      <c r="K9" s="106">
        <f t="shared" si="0"/>
        <v>5434539.043291699</v>
      </c>
      <c r="L9" s="106">
        <f t="shared" si="0"/>
        <v>5543229.824157533</v>
      </c>
      <c r="M9" s="106">
        <f t="shared" si="0"/>
        <v>5654094.420640684</v>
      </c>
      <c r="N9" s="106">
        <f t="shared" si="0"/>
        <v>5767176.309053497</v>
      </c>
      <c r="O9" s="106">
        <f t="shared" si="0"/>
        <v>5882519.8352345675</v>
      </c>
      <c r="P9" s="106">
        <f t="shared" si="0"/>
        <v>6000170.231939259</v>
      </c>
      <c r="Q9" s="106">
        <f t="shared" si="0"/>
        <v>6120173.636578044</v>
      </c>
      <c r="R9" s="106">
        <f t="shared" si="0"/>
        <v>6242577.109309605</v>
      </c>
      <c r="S9" s="106">
        <f>+R9*1.02</f>
        <v>6367428.651495798</v>
      </c>
      <c r="T9" s="106">
        <f>+S9*1.02</f>
        <v>6494777.224525713</v>
      </c>
      <c r="U9" s="106">
        <f>+T9*1.02</f>
        <v>6624672.769016228</v>
      </c>
      <c r="V9" s="106">
        <f>+U9*1.02</f>
        <v>6757166.224396552</v>
      </c>
      <c r="W9" s="109">
        <f>+V9*1.02</f>
        <v>6892309.548884483</v>
      </c>
    </row>
    <row r="10" spans="2:23" ht="18">
      <c r="B10" s="103" t="s">
        <v>86</v>
      </c>
      <c r="C10" s="104"/>
      <c r="D10" s="108"/>
      <c r="E10" s="104"/>
      <c r="F10" s="106">
        <f>+'NTF Flows and Key Assumptions'!$G$10*'NTF Flows and Key Assumptions'!$E$35</f>
        <v>1563609.448732887</v>
      </c>
      <c r="G10" s="106">
        <f>+'NTF Flows and Key Assumptions'!$G$10*'NTF Flows and Key Assumptions'!$E$35</f>
        <v>1563609.448732887</v>
      </c>
      <c r="H10" s="106">
        <f>+'NTF Flows and Key Assumptions'!$G$10*'NTF Flows and Key Assumptions'!$E$35</f>
        <v>1563609.448732887</v>
      </c>
      <c r="I10" s="106">
        <f>+'NTF Flows and Key Assumptions'!$G$10*'NTF Flows and Key Assumptions'!$E$35</f>
        <v>1563609.448732887</v>
      </c>
      <c r="J10" s="106">
        <f>+'NTF Flows and Key Assumptions'!$G$10*'NTF Flows and Key Assumptions'!$E$35</f>
        <v>1563609.448732887</v>
      </c>
      <c r="K10" s="106">
        <f>+'NTF Flows and Key Assumptions'!$G$10*'NTF Flows and Key Assumptions'!$E$35</f>
        <v>1563609.448732887</v>
      </c>
      <c r="L10" s="106">
        <f>+'NTF Flows and Key Assumptions'!$G$10*'NTF Flows and Key Assumptions'!$E$35</f>
        <v>1563609.448732887</v>
      </c>
      <c r="M10" s="106">
        <f>+'NTF Flows and Key Assumptions'!$G$10*'NTF Flows and Key Assumptions'!$E$35</f>
        <v>1563609.448732887</v>
      </c>
      <c r="N10" s="106">
        <f>+'NTF Flows and Key Assumptions'!$G$10*'NTF Flows and Key Assumptions'!$E$35</f>
        <v>1563609.448732887</v>
      </c>
      <c r="O10" s="106">
        <f>+'NTF Flows and Key Assumptions'!$G$10*'NTF Flows and Key Assumptions'!$E$35</f>
        <v>1563609.448732887</v>
      </c>
      <c r="P10" s="106">
        <f>+'NTF Flows and Key Assumptions'!$G$10*'NTF Flows and Key Assumptions'!$E$35</f>
        <v>1563609.448732887</v>
      </c>
      <c r="Q10" s="106">
        <f>+'NTF Flows and Key Assumptions'!$G$10*'NTF Flows and Key Assumptions'!$E$35</f>
        <v>1563609.448732887</v>
      </c>
      <c r="R10" s="106">
        <f>+'NTF Flows and Key Assumptions'!$G$10*'NTF Flows and Key Assumptions'!$E$35</f>
        <v>1563609.448732887</v>
      </c>
      <c r="S10" s="106">
        <f>+'NTF Flows and Key Assumptions'!$G$10*'NTF Flows and Key Assumptions'!$E$35</f>
        <v>1563609.448732887</v>
      </c>
      <c r="T10" s="106">
        <f>+'NTF Flows and Key Assumptions'!$G$10*'NTF Flows and Key Assumptions'!$E$35</f>
        <v>1563609.448732887</v>
      </c>
      <c r="U10" s="106">
        <f>+'NTF Flows and Key Assumptions'!$G$10*'NTF Flows and Key Assumptions'!$E$35</f>
        <v>1563609.448732887</v>
      </c>
      <c r="V10" s="106">
        <f>+'NTF Flows and Key Assumptions'!$G$10*'NTF Flows and Key Assumptions'!$E$35</f>
        <v>1563609.448732887</v>
      </c>
      <c r="W10" s="109">
        <f>+'NTF Flows and Key Assumptions'!$G$10*'NTF Flows and Key Assumptions'!$E$35</f>
        <v>1563609.448732887</v>
      </c>
    </row>
    <row r="11" spans="2:23" ht="18">
      <c r="B11" s="103" t="s">
        <v>87</v>
      </c>
      <c r="C11" s="108">
        <v>0.06</v>
      </c>
      <c r="D11" s="108"/>
      <c r="E11" s="104"/>
      <c r="F11" s="106">
        <f>+F10+F9</f>
        <v>6485838.897465773</v>
      </c>
      <c r="G11" s="106">
        <f aca="true" t="shared" si="1" ref="G11:R11">+G10+G9</f>
        <v>6584283.486440431</v>
      </c>
      <c r="H11" s="106">
        <f t="shared" si="1"/>
        <v>6684696.967194581</v>
      </c>
      <c r="I11" s="106">
        <f t="shared" si="1"/>
        <v>6787118.717563815</v>
      </c>
      <c r="J11" s="106">
        <f t="shared" si="1"/>
        <v>6891588.902940435</v>
      </c>
      <c r="K11" s="106">
        <f t="shared" si="1"/>
        <v>6998148.492024586</v>
      </c>
      <c r="L11" s="106">
        <f t="shared" si="1"/>
        <v>7106839.272890421</v>
      </c>
      <c r="M11" s="106">
        <f t="shared" si="1"/>
        <v>7217703.869373571</v>
      </c>
      <c r="N11" s="106">
        <f t="shared" si="1"/>
        <v>7330785.757786384</v>
      </c>
      <c r="O11" s="106">
        <f t="shared" si="1"/>
        <v>7446129.283967454</v>
      </c>
      <c r="P11" s="106">
        <f t="shared" si="1"/>
        <v>7563779.680672146</v>
      </c>
      <c r="Q11" s="106">
        <f t="shared" si="1"/>
        <v>7683783.08531093</v>
      </c>
      <c r="R11" s="106">
        <f t="shared" si="1"/>
        <v>7806186.558042493</v>
      </c>
      <c r="S11" s="106">
        <f>+S10+S9</f>
        <v>7931038.100228684</v>
      </c>
      <c r="T11" s="106">
        <f>+T10+T9</f>
        <v>8058386.673258601</v>
      </c>
      <c r="U11" s="106">
        <f>+U10+U9</f>
        <v>8188282.217749115</v>
      </c>
      <c r="V11" s="106">
        <f>+V10+V9</f>
        <v>8320775.673129439</v>
      </c>
      <c r="W11" s="109">
        <f>+W10+W9</f>
        <v>8455918.99761737</v>
      </c>
    </row>
    <row r="12" spans="2:23" ht="36">
      <c r="B12" s="103" t="s">
        <v>88</v>
      </c>
      <c r="C12" s="104"/>
      <c r="E12" s="104"/>
      <c r="F12" s="106">
        <f>+F9*1.06</f>
        <v>5217563.21565686</v>
      </c>
      <c r="G12" s="106">
        <f aca="true" t="shared" si="2" ref="G12:R12">+G9*1.06</f>
        <v>5321914.479969997</v>
      </c>
      <c r="H12" s="106">
        <f t="shared" si="2"/>
        <v>5428352.769569397</v>
      </c>
      <c r="I12" s="106">
        <f t="shared" si="2"/>
        <v>5536919.824960785</v>
      </c>
      <c r="J12" s="106">
        <f t="shared" si="2"/>
        <v>5647658.221460002</v>
      </c>
      <c r="K12" s="106">
        <f t="shared" si="2"/>
        <v>5760611.385889201</v>
      </c>
      <c r="L12" s="106">
        <f t="shared" si="2"/>
        <v>5875823.613606986</v>
      </c>
      <c r="M12" s="106">
        <f t="shared" si="2"/>
        <v>5993340.085879125</v>
      </c>
      <c r="N12" s="106">
        <f t="shared" si="2"/>
        <v>6113206.887596708</v>
      </c>
      <c r="O12" s="106">
        <f t="shared" si="2"/>
        <v>6235471.025348642</v>
      </c>
      <c r="P12" s="106">
        <f t="shared" si="2"/>
        <v>6360180.445855615</v>
      </c>
      <c r="Q12" s="106">
        <f t="shared" si="2"/>
        <v>6487384.054772727</v>
      </c>
      <c r="R12" s="106">
        <f t="shared" si="2"/>
        <v>6617131.735868182</v>
      </c>
      <c r="S12" s="106">
        <f>+S9*1.06</f>
        <v>6749474.370585546</v>
      </c>
      <c r="T12" s="106">
        <f>+T9*1.06</f>
        <v>6884463.857997256</v>
      </c>
      <c r="U12" s="106">
        <f>+U9*1.06</f>
        <v>7022153.135157201</v>
      </c>
      <c r="V12" s="106">
        <f>+V9*1.06</f>
        <v>7162596.197860345</v>
      </c>
      <c r="W12" s="109">
        <f>+W9*1.06</f>
        <v>7305848.1218175525</v>
      </c>
    </row>
    <row r="13" spans="2:23" ht="36">
      <c r="B13" s="103" t="s">
        <v>89</v>
      </c>
      <c r="C13" s="104"/>
      <c r="D13" s="108"/>
      <c r="E13" s="104"/>
      <c r="F13" s="104"/>
      <c r="G13" s="104"/>
      <c r="H13" s="104"/>
      <c r="I13" s="104"/>
      <c r="J13" s="104"/>
      <c r="K13" s="104"/>
      <c r="L13" s="104"/>
      <c r="M13" s="104"/>
      <c r="N13" s="104"/>
      <c r="O13" s="104"/>
      <c r="P13" s="104"/>
      <c r="Q13" s="104"/>
      <c r="R13" s="104"/>
      <c r="S13" s="104"/>
      <c r="T13" s="104"/>
      <c r="U13" s="104"/>
      <c r="V13" s="104"/>
      <c r="W13" s="107"/>
    </row>
    <row r="14" spans="2:23" ht="36">
      <c r="B14" s="110" t="s">
        <v>90</v>
      </c>
      <c r="C14" s="111">
        <v>0.1</v>
      </c>
      <c r="E14" s="104"/>
      <c r="F14" s="106">
        <f aca="true" t="shared" si="3" ref="F14:W15">+F9*(1+$C$14)</f>
        <v>5414452.393606176</v>
      </c>
      <c r="G14" s="106">
        <f t="shared" si="3"/>
        <v>5522741.441478299</v>
      </c>
      <c r="H14" s="106">
        <f t="shared" si="3"/>
        <v>5633196.270307865</v>
      </c>
      <c r="I14" s="106">
        <f t="shared" si="3"/>
        <v>5745860.195714022</v>
      </c>
      <c r="J14" s="106">
        <f t="shared" si="3"/>
        <v>5860777.399628303</v>
      </c>
      <c r="K14" s="106">
        <f t="shared" si="3"/>
        <v>5977992.94762087</v>
      </c>
      <c r="L14" s="106">
        <f t="shared" si="3"/>
        <v>6097552.806573287</v>
      </c>
      <c r="M14" s="106">
        <f t="shared" si="3"/>
        <v>6219503.862704753</v>
      </c>
      <c r="N14" s="106">
        <f t="shared" si="3"/>
        <v>6343893.939958848</v>
      </c>
      <c r="O14" s="106">
        <f t="shared" si="3"/>
        <v>6470771.818758025</v>
      </c>
      <c r="P14" s="106">
        <f t="shared" si="3"/>
        <v>6600187.255133186</v>
      </c>
      <c r="Q14" s="106">
        <f t="shared" si="3"/>
        <v>6732191.000235849</v>
      </c>
      <c r="R14" s="106">
        <f t="shared" si="3"/>
        <v>6866834.8202405665</v>
      </c>
      <c r="S14" s="106">
        <f t="shared" si="3"/>
        <v>7004171.5166453775</v>
      </c>
      <c r="T14" s="106">
        <f t="shared" si="3"/>
        <v>7144254.946978285</v>
      </c>
      <c r="U14" s="106">
        <f t="shared" si="3"/>
        <v>7287140.045917851</v>
      </c>
      <c r="V14" s="106">
        <f t="shared" si="3"/>
        <v>7432882.846836207</v>
      </c>
      <c r="W14" s="109">
        <f t="shared" si="3"/>
        <v>7581540.503772932</v>
      </c>
    </row>
    <row r="15" spans="2:23" ht="18">
      <c r="B15" s="103" t="s">
        <v>91</v>
      </c>
      <c r="C15" s="104"/>
      <c r="D15" s="108"/>
      <c r="E15" s="104"/>
      <c r="F15" s="106">
        <f t="shared" si="3"/>
        <v>1719970.3936061757</v>
      </c>
      <c r="G15" s="106">
        <f t="shared" si="3"/>
        <v>1719970.3936061757</v>
      </c>
      <c r="H15" s="106">
        <f t="shared" si="3"/>
        <v>1719970.3936061757</v>
      </c>
      <c r="I15" s="106">
        <f t="shared" si="3"/>
        <v>1719970.3936061757</v>
      </c>
      <c r="J15" s="106">
        <f t="shared" si="3"/>
        <v>1719970.3936061757</v>
      </c>
      <c r="K15" s="106">
        <f t="shared" si="3"/>
        <v>1719970.3936061757</v>
      </c>
      <c r="L15" s="106">
        <f t="shared" si="3"/>
        <v>1719970.3936061757</v>
      </c>
      <c r="M15" s="106">
        <f t="shared" si="3"/>
        <v>1719970.3936061757</v>
      </c>
      <c r="N15" s="106">
        <f t="shared" si="3"/>
        <v>1719970.3936061757</v>
      </c>
      <c r="O15" s="106">
        <f t="shared" si="3"/>
        <v>1719970.3936061757</v>
      </c>
      <c r="P15" s="106">
        <f t="shared" si="3"/>
        <v>1719970.3936061757</v>
      </c>
      <c r="Q15" s="106">
        <f t="shared" si="3"/>
        <v>1719970.3936061757</v>
      </c>
      <c r="R15" s="106">
        <f t="shared" si="3"/>
        <v>1719970.3936061757</v>
      </c>
      <c r="S15" s="106">
        <f t="shared" si="3"/>
        <v>1719970.3936061757</v>
      </c>
      <c r="T15" s="106">
        <f t="shared" si="3"/>
        <v>1719970.3936061757</v>
      </c>
      <c r="U15" s="106">
        <f t="shared" si="3"/>
        <v>1719970.3936061757</v>
      </c>
      <c r="V15" s="106">
        <f t="shared" si="3"/>
        <v>1719970.3936061757</v>
      </c>
      <c r="W15" s="109">
        <f t="shared" si="3"/>
        <v>1719970.3936061757</v>
      </c>
    </row>
    <row r="16" spans="2:23" s="229" customFormat="1" ht="18">
      <c r="B16" s="227" t="s">
        <v>92</v>
      </c>
      <c r="C16" s="228"/>
      <c r="D16" s="230">
        <f>(+D14+D15-D12)*'ERR &amp; Sensitivity Analysis'!$G$27</f>
        <v>0</v>
      </c>
      <c r="E16" s="230">
        <f>(+E14+E15-E12)*'ERR &amp; Sensitivity Analysis'!$G$27</f>
        <v>0</v>
      </c>
      <c r="F16" s="226">
        <f>(+F14+F15-F12)*'ERR &amp; Sensitivity Analysis'!$G$27</f>
        <v>1916859.5715554915</v>
      </c>
      <c r="G16" s="225">
        <f>(+G14+G15-G12)*'ERR &amp; Sensitivity Analysis'!$G$27</f>
        <v>1920797.3551144777</v>
      </c>
      <c r="H16" s="226">
        <f>(+H14+H15-H12)*'ERR &amp; Sensitivity Analysis'!$G$27</f>
        <v>1924813.8943446437</v>
      </c>
      <c r="I16" s="226">
        <f>(+I14+I15-I12)*'ERR &amp; Sensitivity Analysis'!$G$27</f>
        <v>1928910.7643594127</v>
      </c>
      <c r="J16" s="226">
        <f>(+J14+J15-J12)*'ERR &amp; Sensitivity Analysis'!$G$27</f>
        <v>1933089.5717744771</v>
      </c>
      <c r="K16" s="226">
        <f>(+K14+K15-K12)*'ERR &amp; Sensitivity Analysis'!$G$27</f>
        <v>1937351.9553378439</v>
      </c>
      <c r="L16" s="226">
        <f>(+L14+L15-L12)*'ERR &amp; Sensitivity Analysis'!$G$27</f>
        <v>1941699.5865724767</v>
      </c>
      <c r="M16" s="226">
        <f>(+M14+M15-M12)*'ERR &amp; Sensitivity Analysis'!$G$27</f>
        <v>1946134.170431804</v>
      </c>
      <c r="N16" s="226">
        <f>(+N14+N15-N12)*'ERR &amp; Sensitivity Analysis'!$G$27</f>
        <v>1950657.445968316</v>
      </c>
      <c r="O16" s="226">
        <f>(+O14+O15-O12)*'ERR &amp; Sensitivity Analysis'!$G$27</f>
        <v>1955271.1870155586</v>
      </c>
      <c r="P16" s="226">
        <f>(+P14+P15-P12)*'ERR &amp; Sensitivity Analysis'!$G$27</f>
        <v>1959977.2028837465</v>
      </c>
      <c r="Q16" s="226">
        <f>(+Q14+Q15-Q12)*'ERR &amp; Sensitivity Analysis'!$G$27</f>
        <v>1964777.3390692975</v>
      </c>
      <c r="R16" s="226">
        <f>(+R14+R15-R12)*'ERR &amp; Sensitivity Analysis'!$G$27</f>
        <v>1969673.477978561</v>
      </c>
      <c r="S16" s="226">
        <f>(+S14+S15-S12)*'ERR &amp; Sensitivity Analysis'!$G$27</f>
        <v>1974667.5396660082</v>
      </c>
      <c r="T16" s="226">
        <f>(+T14+T15-T12)*'ERR &amp; Sensitivity Analysis'!$G$27</f>
        <v>1979761.4825872043</v>
      </c>
      <c r="U16" s="226">
        <f>(+U14+U15-U12)*'ERR &amp; Sensitivity Analysis'!$G$27</f>
        <v>1984957.3043668251</v>
      </c>
      <c r="V16" s="226">
        <f>(+V14+V15-V12)*'ERR &amp; Sensitivity Analysis'!$G$27</f>
        <v>1990257.0425820388</v>
      </c>
      <c r="W16" s="226">
        <f>(+W14+W15-W12)*'ERR &amp; Sensitivity Analysis'!$G$27</f>
        <v>1995662.7755615553</v>
      </c>
    </row>
    <row r="17" spans="2:23" ht="18">
      <c r="B17" s="103" t="s">
        <v>93</v>
      </c>
      <c r="C17" s="104"/>
      <c r="D17" s="105">
        <f aca="true" t="shared" si="4" ref="D17:W17">+D16-D8</f>
        <v>-1415156.4000000001</v>
      </c>
      <c r="E17" s="106">
        <f t="shared" si="4"/>
        <v>-5236078.68</v>
      </c>
      <c r="F17" s="106">
        <f t="shared" si="4"/>
        <v>-488894.5484445081</v>
      </c>
      <c r="G17" s="106">
        <f t="shared" si="4"/>
        <v>-767999.8048855225</v>
      </c>
      <c r="H17" s="106">
        <f t="shared" si="4"/>
        <v>1924813.8943446437</v>
      </c>
      <c r="I17" s="106">
        <f t="shared" si="4"/>
        <v>1928910.7643594127</v>
      </c>
      <c r="J17" s="106">
        <f t="shared" si="4"/>
        <v>1933089.5717744771</v>
      </c>
      <c r="K17" s="106">
        <f t="shared" si="4"/>
        <v>1937351.9553378439</v>
      </c>
      <c r="L17" s="106">
        <f t="shared" si="4"/>
        <v>1941699.5865724767</v>
      </c>
      <c r="M17" s="106">
        <f t="shared" si="4"/>
        <v>1946134.170431804</v>
      </c>
      <c r="N17" s="106">
        <f t="shared" si="4"/>
        <v>1950657.445968316</v>
      </c>
      <c r="O17" s="106">
        <f t="shared" si="4"/>
        <v>1955271.1870155586</v>
      </c>
      <c r="P17" s="106">
        <f t="shared" si="4"/>
        <v>1959977.2028837465</v>
      </c>
      <c r="Q17" s="106">
        <f t="shared" si="4"/>
        <v>1964777.3390692975</v>
      </c>
      <c r="R17" s="106">
        <f t="shared" si="4"/>
        <v>1969673.477978561</v>
      </c>
      <c r="S17" s="106">
        <f t="shared" si="4"/>
        <v>1974667.5396660082</v>
      </c>
      <c r="T17" s="106">
        <f t="shared" si="4"/>
        <v>1979761.4825872043</v>
      </c>
      <c r="U17" s="106">
        <f t="shared" si="4"/>
        <v>1984957.3043668251</v>
      </c>
      <c r="V17" s="106">
        <f t="shared" si="4"/>
        <v>1990257.0425820388</v>
      </c>
      <c r="W17" s="109">
        <f t="shared" si="4"/>
        <v>1995662.7755615553</v>
      </c>
    </row>
    <row r="18" spans="2:23" ht="18">
      <c r="B18" s="103" t="s">
        <v>94</v>
      </c>
      <c r="C18" s="104">
        <v>0.5</v>
      </c>
      <c r="D18" s="108">
        <f aca="true" t="shared" si="5" ref="D18:W18">+D16*$C$18-D8</f>
        <v>-1415156.4000000001</v>
      </c>
      <c r="E18" s="104">
        <f t="shared" si="5"/>
        <v>-5236078.68</v>
      </c>
      <c r="F18" s="106">
        <f t="shared" si="5"/>
        <v>-1447324.3342222539</v>
      </c>
      <c r="G18" s="106">
        <f t="shared" si="5"/>
        <v>-1728398.4824427613</v>
      </c>
      <c r="H18" s="106">
        <f t="shared" si="5"/>
        <v>962406.9471723218</v>
      </c>
      <c r="I18" s="106">
        <f t="shared" si="5"/>
        <v>964455.3821797064</v>
      </c>
      <c r="J18" s="106">
        <f t="shared" si="5"/>
        <v>966544.7858872386</v>
      </c>
      <c r="K18" s="106">
        <f t="shared" si="5"/>
        <v>968675.9776689219</v>
      </c>
      <c r="L18" s="106">
        <f t="shared" si="5"/>
        <v>970849.7932862383</v>
      </c>
      <c r="M18" s="106">
        <f t="shared" si="5"/>
        <v>973067.085215902</v>
      </c>
      <c r="N18" s="106">
        <f t="shared" si="5"/>
        <v>975328.722984158</v>
      </c>
      <c r="O18" s="106">
        <f t="shared" si="5"/>
        <v>977635.5935077793</v>
      </c>
      <c r="P18" s="106">
        <f t="shared" si="5"/>
        <v>979988.6014418732</v>
      </c>
      <c r="Q18" s="106">
        <f t="shared" si="5"/>
        <v>982388.6695346488</v>
      </c>
      <c r="R18" s="106">
        <f t="shared" si="5"/>
        <v>984836.7389892805</v>
      </c>
      <c r="S18" s="106">
        <f t="shared" si="5"/>
        <v>987333.7698330041</v>
      </c>
      <c r="T18" s="106">
        <f t="shared" si="5"/>
        <v>989880.7412936022</v>
      </c>
      <c r="U18" s="106">
        <f t="shared" si="5"/>
        <v>992478.6521834126</v>
      </c>
      <c r="V18" s="106">
        <f t="shared" si="5"/>
        <v>995128.5212910194</v>
      </c>
      <c r="W18" s="109">
        <f t="shared" si="5"/>
        <v>997831.3877807776</v>
      </c>
    </row>
    <row r="19" spans="2:23" ht="18">
      <c r="B19" s="112" t="s">
        <v>95</v>
      </c>
      <c r="C19" s="113">
        <f>+IRR(D17:W17)</f>
        <v>0.16616541475379343</v>
      </c>
      <c r="D19" s="114"/>
      <c r="E19" s="104"/>
      <c r="F19" s="106"/>
      <c r="G19" s="106"/>
      <c r="H19" s="106"/>
      <c r="I19" s="106"/>
      <c r="J19" s="106"/>
      <c r="K19" s="106"/>
      <c r="L19" s="106"/>
      <c r="M19" s="106"/>
      <c r="N19" s="106"/>
      <c r="O19" s="106"/>
      <c r="P19" s="106"/>
      <c r="Q19" s="106"/>
      <c r="R19" s="106"/>
      <c r="S19" s="106"/>
      <c r="T19" s="106"/>
      <c r="U19" s="106"/>
      <c r="V19" s="106"/>
      <c r="W19" s="109"/>
    </row>
    <row r="20" spans="2:23" ht="18">
      <c r="B20" s="103" t="s">
        <v>96</v>
      </c>
      <c r="C20" s="104"/>
      <c r="D20" s="108"/>
      <c r="E20" s="104"/>
      <c r="F20" s="106">
        <f>+F11/'NTF Flows and Key Assumptions'!$E$36/1.5</f>
        <v>86.47785196621031</v>
      </c>
      <c r="G20" s="106">
        <f>+G11/'NTF Flows and Key Assumptions'!$E$36/1.5</f>
        <v>87.79044648587241</v>
      </c>
      <c r="H20" s="106">
        <f>+H11/'NTF Flows and Key Assumptions'!$E$36/1.5</f>
        <v>89.12929289592775</v>
      </c>
      <c r="I20" s="106">
        <f>+I11/'NTF Flows and Key Assumptions'!$E$36/1.5</f>
        <v>90.4949162341842</v>
      </c>
      <c r="J20" s="106">
        <f>+J11/'NTF Flows and Key Assumptions'!$E$36/1.5</f>
        <v>91.88785203920581</v>
      </c>
      <c r="K20" s="106">
        <f>+K11/'NTF Flows and Key Assumptions'!$E$36/1.5</f>
        <v>93.30864656032782</v>
      </c>
      <c r="L20" s="106">
        <f>+L11/'NTF Flows and Key Assumptions'!$E$36/1.5</f>
        <v>94.75785697187227</v>
      </c>
      <c r="M20" s="106">
        <f>+M11/'NTF Flows and Key Assumptions'!$E$36/1.5</f>
        <v>96.23605159164761</v>
      </c>
      <c r="N20" s="106">
        <f>+N11/'NTF Flows and Key Assumptions'!$E$36/1.5</f>
        <v>97.74381010381846</v>
      </c>
      <c r="O20" s="106">
        <f>+O11/'NTF Flows and Key Assumptions'!$E$36/1.5</f>
        <v>99.28172378623272</v>
      </c>
      <c r="P20" s="106">
        <f>+P11/'NTF Flows and Key Assumptions'!$E$36/1.5</f>
        <v>100.85039574229529</v>
      </c>
      <c r="Q20" s="106">
        <f>+Q11/'NTF Flows and Key Assumptions'!$E$36/1.5</f>
        <v>102.45044113747907</v>
      </c>
      <c r="R20" s="106">
        <f>+R11/'NTF Flows and Key Assumptions'!$E$36/1.5</f>
        <v>104.08248744056657</v>
      </c>
      <c r="S20" s="106">
        <f>+S11/'NTF Flows and Key Assumptions'!$E$36/1.5</f>
        <v>105.74717466971579</v>
      </c>
      <c r="T20" s="106">
        <f>+T11/'NTF Flows and Key Assumptions'!$E$36/1.5</f>
        <v>107.445155643448</v>
      </c>
      <c r="U20" s="106">
        <f>+U11/'NTF Flows and Key Assumptions'!$E$36/1.5</f>
        <v>109.17709623665486</v>
      </c>
      <c r="V20" s="106">
        <f>+V11/'NTF Flows and Key Assumptions'!$E$36/1.5</f>
        <v>110.94367564172586</v>
      </c>
      <c r="W20" s="109">
        <f>+W11/'NTF Flows and Key Assumptions'!$E$36/1.5</f>
        <v>112.74558663489826</v>
      </c>
    </row>
    <row r="21" spans="2:23" ht="36">
      <c r="B21" s="103" t="s">
        <v>97</v>
      </c>
      <c r="C21" s="104"/>
      <c r="D21" s="108"/>
      <c r="E21" s="104"/>
      <c r="F21" s="106"/>
      <c r="G21" s="106"/>
      <c r="H21" s="106"/>
      <c r="I21" s="106"/>
      <c r="J21" s="106"/>
      <c r="K21" s="106"/>
      <c r="L21" s="106"/>
      <c r="M21" s="106"/>
      <c r="N21" s="106"/>
      <c r="O21" s="106"/>
      <c r="P21" s="106"/>
      <c r="Q21" s="106"/>
      <c r="R21" s="106"/>
      <c r="S21" s="106"/>
      <c r="T21" s="106"/>
      <c r="U21" s="106"/>
      <c r="V21" s="106"/>
      <c r="W21" s="109"/>
    </row>
    <row r="22" spans="2:23" ht="18">
      <c r="B22" s="103"/>
      <c r="C22" s="104"/>
      <c r="D22" s="108" t="s">
        <v>98</v>
      </c>
      <c r="E22" s="104"/>
      <c r="F22" s="106">
        <f>+F20</f>
        <v>86.47785196621031</v>
      </c>
      <c r="G22" s="106">
        <f>+G20+F22</f>
        <v>174.26829845208272</v>
      </c>
      <c r="H22" s="106">
        <f aca="true" t="shared" si="6" ref="H22:R22">+H20+G22</f>
        <v>263.39759134801045</v>
      </c>
      <c r="I22" s="106">
        <f t="shared" si="6"/>
        <v>353.89250758219464</v>
      </c>
      <c r="J22" s="106">
        <f t="shared" si="6"/>
        <v>445.78035962140046</v>
      </c>
      <c r="K22" s="106">
        <f t="shared" si="6"/>
        <v>539.0890061817283</v>
      </c>
      <c r="L22" s="106">
        <f t="shared" si="6"/>
        <v>633.8468631536006</v>
      </c>
      <c r="M22" s="106">
        <f t="shared" si="6"/>
        <v>730.0829147452482</v>
      </c>
      <c r="N22" s="106">
        <f t="shared" si="6"/>
        <v>827.8267248490666</v>
      </c>
      <c r="O22" s="106">
        <f t="shared" si="6"/>
        <v>927.1084486352994</v>
      </c>
      <c r="P22" s="106">
        <f t="shared" si="6"/>
        <v>1027.9588443775947</v>
      </c>
      <c r="Q22" s="106">
        <f t="shared" si="6"/>
        <v>1130.4092855150739</v>
      </c>
      <c r="R22" s="215">
        <f t="shared" si="6"/>
        <v>1234.4917729556405</v>
      </c>
      <c r="S22" s="215">
        <f>+S20+R22</f>
        <v>1340.2389476253563</v>
      </c>
      <c r="T22" s="215">
        <f>+T20+S22</f>
        <v>1447.6841032688044</v>
      </c>
      <c r="U22" s="215">
        <f>+U20+T22</f>
        <v>1556.8611995054594</v>
      </c>
      <c r="V22" s="215">
        <f>+V20+U22</f>
        <v>1667.8048751471852</v>
      </c>
      <c r="W22" s="216">
        <f>+W20+V22</f>
        <v>1780.5504617820834</v>
      </c>
    </row>
    <row r="23" spans="2:23" ht="36">
      <c r="B23" s="103"/>
      <c r="C23" s="104"/>
      <c r="D23" s="108" t="s">
        <v>99</v>
      </c>
      <c r="E23" s="104"/>
      <c r="F23" s="104">
        <f aca="true" t="shared" si="7" ref="F23:W23">+F11*(1+$C$14)/F20</f>
        <v>82500</v>
      </c>
      <c r="G23" s="104">
        <f t="shared" si="7"/>
        <v>82500.00000000001</v>
      </c>
      <c r="H23" s="104">
        <f t="shared" si="7"/>
        <v>82500</v>
      </c>
      <c r="I23" s="104">
        <f t="shared" si="7"/>
        <v>82500.00000000001</v>
      </c>
      <c r="J23" s="104">
        <f t="shared" si="7"/>
        <v>82500</v>
      </c>
      <c r="K23" s="104">
        <f t="shared" si="7"/>
        <v>82500</v>
      </c>
      <c r="L23" s="104">
        <f t="shared" si="7"/>
        <v>82500.00000000001</v>
      </c>
      <c r="M23" s="104">
        <f t="shared" si="7"/>
        <v>82500.00000000001</v>
      </c>
      <c r="N23" s="104">
        <f t="shared" si="7"/>
        <v>82500</v>
      </c>
      <c r="O23" s="104">
        <f t="shared" si="7"/>
        <v>82500.00000000001</v>
      </c>
      <c r="P23" s="104">
        <f t="shared" si="7"/>
        <v>82500</v>
      </c>
      <c r="Q23" s="104">
        <f t="shared" si="7"/>
        <v>82500.00000000001</v>
      </c>
      <c r="R23" s="115">
        <f t="shared" si="7"/>
        <v>82500.00000000001</v>
      </c>
      <c r="S23" s="115">
        <f t="shared" si="7"/>
        <v>82500</v>
      </c>
      <c r="T23" s="115">
        <f t="shared" si="7"/>
        <v>82500</v>
      </c>
      <c r="U23" s="115">
        <f t="shared" si="7"/>
        <v>82500</v>
      </c>
      <c r="V23" s="115">
        <f t="shared" si="7"/>
        <v>82500</v>
      </c>
      <c r="W23" s="116">
        <f t="shared" si="7"/>
        <v>82500.00000000001</v>
      </c>
    </row>
    <row r="24" spans="2:23" ht="36">
      <c r="B24" s="103"/>
      <c r="C24" s="104"/>
      <c r="D24" s="108" t="s">
        <v>100</v>
      </c>
      <c r="E24" s="104"/>
      <c r="F24" s="117">
        <f>-PMT(0.1,30,F23)</f>
        <v>8751.537980842299</v>
      </c>
      <c r="G24" s="104"/>
      <c r="H24" s="104"/>
      <c r="I24" s="104"/>
      <c r="J24" s="104"/>
      <c r="K24" s="104"/>
      <c r="L24" s="104"/>
      <c r="M24" s="104"/>
      <c r="N24" s="104"/>
      <c r="O24" s="104"/>
      <c r="P24" s="104"/>
      <c r="Q24" s="104"/>
      <c r="R24" s="115"/>
      <c r="S24" s="115"/>
      <c r="T24" s="115"/>
      <c r="U24" s="115"/>
      <c r="V24" s="115"/>
      <c r="W24" s="116"/>
    </row>
    <row r="25" spans="2:23" ht="18">
      <c r="B25" s="118" t="s">
        <v>101</v>
      </c>
      <c r="C25" s="119"/>
      <c r="D25" s="120" t="s">
        <v>102</v>
      </c>
      <c r="E25" s="121"/>
      <c r="F25" s="122">
        <f>+F24/7</f>
        <v>1250.2197115488998</v>
      </c>
      <c r="G25" s="121"/>
      <c r="H25" s="121"/>
      <c r="I25" s="121"/>
      <c r="J25" s="121"/>
      <c r="K25" s="121"/>
      <c r="L25" s="121"/>
      <c r="M25" s="121"/>
      <c r="N25" s="121"/>
      <c r="O25" s="121"/>
      <c r="P25" s="121"/>
      <c r="Q25" s="121"/>
      <c r="R25" s="123"/>
      <c r="S25" s="123"/>
      <c r="T25" s="123"/>
      <c r="U25" s="123"/>
      <c r="V25" s="123"/>
      <c r="W25" s="124"/>
    </row>
    <row r="26" spans="18:23" ht="18">
      <c r="R26" s="125"/>
      <c r="S26" s="125"/>
      <c r="T26" s="125"/>
      <c r="U26" s="125"/>
      <c r="V26" s="125"/>
      <c r="W26" s="125"/>
    </row>
    <row r="27" spans="4:6" ht="18">
      <c r="D27" s="126"/>
      <c r="E27" s="127"/>
      <c r="F27" s="127"/>
    </row>
    <row r="28" ht="18">
      <c r="C28" s="127"/>
    </row>
    <row r="29" spans="2:3" ht="18">
      <c r="B29" s="231"/>
      <c r="C29" s="127"/>
    </row>
    <row r="32" ht="18">
      <c r="I32" s="128"/>
    </row>
    <row r="33" ht="18">
      <c r="I33" s="128"/>
    </row>
  </sheetData>
  <sheetProtection/>
  <mergeCells count="3">
    <mergeCell ref="B5:G5"/>
    <mergeCell ref="B1:F3"/>
    <mergeCell ref="B4:F4"/>
  </mergeCells>
  <printOptions horizontalCentered="1"/>
  <pageMargins left="0.25" right="0.25" top="0.75" bottom="0.75" header="0.5" footer="0.36"/>
  <pageSetup horizontalDpi="600" verticalDpi="600" orientation="landscape" scale="22" r:id="rId3"/>
  <headerFooter>
    <oddHeader>&amp;L&amp;G&amp;R&amp;27&amp;A</oddHeader>
    <oddFooter>&amp;R&amp;P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6">
    <tabColor theme="6" tint="-0.24997000396251678"/>
  </sheetPr>
  <dimension ref="A1:Y55"/>
  <sheetViews>
    <sheetView showGridLines="0" zoomScale="65" zoomScaleNormal="65" zoomScalePageLayoutView="0" workbookViewId="0" topLeftCell="A1">
      <selection activeCell="E36" sqref="E36"/>
    </sheetView>
  </sheetViews>
  <sheetFormatPr defaultColWidth="9.140625" defaultRowHeight="12.75"/>
  <cols>
    <col min="1" max="1" width="5.7109375" style="97" customWidth="1"/>
    <col min="2" max="2" width="48.7109375" style="96" customWidth="1"/>
    <col min="3" max="3" width="19.7109375" style="96" bestFit="1" customWidth="1"/>
    <col min="4" max="4" width="18.421875" style="96" customWidth="1"/>
    <col min="5" max="5" width="15.57421875" style="96" bestFit="1" customWidth="1"/>
    <col min="6" max="6" width="16.00390625" style="96" customWidth="1"/>
    <col min="7" max="7" width="16.140625" style="96" bestFit="1" customWidth="1"/>
    <col min="8" max="8" width="32.8515625" style="97" bestFit="1" customWidth="1"/>
    <col min="9" max="9" width="5.7109375" style="97" customWidth="1"/>
    <col min="10" max="11" width="19.140625" style="97" bestFit="1" customWidth="1"/>
    <col min="12" max="12" width="16.8515625" style="97" bestFit="1" customWidth="1"/>
    <col min="13" max="13" width="123.28125" style="97" bestFit="1" customWidth="1"/>
    <col min="14" max="14" width="9.57421875" style="97" bestFit="1" customWidth="1"/>
    <col min="15" max="15" width="24.00390625" style="97" bestFit="1" customWidth="1"/>
    <col min="16" max="16" width="9.57421875" style="97" bestFit="1" customWidth="1"/>
    <col min="17" max="17" width="13.8515625" style="97" bestFit="1" customWidth="1"/>
    <col min="18" max="18" width="8.28125" style="97" bestFit="1" customWidth="1"/>
    <col min="19" max="19" width="10.7109375" style="97" bestFit="1" customWidth="1"/>
    <col min="20" max="20" width="18.8515625" style="97" bestFit="1" customWidth="1"/>
    <col min="21" max="21" width="10.140625" style="97" bestFit="1" customWidth="1"/>
    <col min="22" max="22" width="17.00390625" style="97" bestFit="1" customWidth="1"/>
    <col min="23" max="23" width="18.8515625" style="97" bestFit="1" customWidth="1"/>
    <col min="24" max="16384" width="9.140625" style="97" customWidth="1"/>
  </cols>
  <sheetData>
    <row r="1" spans="2:6" s="41" customFormat="1" ht="12.75" customHeight="1">
      <c r="B1" s="316" t="s">
        <v>150</v>
      </c>
      <c r="C1" s="316"/>
      <c r="D1" s="316"/>
      <c r="E1" s="316"/>
      <c r="F1" s="316"/>
    </row>
    <row r="2" spans="2:6" s="41" customFormat="1" ht="12.75" customHeight="1">
      <c r="B2" s="316"/>
      <c r="C2" s="316"/>
      <c r="D2" s="316"/>
      <c r="E2" s="316"/>
      <c r="F2" s="316"/>
    </row>
    <row r="3" spans="2:6" s="41" customFormat="1" ht="19.5" customHeight="1">
      <c r="B3" s="316"/>
      <c r="C3" s="316"/>
      <c r="D3" s="316"/>
      <c r="E3" s="316"/>
      <c r="F3" s="316"/>
    </row>
    <row r="4" spans="2:6" s="41" customFormat="1" ht="24" customHeight="1">
      <c r="B4" s="319" t="s">
        <v>173</v>
      </c>
      <c r="C4" s="319"/>
      <c r="D4" s="319"/>
      <c r="E4" s="319"/>
      <c r="F4" s="319"/>
    </row>
    <row r="5" spans="2:23" ht="18">
      <c r="B5" s="129"/>
      <c r="C5" s="129"/>
      <c r="D5" s="129"/>
      <c r="E5" s="129"/>
      <c r="F5" s="129"/>
      <c r="G5" s="129"/>
      <c r="H5" s="129"/>
      <c r="I5" s="129"/>
      <c r="J5" s="129"/>
      <c r="K5" s="129"/>
      <c r="L5" s="129"/>
      <c r="M5" s="129"/>
      <c r="N5" s="129"/>
      <c r="O5" s="129"/>
      <c r="P5" s="129"/>
      <c r="Q5" s="129"/>
      <c r="R5" s="129"/>
      <c r="S5" s="129"/>
      <c r="T5" s="129"/>
      <c r="U5" s="129"/>
      <c r="V5" s="129"/>
      <c r="W5" s="129"/>
    </row>
    <row r="6" spans="2:9" ht="18">
      <c r="B6" s="369" t="s">
        <v>103</v>
      </c>
      <c r="C6" s="370"/>
      <c r="D6" s="370"/>
      <c r="E6" s="370"/>
      <c r="F6" s="370"/>
      <c r="G6" s="373"/>
      <c r="I6" s="97" t="s">
        <v>149</v>
      </c>
    </row>
    <row r="7" spans="2:7" ht="18">
      <c r="B7" s="130" t="s">
        <v>104</v>
      </c>
      <c r="C7" s="131"/>
      <c r="D7" s="132">
        <v>0.01</v>
      </c>
      <c r="E7" s="133"/>
      <c r="F7" s="134">
        <f>'ERR &amp; Sensitivity Analysis'!D29</f>
        <v>0.01</v>
      </c>
      <c r="G7" s="135">
        <v>0.85</v>
      </c>
    </row>
    <row r="8" spans="2:7" ht="18">
      <c r="B8" s="103"/>
      <c r="C8" s="133" t="s">
        <v>105</v>
      </c>
      <c r="D8" s="133" t="s">
        <v>106</v>
      </c>
      <c r="E8" s="133" t="s">
        <v>107</v>
      </c>
      <c r="F8" s="133" t="s">
        <v>107</v>
      </c>
      <c r="G8" s="136" t="s">
        <v>108</v>
      </c>
    </row>
    <row r="9" spans="2:7" ht="18">
      <c r="B9" s="110" t="s">
        <v>109</v>
      </c>
      <c r="C9" s="137">
        <v>5788013000</v>
      </c>
      <c r="D9" s="105">
        <f>C9*0.01</f>
        <v>57880130</v>
      </c>
      <c r="E9" s="105">
        <f>+D9/7</f>
        <v>8268590</v>
      </c>
      <c r="F9" s="105">
        <f>+E9</f>
        <v>8268590</v>
      </c>
      <c r="G9" s="138">
        <v>1958620</v>
      </c>
    </row>
    <row r="10" spans="2:7" ht="18">
      <c r="B10" s="103" t="s">
        <v>110</v>
      </c>
      <c r="C10" s="137">
        <f>+E27*100</f>
        <v>1094526614.113021</v>
      </c>
      <c r="D10" s="105">
        <f>+C10*F7</f>
        <v>10945266.141130209</v>
      </c>
      <c r="E10" s="105">
        <f>+D10/7</f>
        <v>1563609.448732887</v>
      </c>
      <c r="F10" s="105">
        <f>+E10</f>
        <v>1563609.448732887</v>
      </c>
      <c r="G10" s="139">
        <f>+F10</f>
        <v>1563609.448732887</v>
      </c>
    </row>
    <row r="11" spans="2:7" ht="18">
      <c r="B11" s="140" t="s">
        <v>111</v>
      </c>
      <c r="C11" s="141"/>
      <c r="D11" s="142">
        <f>D9+D10</f>
        <v>68825396.14113021</v>
      </c>
      <c r="E11" s="141"/>
      <c r="F11" s="142">
        <f>F9+F10</f>
        <v>9832199.448732886</v>
      </c>
      <c r="G11" s="143">
        <f>+G10+G9</f>
        <v>3522229.448732887</v>
      </c>
    </row>
    <row r="12" spans="1:7" ht="18">
      <c r="A12" s="144"/>
      <c r="B12" s="145"/>
      <c r="C12" s="146"/>
      <c r="D12" s="147"/>
      <c r="E12" s="146"/>
      <c r="F12" s="147"/>
      <c r="G12" s="147"/>
    </row>
    <row r="13" spans="1:7" ht="18">
      <c r="A13" s="144"/>
      <c r="B13" s="369" t="s">
        <v>112</v>
      </c>
      <c r="C13" s="374"/>
      <c r="D13" s="374"/>
      <c r="E13" s="374"/>
      <c r="F13" s="374"/>
      <c r="G13" s="375"/>
    </row>
    <row r="14" spans="1:8" s="151" customFormat="1" ht="18">
      <c r="A14" s="148"/>
      <c r="B14" s="149"/>
      <c r="C14" s="133" t="s">
        <v>113</v>
      </c>
      <c r="D14" s="133" t="s">
        <v>114</v>
      </c>
      <c r="E14" s="133" t="s">
        <v>114</v>
      </c>
      <c r="F14" s="133" t="s">
        <v>115</v>
      </c>
      <c r="G14" s="150" t="s">
        <v>116</v>
      </c>
      <c r="H14" s="136" t="s">
        <v>117</v>
      </c>
    </row>
    <row r="15" spans="1:8" ht="18">
      <c r="A15" s="144"/>
      <c r="B15" s="152">
        <v>2002</v>
      </c>
      <c r="C15" s="108" t="s">
        <v>66</v>
      </c>
      <c r="D15" s="153"/>
      <c r="E15" s="153">
        <v>3</v>
      </c>
      <c r="F15" s="154">
        <v>12.9</v>
      </c>
      <c r="G15" s="104">
        <v>1.129</v>
      </c>
      <c r="H15" s="107"/>
    </row>
    <row r="16" spans="1:8" ht="18">
      <c r="A16" s="144"/>
      <c r="B16" s="152">
        <v>2003</v>
      </c>
      <c r="C16" s="108"/>
      <c r="D16" s="153"/>
      <c r="E16" s="153">
        <v>3</v>
      </c>
      <c r="F16" s="154">
        <v>7.3</v>
      </c>
      <c r="G16" s="104">
        <f aca="true" t="shared" si="0" ref="G16:G21">G15*(1+F16/100)</f>
        <v>1.211417</v>
      </c>
      <c r="H16" s="107"/>
    </row>
    <row r="17" spans="1:11" ht="18">
      <c r="A17" s="144"/>
      <c r="B17" s="152">
        <v>2004</v>
      </c>
      <c r="C17" s="108"/>
      <c r="D17" s="153"/>
      <c r="E17" s="153">
        <v>3</v>
      </c>
      <c r="F17" s="154">
        <v>4.2</v>
      </c>
      <c r="G17" s="104">
        <f t="shared" si="0"/>
        <v>1.262296514</v>
      </c>
      <c r="H17" s="107">
        <v>1</v>
      </c>
      <c r="K17" s="97" t="s">
        <v>66</v>
      </c>
    </row>
    <row r="18" spans="1:8" ht="18">
      <c r="A18" s="144"/>
      <c r="B18" s="152">
        <v>2005</v>
      </c>
      <c r="C18" s="108">
        <v>2.2</v>
      </c>
      <c r="D18" s="153">
        <v>2</v>
      </c>
      <c r="E18" s="153">
        <v>3</v>
      </c>
      <c r="F18" s="154">
        <v>2.25</v>
      </c>
      <c r="G18" s="104">
        <f t="shared" si="0"/>
        <v>1.290698185565</v>
      </c>
      <c r="H18" s="107">
        <f>H17*(1+F18/100)</f>
        <v>1.0225</v>
      </c>
    </row>
    <row r="19" spans="1:8" ht="18">
      <c r="A19" s="144"/>
      <c r="B19" s="152">
        <v>2006</v>
      </c>
      <c r="C19" s="108">
        <v>5.1</v>
      </c>
      <c r="D19" s="153">
        <v>2</v>
      </c>
      <c r="E19" s="153">
        <v>3</v>
      </c>
      <c r="F19" s="154">
        <v>5.1</v>
      </c>
      <c r="G19" s="104">
        <f t="shared" si="0"/>
        <v>1.3565237930288148</v>
      </c>
      <c r="H19" s="107">
        <f>H18*(1+F19/100)</f>
        <v>1.0746475</v>
      </c>
    </row>
    <row r="20" spans="1:8" ht="18">
      <c r="A20" s="144"/>
      <c r="B20" s="152">
        <v>2007</v>
      </c>
      <c r="C20" s="108">
        <v>6.7</v>
      </c>
      <c r="D20" s="153">
        <v>2</v>
      </c>
      <c r="E20" s="108"/>
      <c r="F20" s="154">
        <v>6.7</v>
      </c>
      <c r="G20" s="104">
        <f t="shared" si="0"/>
        <v>1.4474108871617453</v>
      </c>
      <c r="H20" s="107">
        <f>H19*(1+F20/100)</f>
        <v>1.1466488824999999</v>
      </c>
    </row>
    <row r="21" spans="1:8" ht="21">
      <c r="A21" s="144"/>
      <c r="B21" s="155" t="s">
        <v>118</v>
      </c>
      <c r="C21" s="120"/>
      <c r="D21" s="120"/>
      <c r="E21" s="120"/>
      <c r="F21" s="156">
        <f>AVERAGE(F15:F20)</f>
        <v>6.408333333333334</v>
      </c>
      <c r="G21" s="121">
        <f t="shared" si="0"/>
        <v>1.540165801514027</v>
      </c>
      <c r="H21" s="157">
        <f>H20*(1+F21/100)</f>
        <v>1.2201299650535415</v>
      </c>
    </row>
    <row r="22" spans="1:7" ht="18">
      <c r="A22" s="144"/>
      <c r="B22" s="158"/>
      <c r="C22" s="159"/>
      <c r="D22" s="160"/>
      <c r="E22" s="159"/>
      <c r="F22" s="161"/>
      <c r="G22" s="161"/>
    </row>
    <row r="23" spans="2:7" ht="18">
      <c r="B23" s="369" t="s">
        <v>119</v>
      </c>
      <c r="C23" s="370"/>
      <c r="D23" s="370"/>
      <c r="E23" s="370"/>
      <c r="F23" s="162"/>
      <c r="G23" s="163"/>
    </row>
    <row r="24" spans="2:7" ht="18">
      <c r="B24" s="376" t="s">
        <v>120</v>
      </c>
      <c r="C24" s="377"/>
      <c r="D24" s="377"/>
      <c r="E24" s="377"/>
      <c r="F24" s="112"/>
      <c r="G24" s="164"/>
    </row>
    <row r="25" spans="2:7" ht="18">
      <c r="B25" s="378" t="s">
        <v>121</v>
      </c>
      <c r="C25" s="379"/>
      <c r="D25" s="108"/>
      <c r="E25" s="165" t="s">
        <v>106</v>
      </c>
      <c r="F25" s="166"/>
      <c r="G25" s="127"/>
    </row>
    <row r="26" spans="2:7" ht="18">
      <c r="B26" s="112" t="s">
        <v>122</v>
      </c>
      <c r="C26" s="114"/>
      <c r="D26" s="105">
        <v>4186000</v>
      </c>
      <c r="E26" s="139">
        <f>D26*H$21</f>
        <v>5107464.033714125</v>
      </c>
      <c r="F26" s="166"/>
      <c r="G26" s="127"/>
    </row>
    <row r="27" spans="2:7" ht="18">
      <c r="B27" s="167" t="s">
        <v>123</v>
      </c>
      <c r="C27" s="114"/>
      <c r="D27" s="168">
        <f>'ERR &amp; Sensitivity Analysis'!D30</f>
        <v>8970574</v>
      </c>
      <c r="E27" s="139">
        <f>D27*H$21</f>
        <v>10945266.141130209</v>
      </c>
      <c r="F27" s="166"/>
      <c r="G27" s="127"/>
    </row>
    <row r="28" spans="2:7" ht="18">
      <c r="B28" s="112" t="s">
        <v>124</v>
      </c>
      <c r="C28" s="114"/>
      <c r="D28" s="105">
        <v>22810000</v>
      </c>
      <c r="E28" s="139">
        <f>D28*H$21</f>
        <v>27831164.502871282</v>
      </c>
      <c r="F28" s="166"/>
      <c r="G28" s="127"/>
    </row>
    <row r="29" spans="2:7" ht="18">
      <c r="B29" s="380" t="s">
        <v>125</v>
      </c>
      <c r="C29" s="381"/>
      <c r="D29" s="381"/>
      <c r="E29" s="382"/>
      <c r="F29" s="169"/>
      <c r="G29" s="170"/>
    </row>
    <row r="30" spans="2:9" ht="18">
      <c r="B30" s="146"/>
      <c r="C30" s="146"/>
      <c r="D30" s="146"/>
      <c r="E30" s="146"/>
      <c r="F30" s="164"/>
      <c r="G30" s="164"/>
      <c r="H30" s="127"/>
      <c r="I30" s="127"/>
    </row>
    <row r="31" spans="2:7" ht="18">
      <c r="B31" s="369" t="s">
        <v>126</v>
      </c>
      <c r="C31" s="370"/>
      <c r="D31" s="370"/>
      <c r="E31" s="370"/>
      <c r="F31" s="371" t="s">
        <v>66</v>
      </c>
      <c r="G31" s="372"/>
    </row>
    <row r="32" spans="2:7" ht="18">
      <c r="B32" s="349" t="s">
        <v>122</v>
      </c>
      <c r="C32" s="350"/>
      <c r="D32" s="351"/>
      <c r="E32" s="139">
        <f>E26*2</f>
        <v>10214928.06742825</v>
      </c>
      <c r="G32" s="97"/>
    </row>
    <row r="33" spans="2:7" ht="18">
      <c r="B33" s="358" t="s">
        <v>123</v>
      </c>
      <c r="C33" s="359"/>
      <c r="D33" s="360"/>
      <c r="E33" s="139">
        <f>E27*2</f>
        <v>21890532.282260418</v>
      </c>
      <c r="G33" s="97"/>
    </row>
    <row r="34" spans="2:7" ht="18">
      <c r="B34" s="361" t="s">
        <v>124</v>
      </c>
      <c r="C34" s="362"/>
      <c r="D34" s="363"/>
      <c r="E34" s="171">
        <f>E28*2</f>
        <v>55662329.005742565</v>
      </c>
      <c r="G34" s="97"/>
    </row>
    <row r="35" spans="2:7" ht="18" customHeight="1">
      <c r="B35" s="364" t="s">
        <v>127</v>
      </c>
      <c r="C35" s="365"/>
      <c r="D35" s="365"/>
      <c r="E35" s="172">
        <f>'ERR &amp; Sensitivity Analysis'!D31</f>
        <v>1</v>
      </c>
      <c r="G35" s="97"/>
    </row>
    <row r="36" spans="2:7" ht="18" customHeight="1">
      <c r="B36" s="364" t="s">
        <v>128</v>
      </c>
      <c r="C36" s="365"/>
      <c r="D36" s="365"/>
      <c r="E36" s="173">
        <f>'ERR &amp; Sensitivity Analysis'!D32</f>
        <v>50000</v>
      </c>
      <c r="G36" s="97"/>
    </row>
    <row r="37" spans="2:7" ht="18" customHeight="1">
      <c r="B37" s="366" t="s">
        <v>129</v>
      </c>
      <c r="C37" s="367"/>
      <c r="D37" s="367"/>
      <c r="E37" s="174">
        <f>5031*3*7</f>
        <v>105651</v>
      </c>
      <c r="G37" s="97"/>
    </row>
    <row r="38" spans="2:10" ht="18">
      <c r="B38" s="164"/>
      <c r="C38" s="164"/>
      <c r="D38" s="164"/>
      <c r="E38" s="164"/>
      <c r="F38" s="164"/>
      <c r="G38" s="164"/>
      <c r="H38" s="144"/>
      <c r="I38" s="144"/>
      <c r="J38" s="144"/>
    </row>
    <row r="39" spans="2:7" ht="18">
      <c r="B39" s="368" t="s">
        <v>27</v>
      </c>
      <c r="C39" s="353"/>
      <c r="D39" s="353"/>
      <c r="E39" s="353"/>
      <c r="F39" s="353"/>
      <c r="G39" s="354"/>
    </row>
    <row r="40" spans="2:7" ht="18">
      <c r="B40" s="352" t="s">
        <v>130</v>
      </c>
      <c r="C40" s="353"/>
      <c r="D40" s="353"/>
      <c r="E40" s="353"/>
      <c r="F40" s="353"/>
      <c r="G40" s="354"/>
    </row>
    <row r="41" spans="2:7" ht="18">
      <c r="B41" s="352" t="s">
        <v>131</v>
      </c>
      <c r="C41" s="353"/>
      <c r="D41" s="353"/>
      <c r="E41" s="353"/>
      <c r="F41" s="353"/>
      <c r="G41" s="354"/>
    </row>
    <row r="42" spans="2:7" ht="18">
      <c r="B42" s="355" t="s">
        <v>132</v>
      </c>
      <c r="C42" s="356"/>
      <c r="D42" s="356"/>
      <c r="E42" s="356"/>
      <c r="F42" s="356"/>
      <c r="G42" s="357"/>
    </row>
    <row r="43" spans="2:7" ht="18">
      <c r="B43" s="97"/>
      <c r="C43" s="97"/>
      <c r="D43" s="97"/>
      <c r="E43" s="97"/>
      <c r="F43" s="97"/>
      <c r="G43" s="97"/>
    </row>
    <row r="44" spans="2:7" ht="18">
      <c r="B44" s="97"/>
      <c r="C44" s="97"/>
      <c r="D44" s="97"/>
      <c r="E44" s="97"/>
      <c r="F44" s="97"/>
      <c r="G44" s="97"/>
    </row>
    <row r="45" spans="2:7" ht="18">
      <c r="B45" s="97"/>
      <c r="C45" s="97"/>
      <c r="D45" s="97"/>
      <c r="E45" s="97"/>
      <c r="F45" s="97"/>
      <c r="G45" s="97"/>
    </row>
    <row r="46" spans="2:7" ht="18">
      <c r="B46" s="97"/>
      <c r="C46" s="97"/>
      <c r="D46" s="97"/>
      <c r="E46" s="97"/>
      <c r="F46" s="97"/>
      <c r="G46" s="97"/>
    </row>
    <row r="47" spans="2:7" ht="18">
      <c r="B47" s="97"/>
      <c r="C47" s="97"/>
      <c r="D47" s="97"/>
      <c r="E47" s="97"/>
      <c r="F47" s="97"/>
      <c r="G47" s="97"/>
    </row>
    <row r="48" spans="2:7" ht="18">
      <c r="B48" s="97"/>
      <c r="C48" s="97"/>
      <c r="D48" s="97"/>
      <c r="E48" s="97"/>
      <c r="F48" s="97"/>
      <c r="G48" s="97"/>
    </row>
    <row r="49" spans="2:7" ht="18">
      <c r="B49" s="97"/>
      <c r="C49" s="97"/>
      <c r="D49" s="97"/>
      <c r="E49" s="97"/>
      <c r="F49" s="97"/>
      <c r="G49" s="97"/>
    </row>
    <row r="52" spans="14:25" ht="18">
      <c r="N52" s="144"/>
      <c r="O52" s="164"/>
      <c r="P52" s="164"/>
      <c r="Q52" s="164"/>
      <c r="R52" s="164"/>
      <c r="S52" s="164"/>
      <c r="T52" s="164"/>
      <c r="U52" s="144"/>
      <c r="V52" s="144"/>
      <c r="W52" s="144"/>
      <c r="X52" s="144"/>
      <c r="Y52" s="144"/>
    </row>
    <row r="53" spans="14:25" ht="18">
      <c r="N53" s="144"/>
      <c r="O53" s="164"/>
      <c r="P53" s="164"/>
      <c r="Q53" s="164"/>
      <c r="R53" s="164"/>
      <c r="S53" s="164"/>
      <c r="T53" s="164"/>
      <c r="U53" s="144"/>
      <c r="V53" s="144"/>
      <c r="W53" s="144"/>
      <c r="X53" s="144"/>
      <c r="Y53" s="144"/>
    </row>
    <row r="54" spans="2:25" ht="18">
      <c r="B54" s="164"/>
      <c r="C54" s="164"/>
      <c r="D54" s="164"/>
      <c r="E54" s="164"/>
      <c r="F54" s="164"/>
      <c r="G54" s="164"/>
      <c r="H54" s="144"/>
      <c r="I54" s="144"/>
      <c r="J54" s="144"/>
      <c r="K54" s="144"/>
      <c r="N54" s="144"/>
      <c r="O54" s="164"/>
      <c r="P54" s="164"/>
      <c r="Q54" s="164"/>
      <c r="R54" s="164"/>
      <c r="S54" s="164"/>
      <c r="T54" s="164"/>
      <c r="U54" s="144"/>
      <c r="V54" s="144"/>
      <c r="W54" s="144"/>
      <c r="X54" s="144"/>
      <c r="Y54" s="144"/>
    </row>
    <row r="55" spans="2:11" ht="18">
      <c r="B55" s="164"/>
      <c r="C55" s="164"/>
      <c r="D55" s="164"/>
      <c r="E55" s="164"/>
      <c r="F55" s="164"/>
      <c r="G55" s="164"/>
      <c r="H55" s="144"/>
      <c r="I55" s="144"/>
      <c r="J55" s="144"/>
      <c r="K55" s="144"/>
    </row>
  </sheetData>
  <sheetProtection/>
  <mergeCells count="20">
    <mergeCell ref="B1:F3"/>
    <mergeCell ref="B4:F4"/>
    <mergeCell ref="B31:E31"/>
    <mergeCell ref="F31:G31"/>
    <mergeCell ref="B6:G6"/>
    <mergeCell ref="B13:G13"/>
    <mergeCell ref="B23:E23"/>
    <mergeCell ref="B24:E24"/>
    <mergeCell ref="B25:C25"/>
    <mergeCell ref="B29:E29"/>
    <mergeCell ref="B32:D32"/>
    <mergeCell ref="B40:G40"/>
    <mergeCell ref="B41:G41"/>
    <mergeCell ref="B42:G42"/>
    <mergeCell ref="B33:D33"/>
    <mergeCell ref="B34:D34"/>
    <mergeCell ref="B35:D35"/>
    <mergeCell ref="B36:D36"/>
    <mergeCell ref="B37:D37"/>
    <mergeCell ref="B39:G39"/>
  </mergeCells>
  <printOptions horizontalCentered="1"/>
  <pageMargins left="0.25" right="0.25" top="1" bottom="1" header="0.5" footer="0.36"/>
  <pageSetup horizontalDpi="600" verticalDpi="600" orientation="portrait" scale="53" r:id="rId3"/>
  <headerFooter>
    <oddHeader>&amp;L&amp;"Arial,Regular"&amp;G&amp;R&amp;"Arial,Regular"&amp;27&amp;A</oddHeader>
    <oddFooter>&amp;R&amp;"Arial,Regular"&amp;10&amp;P</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7">
    <tabColor theme="7" tint="0.39998000860214233"/>
  </sheetPr>
  <dimension ref="B1:AG46"/>
  <sheetViews>
    <sheetView showGridLines="0" zoomScale="70" zoomScaleNormal="70" zoomScalePageLayoutView="0" workbookViewId="0" topLeftCell="A19">
      <selection activeCell="G37" sqref="G37"/>
    </sheetView>
  </sheetViews>
  <sheetFormatPr defaultColWidth="9.140625" defaultRowHeight="12.75"/>
  <cols>
    <col min="1" max="1" width="9.140625" style="0" customWidth="1"/>
    <col min="2" max="2" width="45.7109375" style="0" customWidth="1"/>
    <col min="3" max="5" width="17.00390625" style="0" bestFit="1" customWidth="1"/>
    <col min="6" max="6" width="16.28125" style="0" bestFit="1" customWidth="1"/>
    <col min="7" max="7" width="21.140625" style="0" bestFit="1" customWidth="1"/>
    <col min="8" max="23" width="17.00390625" style="0" bestFit="1" customWidth="1"/>
  </cols>
  <sheetData>
    <row r="1" spans="2:6" s="41" customFormat="1" ht="12.75" customHeight="1">
      <c r="B1" s="316" t="s">
        <v>150</v>
      </c>
      <c r="C1" s="316"/>
      <c r="D1" s="316"/>
      <c r="E1" s="316"/>
      <c r="F1" s="316"/>
    </row>
    <row r="2" spans="2:6" s="41" customFormat="1" ht="12.75" customHeight="1">
      <c r="B2" s="316"/>
      <c r="C2" s="316"/>
      <c r="D2" s="316"/>
      <c r="E2" s="316"/>
      <c r="F2" s="316"/>
    </row>
    <row r="3" spans="2:6" s="41" customFormat="1" ht="19.5" customHeight="1">
      <c r="B3" s="316"/>
      <c r="C3" s="316"/>
      <c r="D3" s="316"/>
      <c r="E3" s="316"/>
      <c r="F3" s="316"/>
    </row>
    <row r="4" spans="2:6" s="41" customFormat="1" ht="24" customHeight="1">
      <c r="B4" s="319" t="s">
        <v>176</v>
      </c>
      <c r="C4" s="319"/>
      <c r="D4" s="319"/>
      <c r="E4" s="319"/>
      <c r="F4" s="319"/>
    </row>
    <row r="5" spans="2:6" s="41" customFormat="1" ht="24" customHeight="1">
      <c r="B5" s="76"/>
      <c r="C5" s="76"/>
      <c r="D5" s="76"/>
      <c r="E5" s="76"/>
      <c r="F5" s="76"/>
    </row>
    <row r="6" spans="2:6" s="41" customFormat="1" ht="24" customHeight="1">
      <c r="B6" s="383" t="s">
        <v>175</v>
      </c>
      <c r="C6" s="383"/>
      <c r="D6" s="76"/>
      <c r="E6" s="76"/>
      <c r="F6" s="76"/>
    </row>
    <row r="7" spans="2:24" ht="18">
      <c r="B7" s="2" t="s">
        <v>147</v>
      </c>
      <c r="C7" s="1"/>
      <c r="D7" s="2"/>
      <c r="E7" s="1"/>
      <c r="F7" s="1"/>
      <c r="G7" s="1"/>
      <c r="H7" s="1"/>
      <c r="I7" s="1"/>
      <c r="J7" s="1"/>
      <c r="K7" s="1"/>
      <c r="L7" s="1"/>
      <c r="M7" s="1"/>
      <c r="N7" s="1"/>
      <c r="O7" s="1"/>
      <c r="P7" s="1"/>
      <c r="Q7" s="1"/>
      <c r="R7" s="1"/>
      <c r="S7" s="1"/>
      <c r="T7" s="1"/>
      <c r="U7" s="1"/>
      <c r="V7" s="1"/>
      <c r="W7" s="1"/>
      <c r="X7" s="1"/>
    </row>
    <row r="8" spans="2:24" ht="18">
      <c r="B8" s="348">
        <f>IF('ERR &amp; Sensitivity Analysis'!D17="N","NOTE: Current calculations are based on USER INPUT and are not the original MCC estimates.",IF('ERR &amp; Sensitivity Analysis'!G17="N","NOTE: Current calculations are based on USER INPUT and are not the original MCC estimates.",""))</f>
      </c>
      <c r="C8" s="348"/>
      <c r="D8" s="348"/>
      <c r="E8" s="348"/>
      <c r="F8" s="348"/>
      <c r="G8" s="348"/>
      <c r="H8" s="1"/>
      <c r="I8" s="1"/>
      <c r="J8" s="1"/>
      <c r="K8" s="1"/>
      <c r="L8" s="1"/>
      <c r="M8" s="1"/>
      <c r="N8" s="1"/>
      <c r="O8" s="1"/>
      <c r="P8" s="1"/>
      <c r="Q8" s="1"/>
      <c r="R8" s="1"/>
      <c r="S8" s="1"/>
      <c r="T8" s="1"/>
      <c r="U8" s="1"/>
      <c r="V8" s="1"/>
      <c r="W8" s="1"/>
      <c r="X8" s="1"/>
    </row>
    <row r="9" spans="2:24" ht="18">
      <c r="B9" s="209" t="s">
        <v>192</v>
      </c>
      <c r="C9" s="233"/>
      <c r="D9" s="233"/>
      <c r="E9" s="233"/>
      <c r="F9" s="233"/>
      <c r="G9" s="233"/>
      <c r="H9" s="1"/>
      <c r="I9" s="1"/>
      <c r="J9" s="1"/>
      <c r="K9" s="1"/>
      <c r="L9" s="1"/>
      <c r="M9" s="1"/>
      <c r="N9" s="1"/>
      <c r="O9" s="1"/>
      <c r="P9" s="1"/>
      <c r="Q9" s="1"/>
      <c r="R9" s="1"/>
      <c r="S9" s="1"/>
      <c r="T9" s="1"/>
      <c r="U9" s="1"/>
      <c r="V9" s="1"/>
      <c r="W9" s="1"/>
      <c r="X9" s="1"/>
    </row>
    <row r="10" spans="2:24" ht="18">
      <c r="B10" s="3"/>
      <c r="C10" s="4" t="s">
        <v>13</v>
      </c>
      <c r="D10" s="5"/>
      <c r="E10" s="6"/>
      <c r="F10" s="6"/>
      <c r="G10" s="6"/>
      <c r="H10" s="6"/>
      <c r="I10" s="6"/>
      <c r="J10" s="6"/>
      <c r="K10" s="6"/>
      <c r="L10" s="6"/>
      <c r="M10" s="6"/>
      <c r="N10" s="6"/>
      <c r="O10" s="6"/>
      <c r="P10" s="6"/>
      <c r="Q10" s="6"/>
      <c r="R10" s="6"/>
      <c r="S10" s="6"/>
      <c r="T10" s="6"/>
      <c r="U10" s="6"/>
      <c r="V10" s="6"/>
      <c r="W10" s="6"/>
      <c r="X10" s="1"/>
    </row>
    <row r="11" spans="2:24" ht="18">
      <c r="B11" s="18" t="s">
        <v>36</v>
      </c>
      <c r="C11" s="21">
        <v>7</v>
      </c>
      <c r="D11" s="1"/>
      <c r="E11" s="1"/>
      <c r="F11" s="1"/>
      <c r="G11" s="1"/>
      <c r="H11" s="1"/>
      <c r="I11" s="1"/>
      <c r="J11" s="1"/>
      <c r="K11" s="1"/>
      <c r="L11" s="1"/>
      <c r="M11" s="1"/>
      <c r="N11" s="1"/>
      <c r="O11" s="1"/>
      <c r="P11" s="1"/>
      <c r="Q11" s="1"/>
      <c r="R11" s="1"/>
      <c r="S11" s="1"/>
      <c r="T11" s="1"/>
      <c r="U11" s="1"/>
      <c r="V11" s="1"/>
      <c r="W11" s="1"/>
      <c r="X11" s="1"/>
    </row>
    <row r="12" spans="2:24" ht="21">
      <c r="B12" s="7" t="s">
        <v>28</v>
      </c>
      <c r="C12" s="29">
        <v>23101.69</v>
      </c>
      <c r="D12" s="1"/>
      <c r="E12" s="1"/>
      <c r="F12" s="1"/>
      <c r="G12" s="1"/>
      <c r="H12" s="1"/>
      <c r="I12" s="1"/>
      <c r="J12" s="1"/>
      <c r="K12" s="1"/>
      <c r="L12" s="1"/>
      <c r="M12" s="1"/>
      <c r="N12" s="1"/>
      <c r="O12" s="1"/>
      <c r="P12" s="1"/>
      <c r="Q12" s="1"/>
      <c r="R12" s="1"/>
      <c r="S12" s="1"/>
      <c r="T12" s="1"/>
      <c r="U12" s="1"/>
      <c r="V12" s="1"/>
      <c r="W12" s="1"/>
      <c r="X12" s="1"/>
    </row>
    <row r="13" spans="2:24" ht="21">
      <c r="B13" s="7" t="s">
        <v>29</v>
      </c>
      <c r="C13" s="29">
        <f>+(C35+C36)/2*C11*1.1</f>
        <v>33073.972932462006</v>
      </c>
      <c r="D13" s="6"/>
      <c r="E13" s="6"/>
      <c r="F13" s="6"/>
      <c r="G13" s="6"/>
      <c r="H13" s="6"/>
      <c r="I13" s="6"/>
      <c r="J13" s="6"/>
      <c r="K13" s="6"/>
      <c r="L13" s="6"/>
      <c r="M13" s="6"/>
      <c r="N13" s="6"/>
      <c r="O13" s="6"/>
      <c r="P13" s="6"/>
      <c r="Q13" s="6"/>
      <c r="R13" s="6"/>
      <c r="S13" s="6"/>
      <c r="T13" s="6"/>
      <c r="U13" s="6"/>
      <c r="V13" s="6"/>
      <c r="W13" s="6"/>
      <c r="X13" s="1"/>
    </row>
    <row r="14" spans="2:24" ht="21">
      <c r="B14" s="7" t="s">
        <v>30</v>
      </c>
      <c r="C14" s="9">
        <f>+C17*89%</f>
        <v>0.7120000000000001</v>
      </c>
      <c r="D14" s="5"/>
      <c r="E14" s="6"/>
      <c r="F14" s="6"/>
      <c r="G14" s="6"/>
      <c r="H14" s="6"/>
      <c r="I14" s="6"/>
      <c r="J14" s="6"/>
      <c r="K14" s="6"/>
      <c r="L14" s="6"/>
      <c r="M14" s="6"/>
      <c r="N14" s="6"/>
      <c r="O14" s="6"/>
      <c r="P14" s="6"/>
      <c r="Q14" s="6"/>
      <c r="R14" s="6"/>
      <c r="S14" s="6"/>
      <c r="T14" s="6"/>
      <c r="U14" s="6"/>
      <c r="V14" s="6"/>
      <c r="W14" s="6"/>
      <c r="X14" s="1"/>
    </row>
    <row r="15" spans="2:24" ht="21">
      <c r="B15" s="7" t="s">
        <v>31</v>
      </c>
      <c r="C15" s="9">
        <v>0.57</v>
      </c>
      <c r="D15" s="5"/>
      <c r="E15" s="6"/>
      <c r="F15" s="6"/>
      <c r="G15" s="6"/>
      <c r="H15" s="6"/>
      <c r="I15" s="6"/>
      <c r="J15" s="6"/>
      <c r="K15" s="6"/>
      <c r="L15" s="6"/>
      <c r="M15" s="6"/>
      <c r="N15" s="6"/>
      <c r="O15" s="6"/>
      <c r="P15" s="6"/>
      <c r="Q15" s="6"/>
      <c r="R15" s="6"/>
      <c r="S15" s="6"/>
      <c r="T15" s="6"/>
      <c r="U15" s="6"/>
      <c r="V15" s="6"/>
      <c r="W15" s="6"/>
      <c r="X15" s="1"/>
    </row>
    <row r="16" spans="2:24" ht="18">
      <c r="B16" s="7" t="s">
        <v>10</v>
      </c>
      <c r="C16" s="8">
        <f>+C12*0.7</f>
        <v>16171.182999999997</v>
      </c>
      <c r="D16" s="5"/>
      <c r="E16" s="6"/>
      <c r="F16" s="6"/>
      <c r="G16" s="6"/>
      <c r="H16" s="6"/>
      <c r="I16" s="6"/>
      <c r="J16" s="6"/>
      <c r="K16" s="6"/>
      <c r="L16" s="6"/>
      <c r="M16" s="6"/>
      <c r="N16" s="6"/>
      <c r="O16" s="6"/>
      <c r="P16" s="6"/>
      <c r="Q16" s="6"/>
      <c r="R16" s="6"/>
      <c r="S16" s="6"/>
      <c r="T16" s="6"/>
      <c r="U16" s="6"/>
      <c r="V16" s="6"/>
      <c r="W16" s="6"/>
      <c r="X16" s="1"/>
    </row>
    <row r="17" spans="2:24" ht="36">
      <c r="B17" s="78" t="s">
        <v>23</v>
      </c>
      <c r="C17" s="79">
        <f>'ERR &amp; Sensitivity Analysis'!G23</f>
        <v>0.8</v>
      </c>
      <c r="D17" s="5"/>
      <c r="E17" s="6"/>
      <c r="F17" s="6"/>
      <c r="G17" s="6"/>
      <c r="H17" s="6"/>
      <c r="I17" s="6"/>
      <c r="J17" s="6"/>
      <c r="K17" s="6"/>
      <c r="L17" s="6"/>
      <c r="M17" s="6"/>
      <c r="N17" s="6"/>
      <c r="O17" s="6"/>
      <c r="P17" s="6"/>
      <c r="Q17" s="6"/>
      <c r="R17" s="6"/>
      <c r="S17" s="6"/>
      <c r="T17" s="6"/>
      <c r="U17" s="6"/>
      <c r="V17" s="6"/>
      <c r="W17" s="6"/>
      <c r="X17" s="1"/>
    </row>
    <row r="18" spans="2:24" ht="36">
      <c r="B18" s="7" t="s">
        <v>141</v>
      </c>
      <c r="C18" s="8">
        <f>+C13*(1-C15)+C16*C15</f>
        <v>23439.382670958665</v>
      </c>
      <c r="D18" s="5"/>
      <c r="E18" s="6"/>
      <c r="F18" s="6"/>
      <c r="G18" s="232"/>
      <c r="H18" s="6"/>
      <c r="I18" s="6"/>
      <c r="J18" s="6"/>
      <c r="K18" s="6"/>
      <c r="L18" s="6"/>
      <c r="M18" s="6"/>
      <c r="N18" s="6"/>
      <c r="O18" s="6"/>
      <c r="P18" s="6"/>
      <c r="Q18" s="6"/>
      <c r="R18" s="6"/>
      <c r="S18" s="6"/>
      <c r="T18" s="6"/>
      <c r="U18" s="6"/>
      <c r="V18" s="6"/>
      <c r="W18" s="6"/>
      <c r="X18" s="1"/>
    </row>
    <row r="19" spans="2:24" ht="36">
      <c r="B19" s="7" t="s">
        <v>142</v>
      </c>
      <c r="C19" s="8">
        <f>+C12*(1-C14)+C14*C16</f>
        <v>18167.169016</v>
      </c>
      <c r="D19" s="5"/>
      <c r="E19" s="6"/>
      <c r="F19" s="6"/>
      <c r="G19" s="6"/>
      <c r="H19" s="6"/>
      <c r="I19" s="6"/>
      <c r="J19" s="6"/>
      <c r="K19" s="6"/>
      <c r="L19" s="6"/>
      <c r="M19" s="6"/>
      <c r="N19" s="6"/>
      <c r="O19" s="6"/>
      <c r="P19" s="6"/>
      <c r="Q19" s="6"/>
      <c r="R19" s="6"/>
      <c r="S19" s="6"/>
      <c r="T19" s="6"/>
      <c r="U19" s="6"/>
      <c r="V19" s="6"/>
      <c r="W19" s="6"/>
      <c r="X19" s="1"/>
    </row>
    <row r="20" spans="2:24" ht="18">
      <c r="B20" s="7" t="s">
        <v>26</v>
      </c>
      <c r="C20" s="10">
        <f>(C18-C19)/C19</f>
        <v>0.2902055708468048</v>
      </c>
      <c r="D20" s="5"/>
      <c r="E20" s="6"/>
      <c r="F20" s="6"/>
      <c r="G20" s="6"/>
      <c r="H20" s="6"/>
      <c r="I20" s="6"/>
      <c r="J20" s="6"/>
      <c r="K20" s="6"/>
      <c r="L20" s="6"/>
      <c r="M20" s="6"/>
      <c r="N20" s="6"/>
      <c r="O20" s="6"/>
      <c r="P20" s="6"/>
      <c r="Q20" s="6"/>
      <c r="R20" s="6"/>
      <c r="S20" s="6"/>
      <c r="T20" s="6"/>
      <c r="U20" s="6"/>
      <c r="V20" s="6"/>
      <c r="W20" s="6"/>
      <c r="X20" s="1"/>
    </row>
    <row r="21" spans="2:24" ht="18">
      <c r="B21" s="7" t="s">
        <v>14</v>
      </c>
      <c r="C21" s="8">
        <f>+(C18-C19)*C22</f>
        <v>4744.992289462799</v>
      </c>
      <c r="D21" s="5"/>
      <c r="E21" s="6"/>
      <c r="F21" s="6"/>
      <c r="G21" s="6"/>
      <c r="H21" s="6"/>
      <c r="I21" s="6"/>
      <c r="J21" s="6"/>
      <c r="K21" s="6"/>
      <c r="L21" s="6"/>
      <c r="M21" s="6"/>
      <c r="N21" s="6"/>
      <c r="O21" s="6"/>
      <c r="P21" s="6"/>
      <c r="Q21" s="6"/>
      <c r="R21" s="6"/>
      <c r="S21" s="6"/>
      <c r="T21" s="6"/>
      <c r="U21" s="6"/>
      <c r="V21" s="6"/>
      <c r="W21" s="6"/>
      <c r="X21" s="1"/>
    </row>
    <row r="22" spans="2:24" ht="36">
      <c r="B22" s="78" t="s">
        <v>80</v>
      </c>
      <c r="C22" s="80">
        <f>'ERR &amp; Sensitivity Analysis'!G24</f>
        <v>0.9</v>
      </c>
      <c r="D22" s="5"/>
      <c r="E22" s="6"/>
      <c r="F22" s="6"/>
      <c r="G22" s="6"/>
      <c r="H22" s="6"/>
      <c r="I22" s="6"/>
      <c r="J22" s="6"/>
      <c r="K22" s="6"/>
      <c r="L22" s="6"/>
      <c r="M22" s="6"/>
      <c r="N22" s="6"/>
      <c r="O22" s="6"/>
      <c r="P22" s="6"/>
      <c r="Q22" s="6"/>
      <c r="R22" s="6"/>
      <c r="S22" s="6"/>
      <c r="T22" s="6"/>
      <c r="U22" s="6"/>
      <c r="V22" s="6"/>
      <c r="W22" s="6"/>
      <c r="X22" s="1"/>
    </row>
    <row r="23" spans="2:24" ht="36">
      <c r="B23" s="7" t="s">
        <v>16</v>
      </c>
      <c r="C23" s="11">
        <f>+C39</f>
        <v>44458.70781575053</v>
      </c>
      <c r="D23" s="12"/>
      <c r="E23" s="13"/>
      <c r="F23" s="13"/>
      <c r="G23" s="13"/>
      <c r="H23" s="13"/>
      <c r="I23" s="13"/>
      <c r="J23" s="13"/>
      <c r="K23" s="13"/>
      <c r="L23" s="13"/>
      <c r="M23" s="13"/>
      <c r="N23" s="13"/>
      <c r="O23" s="13"/>
      <c r="P23" s="13"/>
      <c r="Q23" s="13"/>
      <c r="R23" s="13"/>
      <c r="S23" s="13"/>
      <c r="T23" s="13"/>
      <c r="U23" s="13"/>
      <c r="V23" s="13"/>
      <c r="W23" s="13"/>
      <c r="X23" s="1"/>
    </row>
    <row r="24" spans="2:24" ht="18">
      <c r="B24" s="14" t="s">
        <v>1</v>
      </c>
      <c r="C24" s="15" t="s">
        <v>145</v>
      </c>
      <c r="D24" s="16">
        <v>1</v>
      </c>
      <c r="E24" s="16">
        <v>2</v>
      </c>
      <c r="F24" s="16">
        <v>3</v>
      </c>
      <c r="G24" s="16">
        <v>4</v>
      </c>
      <c r="H24" s="16">
        <v>5</v>
      </c>
      <c r="I24" s="16">
        <v>6</v>
      </c>
      <c r="J24" s="16">
        <v>7</v>
      </c>
      <c r="K24" s="16">
        <v>8</v>
      </c>
      <c r="L24" s="16">
        <v>9</v>
      </c>
      <c r="M24" s="16">
        <v>10</v>
      </c>
      <c r="N24" s="16">
        <v>11</v>
      </c>
      <c r="O24" s="16">
        <v>12</v>
      </c>
      <c r="P24" s="16">
        <v>13</v>
      </c>
      <c r="Q24" s="16">
        <v>14</v>
      </c>
      <c r="R24" s="16">
        <v>15</v>
      </c>
      <c r="S24" s="16">
        <v>16</v>
      </c>
      <c r="T24" s="16">
        <v>17</v>
      </c>
      <c r="U24" s="16">
        <v>18</v>
      </c>
      <c r="V24" s="16">
        <v>19</v>
      </c>
      <c r="W24" s="4">
        <v>20</v>
      </c>
      <c r="X24" s="17"/>
    </row>
    <row r="25" spans="2:24" ht="18">
      <c r="B25" s="18" t="s">
        <v>144</v>
      </c>
      <c r="C25" s="19">
        <f>7800000*C11</f>
        <v>54600000</v>
      </c>
      <c r="D25" s="19">
        <v>0</v>
      </c>
      <c r="E25" s="19">
        <f>+C25/4</f>
        <v>13650000</v>
      </c>
      <c r="F25" s="19">
        <f>+C25/4</f>
        <v>13650000</v>
      </c>
      <c r="G25" s="19">
        <f>+C25/4</f>
        <v>13650000</v>
      </c>
      <c r="H25" s="19">
        <f>+C25/4</f>
        <v>13650000</v>
      </c>
      <c r="I25" s="20"/>
      <c r="J25" s="20"/>
      <c r="K25" s="20"/>
      <c r="L25" s="20"/>
      <c r="M25" s="20"/>
      <c r="N25" s="20"/>
      <c r="O25" s="20"/>
      <c r="P25" s="20"/>
      <c r="Q25" s="20"/>
      <c r="R25" s="20"/>
      <c r="S25" s="20"/>
      <c r="T25" s="20"/>
      <c r="U25" s="20"/>
      <c r="V25" s="20"/>
      <c r="W25" s="21"/>
      <c r="X25" s="1"/>
    </row>
    <row r="26" spans="2:24" ht="18">
      <c r="B26" s="22" t="s">
        <v>78</v>
      </c>
      <c r="C26" s="23"/>
      <c r="D26" s="8">
        <f>+D25</f>
        <v>0</v>
      </c>
      <c r="E26" s="8">
        <f>+D26+E25</f>
        <v>13650000</v>
      </c>
      <c r="F26" s="8">
        <f>+E26+F25</f>
        <v>27300000</v>
      </c>
      <c r="G26" s="8">
        <f>+F26+G25</f>
        <v>40950000</v>
      </c>
      <c r="H26" s="8">
        <f>+G26+H25</f>
        <v>54600000</v>
      </c>
      <c r="I26" s="8">
        <f>+H26</f>
        <v>54600000</v>
      </c>
      <c r="J26" s="8">
        <f>+I26</f>
        <v>54600000</v>
      </c>
      <c r="K26" s="8">
        <f>+J26</f>
        <v>54600000</v>
      </c>
      <c r="L26" s="8">
        <f aca="true" t="shared" si="0" ref="L26:W26">+K26</f>
        <v>54600000</v>
      </c>
      <c r="M26" s="8">
        <f t="shared" si="0"/>
        <v>54600000</v>
      </c>
      <c r="N26" s="8">
        <f t="shared" si="0"/>
        <v>54600000</v>
      </c>
      <c r="O26" s="8">
        <f t="shared" si="0"/>
        <v>54600000</v>
      </c>
      <c r="P26" s="8">
        <f t="shared" si="0"/>
        <v>54600000</v>
      </c>
      <c r="Q26" s="8">
        <f t="shared" si="0"/>
        <v>54600000</v>
      </c>
      <c r="R26" s="8">
        <f t="shared" si="0"/>
        <v>54600000</v>
      </c>
      <c r="S26" s="8">
        <f t="shared" si="0"/>
        <v>54600000</v>
      </c>
      <c r="T26" s="8">
        <f t="shared" si="0"/>
        <v>54600000</v>
      </c>
      <c r="U26" s="8">
        <f t="shared" si="0"/>
        <v>54600000</v>
      </c>
      <c r="V26" s="8">
        <f t="shared" si="0"/>
        <v>54600000</v>
      </c>
      <c r="W26" s="29">
        <f t="shared" si="0"/>
        <v>54600000</v>
      </c>
      <c r="X26" s="1"/>
    </row>
    <row r="27" spans="2:24" ht="36">
      <c r="B27" s="7" t="s">
        <v>146</v>
      </c>
      <c r="C27" s="23"/>
      <c r="D27" s="23">
        <v>0</v>
      </c>
      <c r="E27" s="25">
        <v>0</v>
      </c>
      <c r="F27" s="25">
        <v>77</v>
      </c>
      <c r="G27" s="25">
        <v>509</v>
      </c>
      <c r="H27" s="25">
        <v>1392</v>
      </c>
      <c r="I27" s="25">
        <v>0</v>
      </c>
      <c r="J27" s="25">
        <v>0</v>
      </c>
      <c r="K27" s="25">
        <v>0</v>
      </c>
      <c r="L27" s="25">
        <v>0</v>
      </c>
      <c r="M27" s="25">
        <v>0</v>
      </c>
      <c r="N27" s="25">
        <v>0</v>
      </c>
      <c r="O27" s="25">
        <v>0</v>
      </c>
      <c r="P27" s="25">
        <v>0</v>
      </c>
      <c r="Q27" s="25">
        <f aca="true" t="shared" si="1" ref="Q27:W27">+P27</f>
        <v>0</v>
      </c>
      <c r="R27" s="25">
        <f t="shared" si="1"/>
        <v>0</v>
      </c>
      <c r="S27" s="25">
        <f t="shared" si="1"/>
        <v>0</v>
      </c>
      <c r="T27" s="25">
        <f t="shared" si="1"/>
        <v>0</v>
      </c>
      <c r="U27" s="25">
        <f t="shared" si="1"/>
        <v>0</v>
      </c>
      <c r="V27" s="25">
        <f t="shared" si="1"/>
        <v>0</v>
      </c>
      <c r="W27" s="26">
        <f t="shared" si="1"/>
        <v>0</v>
      </c>
      <c r="X27" s="1"/>
    </row>
    <row r="28" spans="2:24" ht="18">
      <c r="B28" s="7" t="s">
        <v>18</v>
      </c>
      <c r="C28" s="10">
        <v>0.05</v>
      </c>
      <c r="D28" s="8">
        <f>+D26*$C$28</f>
        <v>0</v>
      </c>
      <c r="E28" s="8">
        <f>+E26*$C$28</f>
        <v>682500</v>
      </c>
      <c r="F28" s="8">
        <f>+F26*$C$28</f>
        <v>1365000</v>
      </c>
      <c r="G28" s="8">
        <f>+G26*$C$28</f>
        <v>2047500</v>
      </c>
      <c r="H28" s="8">
        <f>+H26*$C$28</f>
        <v>2730000</v>
      </c>
      <c r="I28" s="8"/>
      <c r="J28" s="8"/>
      <c r="K28" s="8"/>
      <c r="L28" s="8"/>
      <c r="M28" s="8"/>
      <c r="N28" s="8"/>
      <c r="O28" s="8"/>
      <c r="P28" s="8"/>
      <c r="Q28" s="8"/>
      <c r="R28" s="8"/>
      <c r="S28" s="8"/>
      <c r="T28" s="8"/>
      <c r="U28" s="8"/>
      <c r="V28" s="8"/>
      <c r="W28" s="29"/>
      <c r="X28" s="1"/>
    </row>
    <row r="29" spans="2:24" ht="18">
      <c r="B29" s="7" t="s">
        <v>24</v>
      </c>
      <c r="C29" s="10">
        <v>0.15</v>
      </c>
      <c r="D29" s="8">
        <f>+D25*$C$29</f>
        <v>0</v>
      </c>
      <c r="E29" s="8">
        <f>+E25*$C$29</f>
        <v>2047500</v>
      </c>
      <c r="F29" s="8">
        <f>+F25*$C$29</f>
        <v>2047500</v>
      </c>
      <c r="G29" s="8">
        <f>+G25*$C$29</f>
        <v>2047500</v>
      </c>
      <c r="H29" s="8">
        <f>+H25*$C$29</f>
        <v>2047500</v>
      </c>
      <c r="I29" s="8"/>
      <c r="J29" s="8"/>
      <c r="K29" s="8"/>
      <c r="L29" s="8"/>
      <c r="M29" s="8"/>
      <c r="N29" s="8"/>
      <c r="O29" s="8"/>
      <c r="P29" s="8"/>
      <c r="Q29" s="8"/>
      <c r="R29" s="8"/>
      <c r="S29" s="8"/>
      <c r="T29" s="8"/>
      <c r="U29" s="8"/>
      <c r="V29" s="8"/>
      <c r="W29" s="29"/>
      <c r="X29" s="1"/>
    </row>
    <row r="30" spans="2:24" ht="18">
      <c r="B30" s="7" t="s">
        <v>20</v>
      </c>
      <c r="C30" s="23"/>
      <c r="D30" s="8">
        <f>(+D28+D25+D29)*'ERR &amp; Sensitivity Analysis'!$G$21</f>
        <v>0</v>
      </c>
      <c r="E30" s="8">
        <f>(+E28+E25+E29)*'ERR &amp; Sensitivity Analysis'!$G$21</f>
        <v>16380000</v>
      </c>
      <c r="F30" s="8">
        <f>(+F28+F25+F29)*'ERR &amp; Sensitivity Analysis'!$G$21</f>
        <v>17062500</v>
      </c>
      <c r="G30" s="8">
        <f>(+G28+G25+G29)*'ERR &amp; Sensitivity Analysis'!$G$21</f>
        <v>17745000</v>
      </c>
      <c r="H30" s="8">
        <f>(+H28+H25+H29)*'ERR &amp; Sensitivity Analysis'!$G$21</f>
        <v>18427500</v>
      </c>
      <c r="I30" s="8">
        <f>(+I28+I25+I29)*'ERR &amp; Sensitivity Analysis'!$G$21</f>
        <v>0</v>
      </c>
      <c r="J30" s="8">
        <f>(+J28+J25+J29)*'ERR &amp; Sensitivity Analysis'!$G$21</f>
        <v>0</v>
      </c>
      <c r="K30" s="8">
        <f>(+K28+K25+K29)*'ERR &amp; Sensitivity Analysis'!$G$21</f>
        <v>0</v>
      </c>
      <c r="L30" s="8">
        <f>(+L28+L25+L29)*'ERR &amp; Sensitivity Analysis'!$G$21</f>
        <v>0</v>
      </c>
      <c r="M30" s="8">
        <f>(+M28+M25+M29)*'ERR &amp; Sensitivity Analysis'!$G$21</f>
        <v>0</v>
      </c>
      <c r="N30" s="8">
        <f>(+N28+N25+N29)*'ERR &amp; Sensitivity Analysis'!$G$21</f>
        <v>0</v>
      </c>
      <c r="O30" s="8">
        <f>(+O28+O25+O29)*'ERR &amp; Sensitivity Analysis'!$G$21</f>
        <v>0</v>
      </c>
      <c r="P30" s="8">
        <f>(+P28+P25+P29)*'ERR &amp; Sensitivity Analysis'!$G$21</f>
        <v>0</v>
      </c>
      <c r="Q30" s="8">
        <f>(+Q28+Q25+Q29)*'ERR &amp; Sensitivity Analysis'!$G$21</f>
        <v>0</v>
      </c>
      <c r="R30" s="8">
        <f>(+R28+R25+R29)*'ERR &amp; Sensitivity Analysis'!$G$21</f>
        <v>0</v>
      </c>
      <c r="S30" s="8">
        <f>(+S28+S25+S29)*'ERR &amp; Sensitivity Analysis'!$G$21</f>
        <v>0</v>
      </c>
      <c r="T30" s="8">
        <f>(+T28+T25+T29)*'ERR &amp; Sensitivity Analysis'!$G$21</f>
        <v>0</v>
      </c>
      <c r="U30" s="8">
        <f>(+U28+U25+U29)*'ERR &amp; Sensitivity Analysis'!$G$21</f>
        <v>0</v>
      </c>
      <c r="V30" s="8">
        <f>(+V28+V25+V29)*'ERR &amp; Sensitivity Analysis'!$G$21</f>
        <v>0</v>
      </c>
      <c r="W30" s="8">
        <f>(+W28+W25+W29)*'ERR &amp; Sensitivity Analysis'!$G$21</f>
        <v>0</v>
      </c>
      <c r="X30" s="1"/>
    </row>
    <row r="31" spans="2:24" ht="18">
      <c r="B31" s="7" t="s">
        <v>19</v>
      </c>
      <c r="C31" s="23"/>
      <c r="D31" s="8">
        <f>(+D27*$C$23)*'ERR &amp; Sensitivity Analysis'!$G$22</f>
        <v>0</v>
      </c>
      <c r="E31" s="8">
        <f>(+E27*$C$23)*'ERR &amp; Sensitivity Analysis'!$G$22</f>
        <v>0</v>
      </c>
      <c r="F31" s="8">
        <f>(+F27*$C$23)*'ERR &amp; Sensitivity Analysis'!$G$22</f>
        <v>3423320.501812791</v>
      </c>
      <c r="G31" s="8">
        <f>(+G27*$C$23)*'ERR &amp; Sensitivity Analysis'!$G$22</f>
        <v>22629482.27821702</v>
      </c>
      <c r="H31" s="8">
        <f>(+H27*$C$23)*'ERR &amp; Sensitivity Analysis'!$G$22</f>
        <v>61886521.279524736</v>
      </c>
      <c r="I31" s="8">
        <f>(+I27*$C$23)*'ERR &amp; Sensitivity Analysis'!$G$22</f>
        <v>0</v>
      </c>
      <c r="J31" s="8">
        <f>(+J27*$C$23)*'ERR &amp; Sensitivity Analysis'!$G$22</f>
        <v>0</v>
      </c>
      <c r="K31" s="8">
        <f>(+K27*$C$23)*'ERR &amp; Sensitivity Analysis'!$G$22</f>
        <v>0</v>
      </c>
      <c r="L31" s="8">
        <f>(+L27*$C$23)*'ERR &amp; Sensitivity Analysis'!$G$22</f>
        <v>0</v>
      </c>
      <c r="M31" s="8">
        <f>(+M27*$C$23)*'ERR &amp; Sensitivity Analysis'!$G$22</f>
        <v>0</v>
      </c>
      <c r="N31" s="8">
        <f>(+N27*$C$23)*'ERR &amp; Sensitivity Analysis'!$G$22</f>
        <v>0</v>
      </c>
      <c r="O31" s="8">
        <f>(+O27*$C$23)*'ERR &amp; Sensitivity Analysis'!$G$22</f>
        <v>0</v>
      </c>
      <c r="P31" s="8">
        <f>(+P27*$C$23)*'ERR &amp; Sensitivity Analysis'!$G$22</f>
        <v>0</v>
      </c>
      <c r="Q31" s="8">
        <f>(+Q27*$C$23)*'ERR &amp; Sensitivity Analysis'!$G$22</f>
        <v>0</v>
      </c>
      <c r="R31" s="8">
        <f>(+R27*$C$23)*'ERR &amp; Sensitivity Analysis'!$G$22</f>
        <v>0</v>
      </c>
      <c r="S31" s="8">
        <f>(+S27*$C$23)*'ERR &amp; Sensitivity Analysis'!$G$22</f>
        <v>0</v>
      </c>
      <c r="T31" s="8">
        <f>(+T27*$C$23)*'ERR &amp; Sensitivity Analysis'!$G$22</f>
        <v>0</v>
      </c>
      <c r="U31" s="8">
        <f>(+U27*$C$23)*'ERR &amp; Sensitivity Analysis'!$G$22</f>
        <v>0</v>
      </c>
      <c r="V31" s="8">
        <f>(+V27*$C$23)*'ERR &amp; Sensitivity Analysis'!$G$22</f>
        <v>0</v>
      </c>
      <c r="W31" s="8">
        <f>(+W27*$C$23)*'ERR &amp; Sensitivity Analysis'!$G$22</f>
        <v>0</v>
      </c>
      <c r="X31" s="1"/>
    </row>
    <row r="32" spans="2:24" ht="18">
      <c r="B32" s="7" t="s">
        <v>21</v>
      </c>
      <c r="C32" s="23"/>
      <c r="D32" s="8">
        <f aca="true" t="shared" si="2" ref="D32:W32">+D31-D30</f>
        <v>0</v>
      </c>
      <c r="E32" s="8">
        <f t="shared" si="2"/>
        <v>-16380000</v>
      </c>
      <c r="F32" s="8">
        <f t="shared" si="2"/>
        <v>-13639179.498187209</v>
      </c>
      <c r="G32" s="8">
        <f t="shared" si="2"/>
        <v>4884482.278217021</v>
      </c>
      <c r="H32" s="8">
        <f t="shared" si="2"/>
        <v>43459021.279524736</v>
      </c>
      <c r="I32" s="8">
        <f t="shared" si="2"/>
        <v>0</v>
      </c>
      <c r="J32" s="8">
        <f t="shared" si="2"/>
        <v>0</v>
      </c>
      <c r="K32" s="8">
        <f t="shared" si="2"/>
        <v>0</v>
      </c>
      <c r="L32" s="8">
        <f t="shared" si="2"/>
        <v>0</v>
      </c>
      <c r="M32" s="8">
        <f t="shared" si="2"/>
        <v>0</v>
      </c>
      <c r="N32" s="8">
        <f t="shared" si="2"/>
        <v>0</v>
      </c>
      <c r="O32" s="8">
        <f t="shared" si="2"/>
        <v>0</v>
      </c>
      <c r="P32" s="8">
        <f t="shared" si="2"/>
        <v>0</v>
      </c>
      <c r="Q32" s="8">
        <f t="shared" si="2"/>
        <v>0</v>
      </c>
      <c r="R32" s="8">
        <f t="shared" si="2"/>
        <v>0</v>
      </c>
      <c r="S32" s="8">
        <f t="shared" si="2"/>
        <v>0</v>
      </c>
      <c r="T32" s="8">
        <f t="shared" si="2"/>
        <v>0</v>
      </c>
      <c r="U32" s="8">
        <f t="shared" si="2"/>
        <v>0</v>
      </c>
      <c r="V32" s="8">
        <f t="shared" si="2"/>
        <v>0</v>
      </c>
      <c r="W32" s="29">
        <f t="shared" si="2"/>
        <v>0</v>
      </c>
      <c r="X32" s="1"/>
    </row>
    <row r="33" spans="2:24" ht="18">
      <c r="B33" s="27" t="s">
        <v>22</v>
      </c>
      <c r="C33" s="36">
        <f>+IRR(D32:R32)</f>
        <v>0.21380633369263435</v>
      </c>
      <c r="D33" s="28"/>
      <c r="E33" s="28"/>
      <c r="F33" s="28"/>
      <c r="G33" s="28"/>
      <c r="H33" s="28"/>
      <c r="I33" s="28"/>
      <c r="J33" s="28"/>
      <c r="K33" s="28"/>
      <c r="L33" s="28"/>
      <c r="M33" s="28"/>
      <c r="N33" s="28"/>
      <c r="O33" s="28"/>
      <c r="P33" s="28"/>
      <c r="Q33" s="28"/>
      <c r="R33" s="28"/>
      <c r="S33" s="28"/>
      <c r="T33" s="28"/>
      <c r="U33" s="28"/>
      <c r="V33" s="28"/>
      <c r="W33" s="37"/>
      <c r="X33" s="1"/>
    </row>
    <row r="34" spans="2:24" ht="18">
      <c r="B34" s="34" t="s">
        <v>7</v>
      </c>
      <c r="C34" s="35" t="s">
        <v>8</v>
      </c>
      <c r="D34" s="38"/>
      <c r="E34" s="38"/>
      <c r="F34" s="38"/>
      <c r="G34" s="38"/>
      <c r="H34" s="38"/>
      <c r="I34" s="38"/>
      <c r="J34" s="38"/>
      <c r="K34" s="38"/>
      <c r="L34" s="38"/>
      <c r="M34" s="38"/>
      <c r="N34" s="38"/>
      <c r="O34" s="38"/>
      <c r="P34" s="38"/>
      <c r="Q34" s="38"/>
      <c r="R34" s="38"/>
      <c r="S34" s="38"/>
      <c r="T34" s="38"/>
      <c r="U34" s="38"/>
      <c r="V34" s="38"/>
      <c r="W34" s="38"/>
      <c r="X34" s="1"/>
    </row>
    <row r="35" spans="2:24" ht="18">
      <c r="B35" s="7" t="s">
        <v>3</v>
      </c>
      <c r="C35" s="39">
        <v>3436.2569280480006</v>
      </c>
      <c r="D35" s="6"/>
      <c r="E35" s="6"/>
      <c r="F35" s="6"/>
      <c r="G35" s="6"/>
      <c r="H35" s="6"/>
      <c r="I35" s="6"/>
      <c r="J35" s="6"/>
      <c r="K35" s="6"/>
      <c r="L35" s="6"/>
      <c r="M35" s="6"/>
      <c r="N35" s="6"/>
      <c r="O35" s="6"/>
      <c r="P35" s="6"/>
      <c r="Q35" s="6"/>
      <c r="R35" s="6"/>
      <c r="S35" s="6"/>
      <c r="T35" s="6"/>
      <c r="U35" s="6"/>
      <c r="V35" s="6"/>
      <c r="W35" s="6"/>
      <c r="X35" s="1"/>
    </row>
    <row r="36" spans="2:24" ht="36">
      <c r="B36" s="7" t="s">
        <v>4</v>
      </c>
      <c r="C36" s="40">
        <v>5154.385392072001</v>
      </c>
      <c r="D36" s="6"/>
      <c r="E36" s="6"/>
      <c r="F36" s="6"/>
      <c r="G36" s="6"/>
      <c r="H36" s="6"/>
      <c r="I36" s="6"/>
      <c r="J36" s="6"/>
      <c r="K36" s="6"/>
      <c r="L36" s="6"/>
      <c r="M36" s="6"/>
      <c r="N36" s="6"/>
      <c r="O36" s="6"/>
      <c r="P36" s="6"/>
      <c r="Q36" s="6"/>
      <c r="R36" s="6"/>
      <c r="S36" s="6"/>
      <c r="T36" s="6"/>
      <c r="U36" s="6"/>
      <c r="V36" s="6"/>
      <c r="W36" s="6"/>
      <c r="X36" s="1"/>
    </row>
    <row r="37" spans="2:24" ht="36">
      <c r="B37" s="7" t="s">
        <v>5</v>
      </c>
      <c r="C37" s="40">
        <v>5834.357103582001</v>
      </c>
      <c r="D37" s="6"/>
      <c r="E37" s="6"/>
      <c r="F37" s="6"/>
      <c r="G37" s="6"/>
      <c r="H37" s="6"/>
      <c r="I37" s="6"/>
      <c r="J37" s="6"/>
      <c r="K37" s="6"/>
      <c r="L37" s="6"/>
      <c r="M37" s="6"/>
      <c r="N37" s="6"/>
      <c r="O37" s="6"/>
      <c r="P37" s="6"/>
      <c r="Q37" s="6"/>
      <c r="R37" s="6"/>
      <c r="S37" s="6"/>
      <c r="T37" s="6"/>
      <c r="U37" s="6"/>
      <c r="V37" s="6"/>
      <c r="W37" s="6"/>
      <c r="X37" s="1"/>
    </row>
    <row r="38" spans="2:24" ht="36">
      <c r="B38" s="7" t="s">
        <v>6</v>
      </c>
      <c r="C38" s="40">
        <v>12915.642452895001</v>
      </c>
      <c r="D38" s="13"/>
      <c r="E38" s="13"/>
      <c r="F38" s="13"/>
      <c r="G38" s="13"/>
      <c r="H38" s="13"/>
      <c r="I38" s="13"/>
      <c r="J38" s="13"/>
      <c r="K38" s="13"/>
      <c r="L38" s="13"/>
      <c r="M38" s="13"/>
      <c r="N38" s="13"/>
      <c r="O38" s="13"/>
      <c r="P38" s="13"/>
      <c r="Q38" s="13"/>
      <c r="R38" s="13"/>
      <c r="S38" s="13"/>
      <c r="T38" s="13"/>
      <c r="U38" s="13"/>
      <c r="V38" s="13"/>
      <c r="W38" s="13"/>
      <c r="X38" s="1"/>
    </row>
    <row r="39" spans="2:33" ht="18">
      <c r="B39" s="7" t="s">
        <v>143</v>
      </c>
      <c r="C39" s="32">
        <f>+NPV(0.1,E39:AG39)</f>
        <v>44458.70781575053</v>
      </c>
      <c r="D39" s="8">
        <f aca="true" t="shared" si="3" ref="D39:AG39">+$C$21</f>
        <v>4744.992289462799</v>
      </c>
      <c r="E39" s="8">
        <f t="shared" si="3"/>
        <v>4744.992289462799</v>
      </c>
      <c r="F39" s="8">
        <f t="shared" si="3"/>
        <v>4744.992289462799</v>
      </c>
      <c r="G39" s="8">
        <f t="shared" si="3"/>
        <v>4744.992289462799</v>
      </c>
      <c r="H39" s="8">
        <f t="shared" si="3"/>
        <v>4744.992289462799</v>
      </c>
      <c r="I39" s="8">
        <f t="shared" si="3"/>
        <v>4744.992289462799</v>
      </c>
      <c r="J39" s="8">
        <f t="shared" si="3"/>
        <v>4744.992289462799</v>
      </c>
      <c r="K39" s="8">
        <f t="shared" si="3"/>
        <v>4744.992289462799</v>
      </c>
      <c r="L39" s="8">
        <f t="shared" si="3"/>
        <v>4744.992289462799</v>
      </c>
      <c r="M39" s="8">
        <f t="shared" si="3"/>
        <v>4744.992289462799</v>
      </c>
      <c r="N39" s="8">
        <f t="shared" si="3"/>
        <v>4744.992289462799</v>
      </c>
      <c r="O39" s="8">
        <f t="shared" si="3"/>
        <v>4744.992289462799</v>
      </c>
      <c r="P39" s="8">
        <f t="shared" si="3"/>
        <v>4744.992289462799</v>
      </c>
      <c r="Q39" s="8">
        <f t="shared" si="3"/>
        <v>4744.992289462799</v>
      </c>
      <c r="R39" s="8">
        <f t="shared" si="3"/>
        <v>4744.992289462799</v>
      </c>
      <c r="S39" s="8">
        <f t="shared" si="3"/>
        <v>4744.992289462799</v>
      </c>
      <c r="T39" s="8">
        <f t="shared" si="3"/>
        <v>4744.992289462799</v>
      </c>
      <c r="U39" s="8">
        <f t="shared" si="3"/>
        <v>4744.992289462799</v>
      </c>
      <c r="V39" s="8">
        <f t="shared" si="3"/>
        <v>4744.992289462799</v>
      </c>
      <c r="W39" s="8">
        <f t="shared" si="3"/>
        <v>4744.992289462799</v>
      </c>
      <c r="X39" s="8">
        <f t="shared" si="3"/>
        <v>4744.992289462799</v>
      </c>
      <c r="Y39" s="8">
        <f t="shared" si="3"/>
        <v>4744.992289462799</v>
      </c>
      <c r="Z39" s="8">
        <f t="shared" si="3"/>
        <v>4744.992289462799</v>
      </c>
      <c r="AA39" s="8">
        <f t="shared" si="3"/>
        <v>4744.992289462799</v>
      </c>
      <c r="AB39" s="8">
        <f t="shared" si="3"/>
        <v>4744.992289462799</v>
      </c>
      <c r="AC39" s="8">
        <f t="shared" si="3"/>
        <v>4744.992289462799</v>
      </c>
      <c r="AD39" s="8">
        <f t="shared" si="3"/>
        <v>4744.992289462799</v>
      </c>
      <c r="AE39" s="8">
        <f t="shared" si="3"/>
        <v>4744.992289462799</v>
      </c>
      <c r="AF39" s="8">
        <f t="shared" si="3"/>
        <v>4744.992289462799</v>
      </c>
      <c r="AG39" s="8">
        <f t="shared" si="3"/>
        <v>4744.992289462799</v>
      </c>
    </row>
    <row r="40" spans="2:33" ht="18">
      <c r="B40" s="27" t="s">
        <v>25</v>
      </c>
      <c r="C40" s="33"/>
      <c r="D40" s="28">
        <f>D27</f>
        <v>0</v>
      </c>
      <c r="E40" s="30">
        <f aca="true" t="shared" si="4" ref="E40:W40">D40+E27</f>
        <v>0</v>
      </c>
      <c r="F40" s="30">
        <f t="shared" si="4"/>
        <v>77</v>
      </c>
      <c r="G40" s="30">
        <f>F40+G27</f>
        <v>586</v>
      </c>
      <c r="H40" s="30">
        <f t="shared" si="4"/>
        <v>1978</v>
      </c>
      <c r="I40" s="30">
        <f t="shared" si="4"/>
        <v>1978</v>
      </c>
      <c r="J40" s="30">
        <f t="shared" si="4"/>
        <v>1978</v>
      </c>
      <c r="K40" s="30">
        <f t="shared" si="4"/>
        <v>1978</v>
      </c>
      <c r="L40" s="30">
        <f t="shared" si="4"/>
        <v>1978</v>
      </c>
      <c r="M40" s="30">
        <f t="shared" si="4"/>
        <v>1978</v>
      </c>
      <c r="N40" s="30">
        <f t="shared" si="4"/>
        <v>1978</v>
      </c>
      <c r="O40" s="30">
        <f t="shared" si="4"/>
        <v>1978</v>
      </c>
      <c r="P40" s="30">
        <f t="shared" si="4"/>
        <v>1978</v>
      </c>
      <c r="Q40" s="30">
        <f t="shared" si="4"/>
        <v>1978</v>
      </c>
      <c r="R40" s="30">
        <f t="shared" si="4"/>
        <v>1978</v>
      </c>
      <c r="S40" s="30">
        <f t="shared" si="4"/>
        <v>1978</v>
      </c>
      <c r="T40" s="30">
        <f t="shared" si="4"/>
        <v>1978</v>
      </c>
      <c r="U40" s="30">
        <f t="shared" si="4"/>
        <v>1978</v>
      </c>
      <c r="V40" s="30">
        <f t="shared" si="4"/>
        <v>1978</v>
      </c>
      <c r="W40" s="31">
        <f t="shared" si="4"/>
        <v>1978</v>
      </c>
      <c r="X40" s="31">
        <f aca="true" t="shared" si="5" ref="X40:AG40">W40+X27</f>
        <v>1978</v>
      </c>
      <c r="Y40" s="31">
        <f t="shared" si="5"/>
        <v>1978</v>
      </c>
      <c r="Z40" s="31">
        <f t="shared" si="5"/>
        <v>1978</v>
      </c>
      <c r="AA40" s="31">
        <f t="shared" si="5"/>
        <v>1978</v>
      </c>
      <c r="AB40" s="31">
        <f t="shared" si="5"/>
        <v>1978</v>
      </c>
      <c r="AC40" s="31">
        <f t="shared" si="5"/>
        <v>1978</v>
      </c>
      <c r="AD40" s="31">
        <f t="shared" si="5"/>
        <v>1978</v>
      </c>
      <c r="AE40" s="31">
        <f t="shared" si="5"/>
        <v>1978</v>
      </c>
      <c r="AF40" s="31">
        <f t="shared" si="5"/>
        <v>1978</v>
      </c>
      <c r="AG40" s="31">
        <f t="shared" si="5"/>
        <v>1978</v>
      </c>
    </row>
    <row r="42" spans="2:6" ht="18">
      <c r="B42" s="347" t="s">
        <v>27</v>
      </c>
      <c r="C42" s="342"/>
      <c r="D42" s="342"/>
      <c r="E42" s="342"/>
      <c r="F42" s="343"/>
    </row>
    <row r="43" spans="2:6" ht="18">
      <c r="B43" s="341" t="s">
        <v>32</v>
      </c>
      <c r="C43" s="342"/>
      <c r="D43" s="342"/>
      <c r="E43" s="342"/>
      <c r="F43" s="343"/>
    </row>
    <row r="44" spans="2:6" ht="18">
      <c r="B44" s="341" t="s">
        <v>33</v>
      </c>
      <c r="C44" s="342"/>
      <c r="D44" s="342"/>
      <c r="E44" s="342"/>
      <c r="F44" s="343"/>
    </row>
    <row r="45" spans="2:6" ht="18">
      <c r="B45" s="341" t="s">
        <v>34</v>
      </c>
      <c r="C45" s="342"/>
      <c r="D45" s="342"/>
      <c r="E45" s="342"/>
      <c r="F45" s="343"/>
    </row>
    <row r="46" spans="2:6" ht="18">
      <c r="B46" s="344" t="s">
        <v>35</v>
      </c>
      <c r="C46" s="345"/>
      <c r="D46" s="345"/>
      <c r="E46" s="345"/>
      <c r="F46" s="346"/>
    </row>
  </sheetData>
  <sheetProtection/>
  <mergeCells count="9">
    <mergeCell ref="B42:F42"/>
    <mergeCell ref="B43:F43"/>
    <mergeCell ref="B44:F44"/>
    <mergeCell ref="B45:F45"/>
    <mergeCell ref="B46:F46"/>
    <mergeCell ref="B1:F3"/>
    <mergeCell ref="B4:F4"/>
    <mergeCell ref="B6:C6"/>
    <mergeCell ref="B8:G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Fiore, Peter N (DPE/EE-EA/PSC)</cp:lastModifiedBy>
  <cp:lastPrinted>2008-10-30T17:40:10Z</cp:lastPrinted>
  <dcterms:created xsi:type="dcterms:W3CDTF">2007-07-18T10:38:01Z</dcterms:created>
  <dcterms:modified xsi:type="dcterms:W3CDTF">2019-10-17T14:10:40Z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