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orepn\OneDrive - Millennium Challenge Corporation\ERRS\Mongolia\Energy\"/>
    </mc:Choice>
  </mc:AlternateContent>
  <bookViews>
    <workbookView xWindow="0" yWindow="0" windowWidth="19200" windowHeight="12180" tabRatio="847"/>
  </bookViews>
  <sheets>
    <sheet name="User's Guide" sheetId="37" r:id="rId1"/>
    <sheet name="Activity Description" sheetId="6" r:id="rId2"/>
    <sheet name="Project ERR" sheetId="20" r:id="rId3"/>
    <sheet name="Assumptions" sheetId="26" r:id="rId4"/>
    <sheet name="MCC ERRs" sheetId="31" r:id="rId5"/>
    <sheet name="Newcomm ERR" sheetId="36" r:id="rId6"/>
    <sheet name="Power Gen" sheetId="22" r:id="rId7"/>
    <sheet name="MCC Costs" sheetId="21" r:id="rId8"/>
    <sheet name="CRETN" sheetId="28" r:id="rId9"/>
    <sheet name="Newcom" sheetId="14" r:id="rId10"/>
    <sheet name="Pollution" sheetId="17" r:id="rId11"/>
    <sheet name="Health" sheetId="18" r:id="rId12"/>
    <sheet name="Power Quality" sheetId="24" r:id="rId13"/>
    <sheet name="Charts" sheetId="30" r:id="rId14"/>
    <sheet name="Coal O&amp;M" sheetId="34" r:id="rId15"/>
    <sheet name="Subsidy" sheetId="33" r:id="rId16"/>
    <sheet name="Population" sheetId="35" r:id="rId17"/>
  </sheets>
  <externalReferences>
    <externalReference r:id="rId18"/>
    <externalReference r:id="rId19"/>
    <externalReference r:id="rId20"/>
    <externalReference r:id="rId21"/>
    <externalReference r:id="rId22"/>
  </externalReferences>
  <definedNames>
    <definedName name="Class1_wo_expt" localSheetId="5">#REF!</definedName>
    <definedName name="Class1_wo_expt">#REF!</definedName>
    <definedName name="Class2_wo_expt" localSheetId="5">#REF!</definedName>
    <definedName name="Class2_wo_expt">#REF!</definedName>
    <definedName name="Class3_wo_expt" localSheetId="5">#REF!</definedName>
    <definedName name="Class3_wo_expt">#REF!</definedName>
    <definedName name="Currency" localSheetId="9">'[1]General&amp;Opex'!$D$10</definedName>
    <definedName name="Currency">'[2]General&amp;Opex'!$D$10</definedName>
    <definedName name="death_rate_stage_III_T">[3]Diabetes!$C$26</definedName>
    <definedName name="death_rate_stage_III_UT">[3]Diabetes!$C$25</definedName>
    <definedName name="death_rate_stage_IV_T">[3]Hypertension!$C$28</definedName>
    <definedName name="death_rate_stage_IV_UT">[3]Hypertension!$C$27</definedName>
    <definedName name="I_to_II_T_W">[3]Hypertension!$J$82</definedName>
    <definedName name="I_to_II_T_WO">[3]Hypertension!$J$32</definedName>
    <definedName name="I_to_II_UT">[3]Hypertension!$E$32</definedName>
    <definedName name="II_t0_III_T_WO">[3]Hypertension!$J$33</definedName>
    <definedName name="II_t0_III_UT">[3]Hypertension!$E$33</definedName>
    <definedName name="II_to_III_T_W">[3]Hypertension!$J$83</definedName>
    <definedName name="II_to_III_UT">[3]Diabetes!$E$31</definedName>
    <definedName name="III_to_IV_T_W">[3]Hypertension!$J$84</definedName>
    <definedName name="III_to_IV_T_WO">[3]Hypertension!$J$34</definedName>
    <definedName name="III_to_IV_UT">[3]Hypertension!$E$34</definedName>
    <definedName name="income_p">[3]Hypertension!$E$6</definedName>
    <definedName name="para" localSheetId="5">'[4]ERR &amp; Sensitivity Analysis'!#REF!</definedName>
    <definedName name="para">'[4]ERR &amp; Sensitivity Analysis'!#REF!</definedName>
    <definedName name="pop_growth">[3]Hypertension!$C$5</definedName>
    <definedName name="_xlnm.Print_Area" localSheetId="9">Newcom!$A$4:$W$47</definedName>
    <definedName name="_xlnm.Print_Titles" localSheetId="9">Newcom!$4:$4</definedName>
    <definedName name="USD_EUR" localSheetId="9">[1]Investment!$F$8</definedName>
    <definedName name="USD_EUR">[2]Investment!$F$8</definedName>
    <definedName name="yesno" localSheetId="9">[1]Hidden!$B$46:$B$47</definedName>
    <definedName name="yesno">[2]Hidden!$B$46:$B$47</definedName>
  </definedNames>
  <calcPr calcId="152511"/>
</workbook>
</file>

<file path=xl/calcChain.xml><?xml version="1.0" encoding="utf-8"?>
<calcChain xmlns="http://schemas.openxmlformats.org/spreadsheetml/2006/main">
  <c r="B29" i="31" l="1"/>
  <c r="B25" i="31"/>
  <c r="H82" i="26" l="1"/>
  <c r="K60" i="26"/>
  <c r="K59" i="26"/>
  <c r="F59" i="26"/>
  <c r="K58" i="26"/>
  <c r="C56" i="26"/>
  <c r="H55" i="26"/>
  <c r="F56" i="26" s="1"/>
  <c r="G51" i="26" s="1"/>
  <c r="C55" i="26"/>
  <c r="F53" i="26"/>
  <c r="F51" i="26"/>
  <c r="H29" i="26" l="1"/>
  <c r="G29" i="26"/>
  <c r="F29" i="26"/>
  <c r="G22" i="6" l="1"/>
  <c r="I26" i="6"/>
  <c r="G27" i="6" s="1"/>
  <c r="H22" i="6" s="1"/>
  <c r="D27" i="6" l="1"/>
  <c r="M31" i="6"/>
  <c r="M30" i="6"/>
  <c r="M29" i="6"/>
  <c r="G53" i="6"/>
  <c r="E44" i="24" l="1"/>
  <c r="D44" i="24"/>
  <c r="C8" i="18"/>
  <c r="D8" i="18"/>
  <c r="C31" i="26" l="1"/>
  <c r="C40" i="24" s="1"/>
  <c r="J14" i="24"/>
  <c r="C14" i="24"/>
  <c r="D14" i="24"/>
  <c r="E14" i="24"/>
  <c r="F14" i="24"/>
  <c r="G14" i="24"/>
  <c r="H14" i="24"/>
  <c r="I14" i="24"/>
  <c r="B14" i="24"/>
  <c r="C38" i="24" s="1"/>
  <c r="D27" i="35"/>
  <c r="B7" i="18"/>
  <c r="D20" i="35"/>
  <c r="L13" i="35"/>
  <c r="K13" i="35"/>
  <c r="J13" i="35"/>
  <c r="I13" i="35"/>
  <c r="H13" i="35"/>
  <c r="G13" i="35"/>
  <c r="F13" i="35"/>
  <c r="E13" i="35"/>
  <c r="D13" i="35"/>
  <c r="B13" i="35" s="1"/>
  <c r="F12" i="35" s="1"/>
  <c r="G12" i="35" s="1"/>
  <c r="H12" i="35" s="1"/>
  <c r="I12" i="35" s="1"/>
  <c r="J12" i="35" s="1"/>
  <c r="K12" i="35" s="1"/>
  <c r="L12" i="35" s="1"/>
  <c r="M12" i="35" s="1"/>
  <c r="N12" i="35" s="1"/>
  <c r="O12" i="35" s="1"/>
  <c r="P12" i="35" s="1"/>
  <c r="Q12" i="35" s="1"/>
  <c r="R12" i="35" s="1"/>
  <c r="S12" i="35" s="1"/>
  <c r="T12" i="35" s="1"/>
  <c r="U12" i="35" s="1"/>
  <c r="V12" i="35" s="1"/>
  <c r="W12" i="35" s="1"/>
  <c r="X12" i="35" s="1"/>
  <c r="Y12" i="35" s="1"/>
  <c r="H9" i="35"/>
  <c r="I9" i="35" s="1"/>
  <c r="J9" i="35" s="1"/>
  <c r="K9" i="35" s="1"/>
  <c r="L9" i="35" s="1"/>
  <c r="M9" i="35" s="1"/>
  <c r="N9" i="35" s="1"/>
  <c r="O9" i="35" s="1"/>
  <c r="P9" i="35" s="1"/>
  <c r="Q9" i="35" s="1"/>
  <c r="R9" i="35" s="1"/>
  <c r="S9" i="35" s="1"/>
  <c r="T9" i="35" s="1"/>
  <c r="U9" i="35" s="1"/>
  <c r="V9" i="35" s="1"/>
  <c r="W9" i="35" s="1"/>
  <c r="X9" i="35" s="1"/>
  <c r="Y9" i="35" s="1"/>
  <c r="Z9" i="35" s="1"/>
  <c r="AA9" i="35" s="1"/>
  <c r="AB9" i="35" s="1"/>
  <c r="K14" i="24" l="1"/>
  <c r="H31" i="26"/>
  <c r="Z12" i="35"/>
  <c r="AA12" i="35" s="1"/>
  <c r="AB12" i="35" s="1"/>
  <c r="Y21" i="35"/>
  <c r="C21" i="35" s="1"/>
  <c r="M13" i="35"/>
  <c r="N13" i="35" s="1"/>
  <c r="O13" i="35" s="1"/>
  <c r="P13" i="35" s="1"/>
  <c r="Q13" i="35" s="1"/>
  <c r="R13" i="35" s="1"/>
  <c r="S13" i="35" s="1"/>
  <c r="T13" i="35" s="1"/>
  <c r="U13" i="35" s="1"/>
  <c r="V13" i="35" s="1"/>
  <c r="W13" i="35" s="1"/>
  <c r="X13" i="35" s="1"/>
  <c r="Y13" i="35" s="1"/>
  <c r="Y20" i="35"/>
  <c r="C20" i="35" s="1"/>
  <c r="D19" i="35"/>
  <c r="D18" i="35" l="1"/>
  <c r="D17" i="35" s="1"/>
  <c r="D16" i="35" s="1"/>
  <c r="D15" i="35"/>
  <c r="Z13" i="35"/>
  <c r="AA13" i="35" s="1"/>
  <c r="AB13" i="35" s="1"/>
  <c r="Y22" i="35"/>
  <c r="C22" i="35" s="1"/>
  <c r="F23" i="26"/>
  <c r="C30" i="26"/>
  <c r="Z10" i="20" s="1"/>
  <c r="Z16" i="20" l="1"/>
  <c r="Z8" i="20"/>
  <c r="Z26" i="20"/>
  <c r="Z9" i="20"/>
  <c r="C54" i="14"/>
  <c r="Z11" i="20"/>
  <c r="L14" i="24" l="1"/>
  <c r="M14" i="24" s="1"/>
  <c r="N14" i="24" s="1"/>
  <c r="O14" i="24" s="1"/>
  <c r="P14" i="24" s="1"/>
  <c r="Q14" i="24" s="1"/>
  <c r="R14" i="24" s="1"/>
  <c r="S14" i="24" s="1"/>
  <c r="T14" i="24" s="1"/>
  <c r="U14" i="24" s="1"/>
  <c r="V14" i="24" s="1"/>
  <c r="W14" i="24" s="1"/>
  <c r="X14" i="24" s="1"/>
  <c r="Y14" i="24" s="1"/>
  <c r="Z14" i="24" s="1"/>
  <c r="B45" i="26" l="1"/>
  <c r="E15" i="35"/>
  <c r="F32" i="17" l="1"/>
  <c r="G32" i="17"/>
  <c r="H32" i="17"/>
  <c r="H46" i="21" l="1"/>
  <c r="G47" i="21" s="1"/>
  <c r="G42" i="21" s="1"/>
  <c r="I30" i="21"/>
  <c r="F47" i="21" l="1"/>
  <c r="F42" i="21" s="1"/>
  <c r="H42" i="21" s="1"/>
  <c r="B72" i="36" l="1"/>
  <c r="V21" i="36"/>
  <c r="U21" i="36"/>
  <c r="T21" i="36"/>
  <c r="S21" i="36"/>
  <c r="R21" i="36"/>
  <c r="Q21" i="36"/>
  <c r="P21" i="36"/>
  <c r="O21" i="36"/>
  <c r="N21" i="36"/>
  <c r="M21" i="36"/>
  <c r="L21" i="36"/>
  <c r="K21" i="36"/>
  <c r="J21" i="36"/>
  <c r="I21" i="36"/>
  <c r="H21" i="36"/>
  <c r="G21" i="36"/>
  <c r="F21" i="36"/>
  <c r="E21" i="36"/>
  <c r="D21" i="36"/>
  <c r="B21" i="36"/>
  <c r="W14" i="36"/>
  <c r="V14" i="36"/>
  <c r="U14" i="36"/>
  <c r="T14" i="36"/>
  <c r="S14" i="36"/>
  <c r="R14" i="36"/>
  <c r="Q14" i="36"/>
  <c r="P14" i="36"/>
  <c r="O14" i="36"/>
  <c r="N14" i="36"/>
  <c r="M14" i="36"/>
  <c r="L14" i="36"/>
  <c r="K14" i="36"/>
  <c r="J14" i="36"/>
  <c r="I14" i="36"/>
  <c r="H14" i="36"/>
  <c r="G14" i="36"/>
  <c r="F14" i="36"/>
  <c r="E14" i="36"/>
  <c r="D14" i="36"/>
  <c r="C14" i="36"/>
  <c r="B14" i="36"/>
  <c r="B12" i="36"/>
  <c r="Z11" i="36"/>
  <c r="Y11" i="36"/>
  <c r="Z10" i="36"/>
  <c r="Y10" i="36"/>
  <c r="Z9" i="36"/>
  <c r="Y9" i="36"/>
  <c r="Z8" i="36"/>
  <c r="Y8" i="36"/>
  <c r="Z7" i="36"/>
  <c r="Y7" i="36"/>
  <c r="Y14" i="36" l="1"/>
  <c r="Y12" i="36"/>
  <c r="Z12" i="36"/>
  <c r="AC10" i="36" s="1"/>
  <c r="Z14" i="36"/>
  <c r="E8" i="17"/>
  <c r="Y19" i="35" l="1"/>
  <c r="C8" i="35"/>
  <c r="B8" i="35"/>
  <c r="B6" i="35"/>
  <c r="C6" i="35" s="1"/>
  <c r="O6" i="35" s="1"/>
  <c r="P6" i="35" s="1"/>
  <c r="Q6" i="35" s="1"/>
  <c r="R6" i="35" s="1"/>
  <c r="S6" i="35" s="1"/>
  <c r="T6" i="35" s="1"/>
  <c r="U6" i="35" s="1"/>
  <c r="V6" i="35" s="1"/>
  <c r="W6" i="35" s="1"/>
  <c r="X6" i="35" s="1"/>
  <c r="Y6" i="35" s="1"/>
  <c r="Z6" i="35" s="1"/>
  <c r="AA6" i="35" s="1"/>
  <c r="AB6" i="35" s="1"/>
  <c r="B7" i="35"/>
  <c r="C7" i="35" s="1"/>
  <c r="O7" i="35" s="1"/>
  <c r="P7" i="35" s="1"/>
  <c r="Q7" i="35" s="1"/>
  <c r="R7" i="35" s="1"/>
  <c r="S7" i="35" s="1"/>
  <c r="T7" i="35" s="1"/>
  <c r="U7" i="35" s="1"/>
  <c r="V7" i="35" s="1"/>
  <c r="W7" i="35" s="1"/>
  <c r="X7" i="35" s="1"/>
  <c r="Y7" i="35" s="1"/>
  <c r="Z7" i="35" s="1"/>
  <c r="AA7" i="35" s="1"/>
  <c r="AB7" i="35" s="1"/>
  <c r="B5" i="35"/>
  <c r="C5" i="35" s="1"/>
  <c r="O5" i="35" s="1"/>
  <c r="P5" i="35" s="1"/>
  <c r="Q5" i="35" s="1"/>
  <c r="R5" i="35" s="1"/>
  <c r="S5" i="35" s="1"/>
  <c r="T5" i="35" s="1"/>
  <c r="U5" i="35" s="1"/>
  <c r="V5" i="35" s="1"/>
  <c r="W5" i="35" s="1"/>
  <c r="X5" i="35" s="1"/>
  <c r="Y5" i="35" s="1"/>
  <c r="Z5" i="35" s="1"/>
  <c r="AA5" i="35" s="1"/>
  <c r="AB5" i="35" s="1"/>
  <c r="D45" i="21"/>
  <c r="Y16" i="35" l="1"/>
  <c r="C16" i="35" s="1"/>
  <c r="Y17" i="35"/>
  <c r="C17" i="35" s="1"/>
  <c r="Y18" i="35"/>
  <c r="C18" i="35" s="1"/>
  <c r="C19" i="35"/>
  <c r="K31" i="33"/>
  <c r="J31" i="33"/>
  <c r="G24" i="6"/>
  <c r="C24" i="26" l="1"/>
  <c r="C23" i="35"/>
  <c r="C73" i="17" l="1"/>
  <c r="D73" i="17"/>
  <c r="B73" i="17"/>
  <c r="C21" i="26"/>
  <c r="C22" i="26"/>
  <c r="C25" i="26"/>
  <c r="C26" i="26"/>
  <c r="C27" i="26"/>
  <c r="C28" i="26"/>
  <c r="C29" i="26"/>
  <c r="C57" i="14" s="1"/>
  <c r="C23" i="26"/>
  <c r="D45" i="24" s="1"/>
  <c r="R30" i="33" l="1"/>
  <c r="R31" i="33" s="1"/>
  <c r="Q30" i="33"/>
  <c r="Q31" i="33" s="1"/>
  <c r="D14" i="33"/>
  <c r="E14" i="33"/>
  <c r="F14" i="33"/>
  <c r="G14" i="33"/>
  <c r="H14" i="33"/>
  <c r="I14" i="33"/>
  <c r="J14" i="33"/>
  <c r="K14" i="33"/>
  <c r="L14" i="33"/>
  <c r="M14" i="33"/>
  <c r="N14" i="33"/>
  <c r="O14" i="33"/>
  <c r="P14" i="33"/>
  <c r="Q14" i="33"/>
  <c r="R14" i="33"/>
  <c r="S14" i="33"/>
  <c r="T14" i="33"/>
  <c r="U14" i="33"/>
  <c r="V14" i="33"/>
  <c r="W14" i="33"/>
  <c r="X14" i="33"/>
  <c r="C14" i="33"/>
  <c r="C7" i="33"/>
  <c r="C8" i="33" s="1"/>
  <c r="C15" i="33" s="1"/>
  <c r="C11" i="33" l="1"/>
  <c r="C18" i="33" s="1"/>
  <c r="C9" i="33"/>
  <c r="C16" i="33" s="1"/>
  <c r="C10" i="33"/>
  <c r="C17" i="33" s="1"/>
  <c r="E72" i="17"/>
  <c r="C74" i="17"/>
  <c r="D74" i="17"/>
  <c r="B74" i="17"/>
  <c r="E70" i="17"/>
  <c r="E74" i="17" s="1"/>
  <c r="E68" i="17"/>
  <c r="E75" i="17" s="1"/>
  <c r="E69" i="17"/>
  <c r="E67" i="17"/>
  <c r="E76" i="17" l="1"/>
  <c r="F70" i="17"/>
  <c r="F71" i="17" s="1"/>
  <c r="E73" i="17"/>
  <c r="F8" i="17"/>
  <c r="F10" i="17"/>
  <c r="F31" i="17" s="1"/>
  <c r="E10" i="17"/>
  <c r="E9" i="17"/>
  <c r="F9" i="17" s="1"/>
  <c r="F30" i="17" l="1"/>
  <c r="G9" i="17"/>
  <c r="G8" i="17"/>
  <c r="F29" i="17"/>
  <c r="G10" i="17"/>
  <c r="M9" i="22"/>
  <c r="B79" i="20"/>
  <c r="N29" i="26"/>
  <c r="H8" i="17" l="1"/>
  <c r="G29" i="17"/>
  <c r="H10" i="17"/>
  <c r="G31" i="17"/>
  <c r="G30" i="17"/>
  <c r="H9" i="17"/>
  <c r="L29" i="26"/>
  <c r="J29" i="26"/>
  <c r="K29" i="26"/>
  <c r="D17" i="22"/>
  <c r="F60" i="17"/>
  <c r="I9" i="17" l="1"/>
  <c r="J9" i="17" s="1"/>
  <c r="K9" i="17" s="1"/>
  <c r="L9" i="17" s="1"/>
  <c r="M9" i="17" s="1"/>
  <c r="N9" i="17" s="1"/>
  <c r="O9" i="17" s="1"/>
  <c r="P9" i="17" s="1"/>
  <c r="Q9" i="17" s="1"/>
  <c r="R9" i="17" s="1"/>
  <c r="S9" i="17" s="1"/>
  <c r="T9" i="17" s="1"/>
  <c r="U9" i="17" s="1"/>
  <c r="V9" i="17" s="1"/>
  <c r="W9" i="17" s="1"/>
  <c r="X9" i="17" s="1"/>
  <c r="Y9" i="17" s="1"/>
  <c r="Z9" i="17" s="1"/>
  <c r="AA9" i="17" s="1"/>
  <c r="AB9" i="17" s="1"/>
  <c r="H30" i="17"/>
  <c r="I8" i="17"/>
  <c r="H29" i="17"/>
  <c r="I10" i="17"/>
  <c r="J10" i="17" s="1"/>
  <c r="K10" i="17" s="1"/>
  <c r="L10" i="17" s="1"/>
  <c r="M10" i="17" s="1"/>
  <c r="N10" i="17" s="1"/>
  <c r="O10" i="17" s="1"/>
  <c r="P10" i="17" s="1"/>
  <c r="Q10" i="17" s="1"/>
  <c r="R10" i="17" s="1"/>
  <c r="S10" i="17" s="1"/>
  <c r="T10" i="17" s="1"/>
  <c r="U10" i="17" s="1"/>
  <c r="V10" i="17" s="1"/>
  <c r="W10" i="17" s="1"/>
  <c r="X10" i="17" s="1"/>
  <c r="Y10" i="17" s="1"/>
  <c r="Z10" i="17" s="1"/>
  <c r="AA10" i="17" s="1"/>
  <c r="AB10" i="17" s="1"/>
  <c r="H31" i="17"/>
  <c r="E45" i="24"/>
  <c r="AC9" i="17" l="1"/>
  <c r="J8" i="17"/>
  <c r="AC10" i="17"/>
  <c r="F44" i="24"/>
  <c r="E46" i="24"/>
  <c r="D46" i="24"/>
  <c r="C37" i="24"/>
  <c r="C36" i="24"/>
  <c r="K8" i="17" l="1"/>
  <c r="I15" i="24"/>
  <c r="I8" i="18" s="1"/>
  <c r="G15" i="24"/>
  <c r="G8" i="18" s="1"/>
  <c r="E15" i="24"/>
  <c r="E8" i="18" s="1"/>
  <c r="J15" i="24"/>
  <c r="J8" i="18" s="1"/>
  <c r="H15" i="24"/>
  <c r="H8" i="18" s="1"/>
  <c r="F15" i="24"/>
  <c r="F8" i="18" s="1"/>
  <c r="B15" i="24"/>
  <c r="B9" i="24"/>
  <c r="B21" i="24" l="1"/>
  <c r="C9" i="24"/>
  <c r="L8" i="17"/>
  <c r="B10" i="24"/>
  <c r="B11" i="24" s="1"/>
  <c r="B16" i="24" s="1"/>
  <c r="F125" i="18"/>
  <c r="E125" i="18" s="1"/>
  <c r="D125" i="18" s="1"/>
  <c r="C125" i="18" s="1"/>
  <c r="B125" i="18" s="1"/>
  <c r="F119" i="18"/>
  <c r="C119" i="18"/>
  <c r="B119" i="18"/>
  <c r="D118" i="18"/>
  <c r="D117" i="18"/>
  <c r="D116" i="18"/>
  <c r="D115" i="18"/>
  <c r="D114" i="18"/>
  <c r="M8" i="17" l="1"/>
  <c r="C21" i="24"/>
  <c r="C22" i="24" s="1"/>
  <c r="C23" i="24" s="1"/>
  <c r="D9" i="24"/>
  <c r="C10" i="24"/>
  <c r="C11" i="24" s="1"/>
  <c r="D113" i="18"/>
  <c r="D112" i="18"/>
  <c r="D111" i="18"/>
  <c r="D110" i="18"/>
  <c r="E110" i="18" s="1"/>
  <c r="D109" i="18"/>
  <c r="N8" i="17" l="1"/>
  <c r="D21" i="24"/>
  <c r="D22" i="24" s="1"/>
  <c r="D23" i="24" s="1"/>
  <c r="E9" i="24"/>
  <c r="D10" i="24"/>
  <c r="D11" i="24" s="1"/>
  <c r="D119" i="18"/>
  <c r="E119" i="18" s="1"/>
  <c r="B71" i="18"/>
  <c r="A71" i="18"/>
  <c r="C57" i="18"/>
  <c r="C56" i="18"/>
  <c r="I55" i="18"/>
  <c r="C54" i="18"/>
  <c r="O8" i="17" l="1"/>
  <c r="F9" i="24"/>
  <c r="E10" i="24"/>
  <c r="E11" i="24" s="1"/>
  <c r="E118" i="18"/>
  <c r="E115" i="18"/>
  <c r="E117" i="18"/>
  <c r="E116" i="18"/>
  <c r="E114" i="18"/>
  <c r="E113" i="18"/>
  <c r="E112" i="18"/>
  <c r="E111" i="18"/>
  <c r="E109" i="18"/>
  <c r="P8" i="17" l="1"/>
  <c r="G9" i="24"/>
  <c r="F10" i="24"/>
  <c r="F11" i="24" s="1"/>
  <c r="B8" i="18"/>
  <c r="Q8" i="17" l="1"/>
  <c r="H9" i="24"/>
  <c r="G10" i="24"/>
  <c r="G11" i="24" s="1"/>
  <c r="C7" i="18"/>
  <c r="R8" i="17" l="1"/>
  <c r="I9" i="24"/>
  <c r="H10" i="24"/>
  <c r="H11" i="24" s="1"/>
  <c r="C71" i="18"/>
  <c r="C24" i="18"/>
  <c r="B24" i="18" s="1"/>
  <c r="C9" i="18"/>
  <c r="B9" i="18" s="1"/>
  <c r="D7" i="18"/>
  <c r="S8" i="17" l="1"/>
  <c r="J9" i="24"/>
  <c r="I10" i="24"/>
  <c r="I11" i="24" s="1"/>
  <c r="F7" i="34"/>
  <c r="F10" i="34" s="1"/>
  <c r="F11" i="34" s="1"/>
  <c r="B27" i="20" s="1"/>
  <c r="D71" i="18"/>
  <c r="D24" i="18"/>
  <c r="D9" i="18"/>
  <c r="E7" i="18"/>
  <c r="C37" i="17"/>
  <c r="C36" i="17"/>
  <c r="T8" i="17" l="1"/>
  <c r="K9" i="24"/>
  <c r="J10" i="24"/>
  <c r="J11" i="24" s="1"/>
  <c r="D26" i="18"/>
  <c r="C26" i="18" s="1"/>
  <c r="E71" i="18"/>
  <c r="E24" i="18"/>
  <c r="E9" i="18"/>
  <c r="F7" i="18"/>
  <c r="D25" i="17"/>
  <c r="P12" i="17"/>
  <c r="K12" i="17"/>
  <c r="F12" i="17"/>
  <c r="Q7" i="17"/>
  <c r="U8" i="17" l="1"/>
  <c r="H13" i="18"/>
  <c r="K18" i="17"/>
  <c r="F18" i="17"/>
  <c r="M13" i="18"/>
  <c r="P18" i="17"/>
  <c r="L9" i="24"/>
  <c r="K10" i="24"/>
  <c r="K11" i="24" s="1"/>
  <c r="R7" i="17"/>
  <c r="D29" i="17"/>
  <c r="G12" i="17"/>
  <c r="L12" i="17"/>
  <c r="Q12" i="17"/>
  <c r="M12" i="17"/>
  <c r="C13" i="18"/>
  <c r="K15" i="17"/>
  <c r="K25" i="17" s="1"/>
  <c r="K62" i="17" s="1"/>
  <c r="P15" i="17"/>
  <c r="P25" i="17" s="1"/>
  <c r="P62" i="17" s="1"/>
  <c r="K16" i="17"/>
  <c r="P16" i="17"/>
  <c r="P17" i="17"/>
  <c r="F15" i="17"/>
  <c r="F25" i="17" s="1"/>
  <c r="F40" i="17" s="1"/>
  <c r="F6" i="34" s="1"/>
  <c r="F16" i="17"/>
  <c r="F17" i="17"/>
  <c r="K17" i="17"/>
  <c r="F71" i="18"/>
  <c r="F24" i="18"/>
  <c r="G7" i="18"/>
  <c r="F9" i="18"/>
  <c r="E26" i="18"/>
  <c r="X40" i="14"/>
  <c r="D40" i="14"/>
  <c r="X39" i="14"/>
  <c r="D39" i="14"/>
  <c r="C34" i="14"/>
  <c r="W32" i="14"/>
  <c r="V32" i="14"/>
  <c r="U32" i="14"/>
  <c r="T32" i="14"/>
  <c r="S32" i="14"/>
  <c r="R32" i="14"/>
  <c r="Q32" i="14"/>
  <c r="P32" i="14"/>
  <c r="O32" i="14"/>
  <c r="N32" i="14"/>
  <c r="M32" i="14"/>
  <c r="L32" i="14"/>
  <c r="K32" i="14"/>
  <c r="J32" i="14"/>
  <c r="I32" i="14"/>
  <c r="H32" i="14"/>
  <c r="G32" i="14"/>
  <c r="F32" i="14"/>
  <c r="E32" i="14"/>
  <c r="C32" i="14"/>
  <c r="B13" i="36" s="1"/>
  <c r="X29" i="14"/>
  <c r="D29" i="14"/>
  <c r="X27" i="14"/>
  <c r="D26" i="14"/>
  <c r="X25" i="14"/>
  <c r="D24" i="14"/>
  <c r="X23" i="14"/>
  <c r="D23" i="14"/>
  <c r="X22" i="14"/>
  <c r="D22" i="14"/>
  <c r="X21" i="14"/>
  <c r="D21" i="14"/>
  <c r="X20" i="14"/>
  <c r="D20" i="14"/>
  <c r="X19" i="14"/>
  <c r="X32" i="14" s="1"/>
  <c r="D19" i="14"/>
  <c r="X13" i="14"/>
  <c r="D13" i="14"/>
  <c r="X12" i="14"/>
  <c r="W21" i="36" s="1"/>
  <c r="D12" i="14"/>
  <c r="C10" i="14"/>
  <c r="B19" i="36" s="1"/>
  <c r="X41" i="14" l="1"/>
  <c r="W13" i="36"/>
  <c r="W15" i="36" s="1"/>
  <c r="I41" i="14"/>
  <c r="H13" i="36"/>
  <c r="H15" i="36" s="1"/>
  <c r="M41" i="14"/>
  <c r="L13" i="36"/>
  <c r="L15" i="36" s="1"/>
  <c r="U41" i="14"/>
  <c r="T13" i="36"/>
  <c r="T15" i="36" s="1"/>
  <c r="N13" i="18"/>
  <c r="Q18" i="17"/>
  <c r="V8" i="17"/>
  <c r="F41" i="14"/>
  <c r="E13" i="36"/>
  <c r="E15" i="36" s="1"/>
  <c r="N41" i="14"/>
  <c r="M13" i="36"/>
  <c r="M15" i="36" s="1"/>
  <c r="V41" i="14"/>
  <c r="U13" i="36"/>
  <c r="U15" i="36" s="1"/>
  <c r="G41" i="14"/>
  <c r="F13" i="36"/>
  <c r="F15" i="36" s="1"/>
  <c r="K41" i="14"/>
  <c r="J13" i="36"/>
  <c r="J15" i="36" s="1"/>
  <c r="O41" i="14"/>
  <c r="N13" i="36"/>
  <c r="N15" i="36" s="1"/>
  <c r="S41" i="14"/>
  <c r="R13" i="36"/>
  <c r="R15" i="36" s="1"/>
  <c r="W41" i="14"/>
  <c r="V13" i="36"/>
  <c r="V15" i="36" s="1"/>
  <c r="G18" i="17"/>
  <c r="M9" i="24"/>
  <c r="L10" i="24"/>
  <c r="L11" i="24" s="1"/>
  <c r="E41" i="14"/>
  <c r="D13" i="36"/>
  <c r="D15" i="36" s="1"/>
  <c r="Q41" i="14"/>
  <c r="P13" i="36"/>
  <c r="P15" i="36" s="1"/>
  <c r="J41" i="14"/>
  <c r="I13" i="36"/>
  <c r="I15" i="36" s="1"/>
  <c r="R41" i="14"/>
  <c r="Q13" i="36"/>
  <c r="Q15" i="36" s="1"/>
  <c r="I13" i="18"/>
  <c r="L18" i="17"/>
  <c r="C21" i="36"/>
  <c r="D32" i="14"/>
  <c r="B15" i="36"/>
  <c r="H41" i="14"/>
  <c r="G13" i="36"/>
  <c r="G15" i="36" s="1"/>
  <c r="L41" i="14"/>
  <c r="K13" i="36"/>
  <c r="K15" i="36" s="1"/>
  <c r="P41" i="14"/>
  <c r="O13" i="36"/>
  <c r="O15" i="36" s="1"/>
  <c r="T41" i="14"/>
  <c r="S13" i="36"/>
  <c r="S15" i="36" s="1"/>
  <c r="M18" i="17"/>
  <c r="F62" i="17"/>
  <c r="G15" i="17"/>
  <c r="G17" i="17"/>
  <c r="G16" i="17"/>
  <c r="D59" i="14"/>
  <c r="C59" i="14"/>
  <c r="E59" i="14"/>
  <c r="O8" i="24"/>
  <c r="J8" i="24"/>
  <c r="J13" i="18"/>
  <c r="M17" i="17"/>
  <c r="L17" i="17" s="1"/>
  <c r="D32" i="17"/>
  <c r="E32" i="17"/>
  <c r="D31" i="17"/>
  <c r="Q16" i="17"/>
  <c r="Q17" i="17"/>
  <c r="M16" i="17"/>
  <c r="Q15" i="17"/>
  <c r="L15" i="17"/>
  <c r="L16" i="17"/>
  <c r="E29" i="17"/>
  <c r="E28" i="17" s="1"/>
  <c r="E7" i="17"/>
  <c r="E21" i="17" s="1"/>
  <c r="F7" i="17"/>
  <c r="D13" i="18"/>
  <c r="D25" i="18"/>
  <c r="C25" i="18" s="1"/>
  <c r="P7" i="17"/>
  <c r="O7" i="17"/>
  <c r="N7" i="17" s="1"/>
  <c r="M7" i="17" s="1"/>
  <c r="L7" i="17" s="1"/>
  <c r="G71" i="18"/>
  <c r="G24" i="18"/>
  <c r="H7" i="18"/>
  <c r="G9" i="18"/>
  <c r="F26" i="18"/>
  <c r="L25" i="17" l="1"/>
  <c r="Z21" i="36"/>
  <c r="Y21" i="36"/>
  <c r="Q25" i="17"/>
  <c r="N9" i="24"/>
  <c r="M10" i="24"/>
  <c r="M11" i="24" s="1"/>
  <c r="W8" i="17"/>
  <c r="D41" i="14"/>
  <c r="C41" i="14" s="1"/>
  <c r="C13" i="36"/>
  <c r="G25" i="17"/>
  <c r="G62" i="17" s="1"/>
  <c r="E8" i="24"/>
  <c r="F8" i="24"/>
  <c r="K7" i="17"/>
  <c r="J7" i="17"/>
  <c r="I7" i="17" s="1"/>
  <c r="H7" i="17" s="1"/>
  <c r="G7" i="17" s="1"/>
  <c r="E30" i="17"/>
  <c r="D30" i="17" s="1"/>
  <c r="E12" i="17"/>
  <c r="N12" i="17"/>
  <c r="E31" i="17"/>
  <c r="H71" i="18"/>
  <c r="H24" i="18"/>
  <c r="I7" i="18"/>
  <c r="H9" i="18"/>
  <c r="G26" i="18"/>
  <c r="E17" i="17" l="1"/>
  <c r="O9" i="24"/>
  <c r="N10" i="24"/>
  <c r="N11" i="24" s="1"/>
  <c r="N18" i="17"/>
  <c r="C15" i="36"/>
  <c r="Y13" i="36"/>
  <c r="Z13" i="36"/>
  <c r="P8" i="24"/>
  <c r="Q62" i="17"/>
  <c r="X8" i="17"/>
  <c r="L62" i="17"/>
  <c r="K8" i="24"/>
  <c r="E16" i="17"/>
  <c r="K13" i="18"/>
  <c r="N15" i="17"/>
  <c r="N17" i="17"/>
  <c r="D12" i="17"/>
  <c r="B13" i="18"/>
  <c r="E15" i="17"/>
  <c r="O12" i="17"/>
  <c r="I71" i="18"/>
  <c r="I24" i="18"/>
  <c r="J7" i="18"/>
  <c r="H26" i="18"/>
  <c r="H25" i="18"/>
  <c r="C21" i="28"/>
  <c r="D15" i="17" l="1"/>
  <c r="D62" i="17"/>
  <c r="O16" i="17"/>
  <c r="N16" i="17" s="1"/>
  <c r="O18" i="17"/>
  <c r="Y8" i="17"/>
  <c r="E25" i="17"/>
  <c r="E62" i="17" s="1"/>
  <c r="Y15" i="36"/>
  <c r="Z15" i="36"/>
  <c r="AA13" i="36" s="1"/>
  <c r="P9" i="24"/>
  <c r="O10" i="24"/>
  <c r="O11" i="24" s="1"/>
  <c r="M15" i="17"/>
  <c r="M25" i="17" s="1"/>
  <c r="N25" i="17"/>
  <c r="B14" i="18"/>
  <c r="B15" i="18" s="1"/>
  <c r="F21" i="17"/>
  <c r="C14" i="18" s="1"/>
  <c r="C15" i="18" s="1"/>
  <c r="L13" i="18"/>
  <c r="O17" i="17"/>
  <c r="O15" i="17"/>
  <c r="O25" i="17" s="1"/>
  <c r="N8" i="24" s="1"/>
  <c r="D16" i="17"/>
  <c r="D17" i="17"/>
  <c r="J71" i="18"/>
  <c r="J24" i="18"/>
  <c r="K7" i="18"/>
  <c r="I25" i="18"/>
  <c r="Q9" i="24" l="1"/>
  <c r="P10" i="24"/>
  <c r="P11" i="24" s="1"/>
  <c r="O62" i="17"/>
  <c r="M8" i="24"/>
  <c r="N62" i="17"/>
  <c r="AA7" i="36"/>
  <c r="AA12" i="36"/>
  <c r="AA10" i="36"/>
  <c r="AA15" i="36"/>
  <c r="AA14" i="36"/>
  <c r="AA8" i="36"/>
  <c r="AA11" i="36"/>
  <c r="AD10" i="36"/>
  <c r="AA9" i="36"/>
  <c r="L8" i="24"/>
  <c r="M62" i="17"/>
  <c r="Z8" i="17"/>
  <c r="K71" i="18"/>
  <c r="K24" i="18"/>
  <c r="L7" i="18"/>
  <c r="J25" i="18"/>
  <c r="X8" i="28"/>
  <c r="W8" i="28"/>
  <c r="V8" i="28"/>
  <c r="U8" i="28"/>
  <c r="T8" i="28"/>
  <c r="S8" i="28"/>
  <c r="R8" i="28"/>
  <c r="Q8" i="28"/>
  <c r="P8" i="28"/>
  <c r="O8" i="28"/>
  <c r="N8" i="28"/>
  <c r="M8" i="28"/>
  <c r="L8" i="28"/>
  <c r="K8" i="28"/>
  <c r="J8" i="28"/>
  <c r="I8" i="28"/>
  <c r="H8" i="28"/>
  <c r="G8" i="28"/>
  <c r="F8" i="28"/>
  <c r="E8" i="28"/>
  <c r="D8" i="28"/>
  <c r="C8" i="28"/>
  <c r="C7" i="28"/>
  <c r="C16" i="28" s="1"/>
  <c r="I21" i="21"/>
  <c r="I20" i="21"/>
  <c r="I19" i="21"/>
  <c r="I18" i="21"/>
  <c r="I17" i="21"/>
  <c r="I15" i="21"/>
  <c r="I14" i="21"/>
  <c r="H14" i="21"/>
  <c r="I13" i="21"/>
  <c r="H13" i="21"/>
  <c r="I12" i="21"/>
  <c r="H12" i="21"/>
  <c r="I11" i="21"/>
  <c r="H11" i="21"/>
  <c r="I10" i="21"/>
  <c r="H10" i="21"/>
  <c r="C63" i="22"/>
  <c r="D62" i="22"/>
  <c r="D61" i="22"/>
  <c r="D60" i="22"/>
  <c r="D59" i="22"/>
  <c r="D58" i="22"/>
  <c r="B42" i="22"/>
  <c r="B29" i="22"/>
  <c r="D18" i="22"/>
  <c r="D16" i="22" s="1"/>
  <c r="B8" i="22"/>
  <c r="B9" i="22" s="1"/>
  <c r="AA8" i="17" l="1"/>
  <c r="R9" i="24"/>
  <c r="Q10" i="24"/>
  <c r="Q11" i="24" s="1"/>
  <c r="B30" i="22"/>
  <c r="B20" i="22"/>
  <c r="I22" i="21"/>
  <c r="I28" i="21" s="1"/>
  <c r="I36" i="21" s="1"/>
  <c r="Y7" i="17"/>
  <c r="X7" i="17" s="1"/>
  <c r="W7" i="17" s="1"/>
  <c r="V7" i="17" s="1"/>
  <c r="U7" i="17" s="1"/>
  <c r="T7" i="17" s="1"/>
  <c r="S7" i="17" s="1"/>
  <c r="L71" i="18"/>
  <c r="L24" i="18"/>
  <c r="M7" i="18"/>
  <c r="K25" i="18"/>
  <c r="C11" i="28"/>
  <c r="C15" i="28"/>
  <c r="S9" i="24" l="1"/>
  <c r="R10" i="24"/>
  <c r="R11" i="24" s="1"/>
  <c r="AB8" i="17"/>
  <c r="Z7" i="17"/>
  <c r="C17" i="28"/>
  <c r="M71" i="18"/>
  <c r="M24" i="18"/>
  <c r="N7" i="18"/>
  <c r="L25" i="18"/>
  <c r="AB7" i="17" l="1"/>
  <c r="AC8" i="17"/>
  <c r="AB12" i="17"/>
  <c r="T9" i="24"/>
  <c r="S10" i="24"/>
  <c r="S11" i="24" s="1"/>
  <c r="AA7" i="17"/>
  <c r="N71" i="18"/>
  <c r="N24" i="18"/>
  <c r="O7" i="18"/>
  <c r="M25" i="18"/>
  <c r="AC7" i="17" l="1"/>
  <c r="AC12" i="17"/>
  <c r="U9" i="24"/>
  <c r="T10" i="24"/>
  <c r="T11" i="24" s="1"/>
  <c r="Y13" i="18"/>
  <c r="AB18" i="17"/>
  <c r="AB16" i="17"/>
  <c r="AB17" i="17"/>
  <c r="AB15" i="17"/>
  <c r="O71" i="18"/>
  <c r="O24" i="18"/>
  <c r="P7" i="18"/>
  <c r="N25" i="18"/>
  <c r="AB25" i="17" l="1"/>
  <c r="AB62" i="17" s="1"/>
  <c r="Z13" i="18"/>
  <c r="AC18" i="17"/>
  <c r="AC17" i="17"/>
  <c r="AC16" i="17"/>
  <c r="V9" i="24"/>
  <c r="U10" i="24"/>
  <c r="U11" i="24" s="1"/>
  <c r="AC15" i="17"/>
  <c r="P71" i="18"/>
  <c r="P24" i="18"/>
  <c r="Q7" i="18"/>
  <c r="W9" i="24" l="1"/>
  <c r="V10" i="24"/>
  <c r="V11" i="24" s="1"/>
  <c r="AC25" i="17"/>
  <c r="AC62" i="17" s="1"/>
  <c r="Q71" i="18"/>
  <c r="Q24" i="18"/>
  <c r="R7" i="18"/>
  <c r="W25" i="20"/>
  <c r="V25" i="20"/>
  <c r="U25" i="20"/>
  <c r="T25" i="20"/>
  <c r="S25" i="20"/>
  <c r="R25" i="20"/>
  <c r="Q25" i="20"/>
  <c r="P25" i="20"/>
  <c r="O25" i="20"/>
  <c r="N25" i="20"/>
  <c r="M25" i="20"/>
  <c r="L25" i="20"/>
  <c r="K25" i="20"/>
  <c r="J25" i="20"/>
  <c r="I25" i="20"/>
  <c r="H25" i="20"/>
  <c r="G25" i="20"/>
  <c r="F25" i="20"/>
  <c r="E25" i="20"/>
  <c r="D25" i="20"/>
  <c r="C25" i="20"/>
  <c r="B25" i="20"/>
  <c r="X9" i="24" l="1"/>
  <c r="W10" i="24"/>
  <c r="W11" i="24" s="1"/>
  <c r="Z25" i="20"/>
  <c r="Y25" i="20"/>
  <c r="R71" i="18"/>
  <c r="R24" i="18"/>
  <c r="S7" i="18"/>
  <c r="E28" i="20"/>
  <c r="D28" i="20"/>
  <c r="C28" i="20"/>
  <c r="B28" i="20"/>
  <c r="Y9" i="24" l="1"/>
  <c r="X10" i="24"/>
  <c r="X11" i="24" s="1"/>
  <c r="S71" i="18"/>
  <c r="S24" i="18"/>
  <c r="T7" i="18"/>
  <c r="Z9" i="24" l="1"/>
  <c r="Z10" i="24" s="1"/>
  <c r="Z11" i="24" s="1"/>
  <c r="Y10" i="24"/>
  <c r="Y11" i="24" s="1"/>
  <c r="T71" i="18"/>
  <c r="T24" i="18"/>
  <c r="U7" i="18"/>
  <c r="U71" i="18" l="1"/>
  <c r="U24" i="18"/>
  <c r="V7" i="18"/>
  <c r="V71" i="18" l="1"/>
  <c r="V24" i="18"/>
  <c r="W7" i="18"/>
  <c r="W71" i="18" l="1"/>
  <c r="W24" i="18"/>
  <c r="X7" i="18"/>
  <c r="Y7" i="18" s="1"/>
  <c r="Y16" i="20"/>
  <c r="Z7" i="18" l="1"/>
  <c r="Y24" i="18"/>
  <c r="Y71" i="18"/>
  <c r="X71" i="18"/>
  <c r="X24" i="18"/>
  <c r="W15" i="20"/>
  <c r="V15" i="20"/>
  <c r="U15" i="20"/>
  <c r="T15" i="20"/>
  <c r="S15" i="20"/>
  <c r="R15" i="20"/>
  <c r="Q15" i="20"/>
  <c r="P15" i="20"/>
  <c r="O15" i="20"/>
  <c r="N15" i="20"/>
  <c r="M15" i="20"/>
  <c r="L15" i="20"/>
  <c r="K15" i="20"/>
  <c r="J15" i="20"/>
  <c r="I15" i="20"/>
  <c r="H15" i="20"/>
  <c r="G15" i="20"/>
  <c r="F15" i="20"/>
  <c r="E15" i="20"/>
  <c r="D15" i="20"/>
  <c r="C15" i="20"/>
  <c r="B15" i="20"/>
  <c r="W14" i="20"/>
  <c r="V14" i="20"/>
  <c r="U14" i="20"/>
  <c r="T14" i="20"/>
  <c r="S14" i="20"/>
  <c r="R14" i="20"/>
  <c r="Q14" i="20"/>
  <c r="P14" i="20"/>
  <c r="O14" i="20"/>
  <c r="N14" i="20"/>
  <c r="M14" i="20"/>
  <c r="L14" i="20"/>
  <c r="K14" i="20"/>
  <c r="J14" i="20"/>
  <c r="I14" i="20"/>
  <c r="H14" i="20"/>
  <c r="G14" i="20"/>
  <c r="F14" i="20"/>
  <c r="B14" i="20"/>
  <c r="W13" i="20"/>
  <c r="V13" i="20"/>
  <c r="U13" i="20"/>
  <c r="T13" i="20"/>
  <c r="S13" i="20"/>
  <c r="R13" i="20"/>
  <c r="Q13" i="20"/>
  <c r="P13" i="20"/>
  <c r="O13" i="20"/>
  <c r="N13" i="20"/>
  <c r="M13" i="20"/>
  <c r="L13" i="20"/>
  <c r="K13" i="20"/>
  <c r="J13" i="20"/>
  <c r="I13" i="20"/>
  <c r="H13" i="20"/>
  <c r="G13" i="20"/>
  <c r="F13" i="20"/>
  <c r="E13" i="20"/>
  <c r="D13" i="20"/>
  <c r="C13" i="20"/>
  <c r="B13" i="20"/>
  <c r="B12" i="20"/>
  <c r="Z12" i="20" s="1"/>
  <c r="Y11" i="20"/>
  <c r="Y10" i="20"/>
  <c r="Y9" i="20"/>
  <c r="Y8" i="20"/>
  <c r="Z7" i="20"/>
  <c r="Y7" i="20"/>
  <c r="Z13" i="20" l="1"/>
  <c r="Y25" i="18"/>
  <c r="Y43" i="18" s="1"/>
  <c r="Z24" i="18"/>
  <c r="Z71" i="18"/>
  <c r="Z15" i="20"/>
  <c r="Y13" i="20"/>
  <c r="F18" i="20"/>
  <c r="H18" i="20"/>
  <c r="J18" i="20"/>
  <c r="L18" i="20"/>
  <c r="N18" i="20"/>
  <c r="P18" i="20"/>
  <c r="R18" i="20"/>
  <c r="T18" i="20"/>
  <c r="V18" i="20"/>
  <c r="G18" i="20"/>
  <c r="I18" i="20"/>
  <c r="K18" i="20"/>
  <c r="M18" i="20"/>
  <c r="O18" i="20"/>
  <c r="Q18" i="20"/>
  <c r="S18" i="20"/>
  <c r="U18" i="20"/>
  <c r="W18" i="20"/>
  <c r="Y12" i="20"/>
  <c r="Y15" i="20"/>
  <c r="Z25" i="18" l="1"/>
  <c r="Z43" i="18" s="1"/>
  <c r="W13" i="31"/>
  <c r="V13" i="31"/>
  <c r="U13" i="31"/>
  <c r="T13" i="31"/>
  <c r="S13" i="31"/>
  <c r="R13" i="31"/>
  <c r="Q13" i="31"/>
  <c r="P13" i="31"/>
  <c r="O13" i="31"/>
  <c r="N13" i="31"/>
  <c r="M13" i="31"/>
  <c r="L13" i="31"/>
  <c r="K13" i="31"/>
  <c r="J13" i="31"/>
  <c r="I13" i="31"/>
  <c r="H13" i="31"/>
  <c r="G13" i="31"/>
  <c r="F13" i="31"/>
  <c r="W12" i="31"/>
  <c r="V12" i="31"/>
  <c r="U12" i="31"/>
  <c r="T12" i="31"/>
  <c r="S12" i="31"/>
  <c r="R12" i="31"/>
  <c r="Q12" i="31"/>
  <c r="P12" i="31"/>
  <c r="O12" i="31"/>
  <c r="N12" i="31"/>
  <c r="M12" i="31"/>
  <c r="L12" i="31"/>
  <c r="K12" i="31"/>
  <c r="J12" i="31"/>
  <c r="I12" i="31"/>
  <c r="H12" i="31"/>
  <c r="G12" i="31"/>
  <c r="F12" i="31"/>
  <c r="E12" i="31"/>
  <c r="D12" i="31"/>
  <c r="C12" i="31"/>
  <c r="B12" i="31"/>
  <c r="W11" i="31" s="1"/>
  <c r="V11" i="31" s="1"/>
  <c r="U11" i="31" s="1"/>
  <c r="T11" i="31" s="1"/>
  <c r="S11" i="31" s="1"/>
  <c r="R11" i="31" s="1"/>
  <c r="Q11" i="31" s="1"/>
  <c r="P11" i="31" s="1"/>
  <c r="O11" i="31" s="1"/>
  <c r="N11" i="31" s="1"/>
  <c r="M11" i="31" s="1"/>
  <c r="L11" i="31" s="1"/>
  <c r="K11" i="31" s="1"/>
  <c r="J11" i="31" s="1"/>
  <c r="I11" i="31" s="1"/>
  <c r="H11" i="31" s="1"/>
  <c r="G11" i="31" s="1"/>
  <c r="F11" i="31" s="1"/>
  <c r="W10" i="31"/>
  <c r="V10" i="31"/>
  <c r="U10" i="31"/>
  <c r="T10" i="31"/>
  <c r="S10" i="31"/>
  <c r="R10" i="31"/>
  <c r="Q10" i="31"/>
  <c r="P10" i="31"/>
  <c r="O10" i="31"/>
  <c r="N10" i="31"/>
  <c r="M10" i="31"/>
  <c r="L10" i="31"/>
  <c r="K10" i="31"/>
  <c r="J10" i="31"/>
  <c r="I10" i="31"/>
  <c r="H10" i="31"/>
  <c r="G10" i="31"/>
  <c r="F10" i="31"/>
  <c r="E10" i="31"/>
  <c r="D10" i="31"/>
  <c r="C10" i="31"/>
  <c r="B10" i="31" s="1"/>
  <c r="W9" i="31"/>
  <c r="V9" i="31"/>
  <c r="U9" i="31"/>
  <c r="T9" i="31"/>
  <c r="S9" i="31"/>
  <c r="R9" i="31"/>
  <c r="Q9" i="31"/>
  <c r="P9" i="31"/>
  <c r="O9" i="31"/>
  <c r="N9" i="31"/>
  <c r="M9" i="31"/>
  <c r="L9" i="31"/>
  <c r="K9" i="31"/>
  <c r="J9" i="31"/>
  <c r="I9" i="31"/>
  <c r="H9" i="31"/>
  <c r="G9" i="31"/>
  <c r="F9" i="31"/>
  <c r="E9" i="31"/>
  <c r="D9" i="31"/>
  <c r="C9" i="31"/>
  <c r="B9" i="31"/>
  <c r="W8" i="31"/>
  <c r="V8" i="31"/>
  <c r="U8" i="31"/>
  <c r="T8" i="31"/>
  <c r="S8" i="31"/>
  <c r="R8" i="31"/>
  <c r="Q8" i="31"/>
  <c r="P8" i="31"/>
  <c r="O8" i="31"/>
  <c r="N8" i="31"/>
  <c r="M8" i="31"/>
  <c r="L8" i="31"/>
  <c r="K8" i="31"/>
  <c r="J8" i="31"/>
  <c r="I8" i="31"/>
  <c r="H8" i="31"/>
  <c r="G8" i="31"/>
  <c r="F8" i="31"/>
  <c r="E8" i="31"/>
  <c r="D8" i="31"/>
  <c r="C8" i="31"/>
  <c r="B8" i="31"/>
  <c r="C55" i="18"/>
  <c r="G30" i="6"/>
  <c r="D26" i="6"/>
  <c r="C19" i="18" l="1"/>
  <c r="Z19" i="18"/>
  <c r="Y19" i="18"/>
  <c r="B19" i="18"/>
  <c r="D19" i="18"/>
  <c r="E19" i="18"/>
  <c r="F19" i="18"/>
  <c r="G19" i="18"/>
  <c r="H19" i="18"/>
  <c r="I19" i="18"/>
  <c r="J19" i="18"/>
  <c r="K19" i="18"/>
  <c r="L19" i="18"/>
  <c r="M19" i="18"/>
  <c r="N19" i="18"/>
  <c r="O19" i="18"/>
  <c r="P19" i="18"/>
  <c r="Q19" i="18"/>
  <c r="R19" i="18"/>
  <c r="S19" i="18"/>
  <c r="T19" i="18"/>
  <c r="U19" i="18"/>
  <c r="V19" i="18"/>
  <c r="W19" i="18"/>
  <c r="W7" i="14"/>
  <c r="U7" i="14"/>
  <c r="S7" i="14"/>
  <c r="Q7" i="14"/>
  <c r="O7" i="14"/>
  <c r="M7" i="14"/>
  <c r="K7" i="14"/>
  <c r="I7" i="14"/>
  <c r="G7" i="14"/>
  <c r="E7" i="14"/>
  <c r="X7" i="14"/>
  <c r="V7" i="14"/>
  <c r="T7" i="14"/>
  <c r="R7" i="14"/>
  <c r="P7" i="14"/>
  <c r="N7" i="14"/>
  <c r="L7" i="14"/>
  <c r="J7" i="14"/>
  <c r="H7" i="14"/>
  <c r="F7" i="14"/>
  <c r="D7" i="14"/>
  <c r="I41" i="17" s="1"/>
  <c r="H7" i="33" l="1"/>
  <c r="H8" i="33" s="1"/>
  <c r="H15" i="33" s="1"/>
  <c r="M41" i="17"/>
  <c r="S7" i="33"/>
  <c r="S10" i="33" s="1"/>
  <c r="S17" i="33" s="1"/>
  <c r="X41" i="17"/>
  <c r="E7" i="33"/>
  <c r="E9" i="33" s="1"/>
  <c r="E16" i="33" s="1"/>
  <c r="J41" i="17"/>
  <c r="G7" i="33"/>
  <c r="G8" i="33" s="1"/>
  <c r="G15" i="33" s="1"/>
  <c r="L41" i="17"/>
  <c r="N7" i="33"/>
  <c r="N8" i="33" s="1"/>
  <c r="N15" i="33" s="1"/>
  <c r="S41" i="17"/>
  <c r="X7" i="33"/>
  <c r="X8" i="33" s="1"/>
  <c r="X15" i="33" s="1"/>
  <c r="AC41" i="17"/>
  <c r="AC40" i="17" s="1"/>
  <c r="AC33" i="17" s="1"/>
  <c r="J7" i="33"/>
  <c r="J8" i="33" s="1"/>
  <c r="J15" i="33" s="1"/>
  <c r="O41" i="17"/>
  <c r="U7" i="33"/>
  <c r="U9" i="33" s="1"/>
  <c r="U16" i="33" s="1"/>
  <c r="Z41" i="17"/>
  <c r="Z7" i="34" s="1"/>
  <c r="Z10" i="34" s="1"/>
  <c r="Z11" i="34" s="1"/>
  <c r="V27" i="20" s="1"/>
  <c r="L7" i="33"/>
  <c r="L10" i="33" s="1"/>
  <c r="L17" i="33" s="1"/>
  <c r="Q41" i="17"/>
  <c r="W7" i="33"/>
  <c r="W9" i="33" s="1"/>
  <c r="W16" i="33" s="1"/>
  <c r="AB41" i="17"/>
  <c r="AB40" i="17" s="1"/>
  <c r="AB33" i="17" s="1"/>
  <c r="I7" i="33"/>
  <c r="I9" i="33" s="1"/>
  <c r="I16" i="33" s="1"/>
  <c r="N41" i="17"/>
  <c r="P7" i="33"/>
  <c r="P8" i="33" s="1"/>
  <c r="P15" i="33" s="1"/>
  <c r="U41" i="17"/>
  <c r="K7" i="33"/>
  <c r="K8" i="33" s="1"/>
  <c r="K15" i="33" s="1"/>
  <c r="P41" i="17"/>
  <c r="R7" i="33"/>
  <c r="R10" i="33" s="1"/>
  <c r="R17" i="33" s="1"/>
  <c r="W41" i="17"/>
  <c r="M7" i="33"/>
  <c r="M9" i="33" s="1"/>
  <c r="M16" i="33" s="1"/>
  <c r="R41" i="17"/>
  <c r="T7" i="33"/>
  <c r="T10" i="33" s="1"/>
  <c r="T17" i="33" s="1"/>
  <c r="Y41" i="17"/>
  <c r="O7" i="33"/>
  <c r="O10" i="33" s="1"/>
  <c r="O17" i="33" s="1"/>
  <c r="T41" i="17"/>
  <c r="F7" i="33"/>
  <c r="F10" i="33" s="1"/>
  <c r="F17" i="33" s="1"/>
  <c r="K41" i="17"/>
  <c r="V7" i="33"/>
  <c r="V10" i="33" s="1"/>
  <c r="V17" i="33" s="1"/>
  <c r="AA41" i="17"/>
  <c r="AA7" i="34" s="1"/>
  <c r="AA10" i="34" s="1"/>
  <c r="AA11" i="34" s="1"/>
  <c r="W27" i="20" s="1"/>
  <c r="Q7" i="33"/>
  <c r="Q10" i="33" s="1"/>
  <c r="Q17" i="33" s="1"/>
  <c r="V41" i="17"/>
  <c r="H11" i="33"/>
  <c r="H18" i="33" s="1"/>
  <c r="D7" i="33"/>
  <c r="F10" i="14"/>
  <c r="E19" i="36" s="1"/>
  <c r="F7" i="28"/>
  <c r="J10" i="14"/>
  <c r="I19" i="36" s="1"/>
  <c r="J7" i="28"/>
  <c r="N10" i="14"/>
  <c r="M19" i="36" s="1"/>
  <c r="N7" i="28"/>
  <c r="R10" i="14"/>
  <c r="Q19" i="36" s="1"/>
  <c r="R7" i="28"/>
  <c r="V10" i="14"/>
  <c r="U19" i="36" s="1"/>
  <c r="V7" i="28"/>
  <c r="E10" i="14"/>
  <c r="D19" i="36" s="1"/>
  <c r="E7" i="28"/>
  <c r="I10" i="14"/>
  <c r="H19" i="36" s="1"/>
  <c r="I7" i="28"/>
  <c r="M10" i="14"/>
  <c r="L19" i="36" s="1"/>
  <c r="M7" i="28"/>
  <c r="Q10" i="14"/>
  <c r="P19" i="36" s="1"/>
  <c r="Q7" i="28"/>
  <c r="U10" i="14"/>
  <c r="T19" i="36" s="1"/>
  <c r="U7" i="28"/>
  <c r="D10" i="14"/>
  <c r="C19" i="36" s="1"/>
  <c r="D7" i="28"/>
  <c r="H10" i="14"/>
  <c r="G19" i="36" s="1"/>
  <c r="H7" i="28"/>
  <c r="L10" i="14"/>
  <c r="K19" i="36" s="1"/>
  <c r="L7" i="28"/>
  <c r="P10" i="14"/>
  <c r="O19" i="36" s="1"/>
  <c r="P7" i="28"/>
  <c r="T10" i="14"/>
  <c r="S19" i="36" s="1"/>
  <c r="T7" i="28"/>
  <c r="X10" i="14"/>
  <c r="W19" i="36" s="1"/>
  <c r="X7" i="28"/>
  <c r="G10" i="14"/>
  <c r="F19" i="36" s="1"/>
  <c r="G7" i="28"/>
  <c r="K10" i="14"/>
  <c r="J19" i="36" s="1"/>
  <c r="K7" i="28"/>
  <c r="O10" i="14"/>
  <c r="N19" i="36" s="1"/>
  <c r="O7" i="28"/>
  <c r="S10" i="14"/>
  <c r="R19" i="36" s="1"/>
  <c r="S7" i="28"/>
  <c r="W10" i="14"/>
  <c r="V19" i="36" s="1"/>
  <c r="W7" i="28"/>
  <c r="W8" i="33" l="1"/>
  <c r="W15" i="33" s="1"/>
  <c r="L8" i="33"/>
  <c r="L15" i="33" s="1"/>
  <c r="L9" i="33"/>
  <c r="L16" i="33" s="1"/>
  <c r="K9" i="33"/>
  <c r="K16" i="33" s="1"/>
  <c r="N10" i="33"/>
  <c r="N17" i="33" s="1"/>
  <c r="N11" i="33"/>
  <c r="N18" i="33" s="1"/>
  <c r="Y31" i="18"/>
  <c r="Y42" i="18"/>
  <c r="Z31" i="18"/>
  <c r="Z42" i="18"/>
  <c r="R11" i="33"/>
  <c r="R18" i="33" s="1"/>
  <c r="X10" i="33"/>
  <c r="X17" i="33" s="1"/>
  <c r="N9" i="33"/>
  <c r="N16" i="33" s="1"/>
  <c r="K10" i="33"/>
  <c r="K17" i="33" s="1"/>
  <c r="O11" i="33"/>
  <c r="O18" i="33" s="1"/>
  <c r="L11" i="33"/>
  <c r="L18" i="33" s="1"/>
  <c r="H9" i="33"/>
  <c r="H16" i="33" s="1"/>
  <c r="O8" i="33"/>
  <c r="O15" i="33" s="1"/>
  <c r="H10" i="33"/>
  <c r="H17" i="33" s="1"/>
  <c r="K11" i="33"/>
  <c r="K18" i="33" s="1"/>
  <c r="F9" i="33"/>
  <c r="F16" i="33" s="1"/>
  <c r="V11" i="33"/>
  <c r="V18" i="33" s="1"/>
  <c r="O9" i="33"/>
  <c r="O16" i="33" s="1"/>
  <c r="R8" i="33"/>
  <c r="R15" i="33" s="1"/>
  <c r="S11" i="33"/>
  <c r="S18" i="33" s="1"/>
  <c r="W10" i="33"/>
  <c r="W17" i="33" s="1"/>
  <c r="R9" i="33"/>
  <c r="R16" i="33" s="1"/>
  <c r="X9" i="33"/>
  <c r="X16" i="33" s="1"/>
  <c r="T9" i="33"/>
  <c r="T16" i="33" s="1"/>
  <c r="F8" i="33"/>
  <c r="F15" i="33" s="1"/>
  <c r="W11" i="33"/>
  <c r="W18" i="33" s="1"/>
  <c r="F11" i="33"/>
  <c r="F18" i="33" s="1"/>
  <c r="S8" i="33"/>
  <c r="S15" i="33" s="1"/>
  <c r="E8" i="33"/>
  <c r="E15" i="33" s="1"/>
  <c r="S9" i="33"/>
  <c r="S16" i="33" s="1"/>
  <c r="E10" i="33"/>
  <c r="E17" i="33" s="1"/>
  <c r="V9" i="33"/>
  <c r="V16" i="33" s="1"/>
  <c r="E11" i="33"/>
  <c r="E18" i="33" s="1"/>
  <c r="C37" i="33" s="1"/>
  <c r="C38" i="33" s="1"/>
  <c r="C39" i="33" s="1"/>
  <c r="N26" i="33" s="1"/>
  <c r="V8" i="33"/>
  <c r="V15" i="33" s="1"/>
  <c r="Y19" i="36"/>
  <c r="Z19" i="36"/>
  <c r="T8" i="33"/>
  <c r="T15" i="33" s="1"/>
  <c r="I8" i="33"/>
  <c r="I15" i="33" s="1"/>
  <c r="M10" i="33"/>
  <c r="M17" i="33" s="1"/>
  <c r="G9" i="33"/>
  <c r="G16" i="33" s="1"/>
  <c r="U10" i="33"/>
  <c r="U17" i="33" s="1"/>
  <c r="J9" i="33"/>
  <c r="J16" i="33" s="1"/>
  <c r="Q8" i="33"/>
  <c r="Q15" i="33" s="1"/>
  <c r="T11" i="33"/>
  <c r="T18" i="33" s="1"/>
  <c r="I10" i="33"/>
  <c r="I17" i="33" s="1"/>
  <c r="M11" i="33"/>
  <c r="M18" i="33" s="1"/>
  <c r="P10" i="33"/>
  <c r="P17" i="33" s="1"/>
  <c r="AB42" i="17"/>
  <c r="AC42" i="17"/>
  <c r="M8" i="33"/>
  <c r="M15" i="33" s="1"/>
  <c r="P9" i="33"/>
  <c r="P16" i="33" s="1"/>
  <c r="G10" i="33"/>
  <c r="G17" i="33" s="1"/>
  <c r="U8" i="33"/>
  <c r="U15" i="33" s="1"/>
  <c r="J10" i="33"/>
  <c r="J17" i="33" s="1"/>
  <c r="Q9" i="33"/>
  <c r="Q16" i="33" s="1"/>
  <c r="I11" i="33"/>
  <c r="I18" i="33" s="1"/>
  <c r="P11" i="33"/>
  <c r="P18" i="33" s="1"/>
  <c r="G11" i="33"/>
  <c r="G18" i="33" s="1"/>
  <c r="U11" i="33"/>
  <c r="U18" i="33" s="1"/>
  <c r="J11" i="33"/>
  <c r="J18" i="33" s="1"/>
  <c r="X11" i="33"/>
  <c r="X18" i="33" s="1"/>
  <c r="Q11" i="33"/>
  <c r="Q18" i="33" s="1"/>
  <c r="G40" i="17"/>
  <c r="G7" i="34"/>
  <c r="G10" i="34" s="1"/>
  <c r="G11" i="34" s="1"/>
  <c r="C27" i="20" s="1"/>
  <c r="D10" i="33"/>
  <c r="D17" i="33" s="1"/>
  <c r="D11" i="33"/>
  <c r="D18" i="33" s="1"/>
  <c r="D9" i="33"/>
  <c r="D16" i="33" s="1"/>
  <c r="D8" i="33"/>
  <c r="D15" i="33" s="1"/>
  <c r="W16" i="28"/>
  <c r="W15" i="28"/>
  <c r="W11" i="28"/>
  <c r="S16" i="28"/>
  <c r="S15" i="28"/>
  <c r="S11" i="28"/>
  <c r="O16" i="28"/>
  <c r="O15" i="28"/>
  <c r="O11" i="28"/>
  <c r="K16" i="28"/>
  <c r="K15" i="28"/>
  <c r="K11" i="28"/>
  <c r="G11" i="14"/>
  <c r="F20" i="36" s="1"/>
  <c r="G16" i="28"/>
  <c r="G15" i="28"/>
  <c r="G11" i="28"/>
  <c r="X11" i="14"/>
  <c r="X16" i="28"/>
  <c r="X15" i="28"/>
  <c r="X11" i="28"/>
  <c r="X12" i="28" s="1"/>
  <c r="T16" i="28"/>
  <c r="T15" i="28"/>
  <c r="T11" i="28"/>
  <c r="P16" i="28"/>
  <c r="P15" i="28"/>
  <c r="P11" i="28"/>
  <c r="L16" i="28"/>
  <c r="L15" i="28"/>
  <c r="L11" i="28"/>
  <c r="H16" i="28"/>
  <c r="H15" i="28"/>
  <c r="H11" i="28"/>
  <c r="D11" i="14"/>
  <c r="C20" i="36" s="1"/>
  <c r="D16" i="28"/>
  <c r="D15" i="28"/>
  <c r="D11" i="28"/>
  <c r="U16" i="28"/>
  <c r="U15" i="28"/>
  <c r="U11" i="28"/>
  <c r="Q16" i="28"/>
  <c r="Q15" i="28"/>
  <c r="Q11" i="28"/>
  <c r="M16" i="28"/>
  <c r="M15" i="28"/>
  <c r="M11" i="28"/>
  <c r="I16" i="28"/>
  <c r="I15" i="28"/>
  <c r="I11" i="28"/>
  <c r="E16" i="28"/>
  <c r="E15" i="28"/>
  <c r="E11" i="28"/>
  <c r="V16" i="28"/>
  <c r="V15" i="28"/>
  <c r="V11" i="28"/>
  <c r="V12" i="28" s="1"/>
  <c r="R16" i="28"/>
  <c r="R15" i="28"/>
  <c r="R11" i="28"/>
  <c r="R12" i="28" s="1"/>
  <c r="N16" i="28"/>
  <c r="N15" i="28"/>
  <c r="N11" i="28"/>
  <c r="N12" i="28" s="1"/>
  <c r="J16" i="28"/>
  <c r="J15" i="28"/>
  <c r="J11" i="28"/>
  <c r="J12" i="28" s="1"/>
  <c r="F16" i="28"/>
  <c r="F15" i="28"/>
  <c r="F11" i="28"/>
  <c r="L26" i="33" l="1"/>
  <c r="M26" i="33"/>
  <c r="X15" i="14"/>
  <c r="X43" i="14" s="1"/>
  <c r="W20" i="36"/>
  <c r="AB30" i="17"/>
  <c r="AB47" i="17" s="1"/>
  <c r="AB50" i="17"/>
  <c r="Y30" i="18" s="1"/>
  <c r="AB31" i="17"/>
  <c r="AB48" i="17" s="1"/>
  <c r="AB32" i="17"/>
  <c r="AB49" i="17" s="1"/>
  <c r="AB29" i="17"/>
  <c r="AB46" i="17" s="1"/>
  <c r="AC31" i="17"/>
  <c r="AC48" i="17" s="1"/>
  <c r="AC32" i="17"/>
  <c r="AC49" i="17" s="1"/>
  <c r="AC29" i="17"/>
  <c r="AC30" i="17"/>
  <c r="AC47" i="17" s="1"/>
  <c r="AC50" i="17"/>
  <c r="Z30" i="18" s="1"/>
  <c r="G46" i="17"/>
  <c r="G6" i="34"/>
  <c r="U12" i="28"/>
  <c r="T12" i="28" s="1"/>
  <c r="S12" i="28" s="1"/>
  <c r="J17" i="28"/>
  <c r="J20" i="28" s="1"/>
  <c r="R17" i="28"/>
  <c r="R20" i="28" s="1"/>
  <c r="E17" i="28"/>
  <c r="M17" i="28"/>
  <c r="U17" i="28"/>
  <c r="L17" i="28"/>
  <c r="T17" i="28"/>
  <c r="O17" i="28"/>
  <c r="I12" i="28"/>
  <c r="H12" i="28" s="1"/>
  <c r="G12" i="28" s="1"/>
  <c r="Q12" i="28"/>
  <c r="P12" i="28" s="1"/>
  <c r="O12" i="28" s="1"/>
  <c r="W17" i="28"/>
  <c r="M12" i="28"/>
  <c r="L12" i="28" s="1"/>
  <c r="K12" i="28" s="1"/>
  <c r="W12" i="28"/>
  <c r="C11" i="14"/>
  <c r="B20" i="36" s="1"/>
  <c r="C22" i="20"/>
  <c r="W11" i="14"/>
  <c r="V20" i="36" s="1"/>
  <c r="W22" i="20"/>
  <c r="F11" i="14"/>
  <c r="E20" i="36" s="1"/>
  <c r="F22" i="20"/>
  <c r="F17" i="28"/>
  <c r="F12" i="28"/>
  <c r="E12" i="28" s="1"/>
  <c r="D12" i="28" s="1"/>
  <c r="N17" i="28"/>
  <c r="V17" i="28"/>
  <c r="I17" i="28"/>
  <c r="Q17" i="28"/>
  <c r="D17" i="28"/>
  <c r="H17" i="28"/>
  <c r="P17" i="28"/>
  <c r="X17" i="28"/>
  <c r="X20" i="28" s="1"/>
  <c r="G17" i="28"/>
  <c r="K17" i="28"/>
  <c r="S17" i="28"/>
  <c r="C12" i="28" l="1"/>
  <c r="AC46" i="17"/>
  <c r="AC28" i="17"/>
  <c r="S20" i="28"/>
  <c r="O20" i="28"/>
  <c r="K20" i="28"/>
  <c r="M20" i="28"/>
  <c r="L20" i="28" s="1"/>
  <c r="Q20" i="28"/>
  <c r="U20" i="28"/>
  <c r="T20" i="28" s="1"/>
  <c r="P20" i="28"/>
  <c r="F20" i="28"/>
  <c r="W20" i="28"/>
  <c r="G20" i="28"/>
  <c r="I20" i="28"/>
  <c r="E11" i="14"/>
  <c r="D20" i="36" s="1"/>
  <c r="E22" i="20"/>
  <c r="F15" i="14"/>
  <c r="V11" i="14"/>
  <c r="U20" i="36" s="1"/>
  <c r="V22" i="20"/>
  <c r="W15" i="14"/>
  <c r="W43" i="14" s="1"/>
  <c r="C15" i="14"/>
  <c r="B22" i="20"/>
  <c r="H20" i="28"/>
  <c r="N20" i="28"/>
  <c r="V20" i="28"/>
  <c r="E20" i="28"/>
  <c r="D20" i="28" l="1"/>
  <c r="G41" i="21"/>
  <c r="F41" i="21" s="1"/>
  <c r="U11" i="14"/>
  <c r="T20" i="36" s="1"/>
  <c r="U22" i="20"/>
  <c r="V15" i="14"/>
  <c r="V43" i="14" s="1"/>
  <c r="C43" i="14"/>
  <c r="D22" i="20"/>
  <c r="E15" i="14"/>
  <c r="D15" i="14" s="1"/>
  <c r="C20" i="28" l="1"/>
  <c r="T11" i="14"/>
  <c r="S20" i="36" s="1"/>
  <c r="T22" i="20"/>
  <c r="U15" i="14"/>
  <c r="U43" i="14" s="1"/>
  <c r="E41" i="21"/>
  <c r="E43" i="21" s="1"/>
  <c r="F43" i="21" l="1"/>
  <c r="G43" i="21" s="1"/>
  <c r="C22" i="28"/>
  <c r="C23" i="28" s="1"/>
  <c r="D41" i="21"/>
  <c r="H41" i="21" s="1"/>
  <c r="S11" i="14"/>
  <c r="R20" i="36" s="1"/>
  <c r="S22" i="20"/>
  <c r="T15" i="14"/>
  <c r="T43" i="14" s="1"/>
  <c r="H43" i="21" l="1"/>
  <c r="F21" i="28"/>
  <c r="F22" i="28" s="1"/>
  <c r="R11" i="14"/>
  <c r="Q20" i="36" s="1"/>
  <c r="R22" i="20"/>
  <c r="S15" i="14"/>
  <c r="S43" i="14" s="1"/>
  <c r="X22" i="28"/>
  <c r="C25" i="28"/>
  <c r="E14" i="20" l="1"/>
  <c r="E11" i="31" s="1"/>
  <c r="E22" i="28"/>
  <c r="W22" i="28"/>
  <c r="X23" i="28"/>
  <c r="X25" i="28" s="1"/>
  <c r="D14" i="20"/>
  <c r="Q11" i="14"/>
  <c r="P20" i="36" s="1"/>
  <c r="Q22" i="20"/>
  <c r="R15" i="14"/>
  <c r="R43" i="14" s="1"/>
  <c r="P11" i="14" l="1"/>
  <c r="O20" i="36" s="1"/>
  <c r="P22" i="20"/>
  <c r="Q15" i="14"/>
  <c r="Q43" i="14" s="1"/>
  <c r="D11" i="31"/>
  <c r="V22" i="28"/>
  <c r="W23" i="28"/>
  <c r="W25" i="28" s="1"/>
  <c r="C14" i="20"/>
  <c r="Z14" i="20" s="1"/>
  <c r="D22" i="28"/>
  <c r="C11" i="31" l="1"/>
  <c r="Y14" i="20"/>
  <c r="U22" i="28"/>
  <c r="V23" i="28"/>
  <c r="V25" i="28" s="1"/>
  <c r="O11" i="14"/>
  <c r="N20" i="36" s="1"/>
  <c r="O22" i="20"/>
  <c r="P15" i="14"/>
  <c r="P43" i="14" s="1"/>
  <c r="B11" i="31" l="1"/>
  <c r="N11" i="14"/>
  <c r="M20" i="36" s="1"/>
  <c r="N22" i="20"/>
  <c r="O15" i="14"/>
  <c r="O43" i="14" s="1"/>
  <c r="T22" i="28"/>
  <c r="U23" i="28"/>
  <c r="U25" i="28" s="1"/>
  <c r="M11" i="14" l="1"/>
  <c r="L20" i="36" s="1"/>
  <c r="M22" i="20"/>
  <c r="N15" i="14"/>
  <c r="N43" i="14" s="1"/>
  <c r="S22" i="28"/>
  <c r="T23" i="28"/>
  <c r="T25" i="28" s="1"/>
  <c r="L11" i="14" l="1"/>
  <c r="K20" i="36" s="1"/>
  <c r="L22" i="20"/>
  <c r="M15" i="14"/>
  <c r="M43" i="14" s="1"/>
  <c r="R22" i="28"/>
  <c r="Q22" i="28" s="1"/>
  <c r="S23" i="28"/>
  <c r="R23" i="28" l="1"/>
  <c r="K11" i="14"/>
  <c r="J20" i="36" s="1"/>
  <c r="K22" i="20"/>
  <c r="L15" i="14"/>
  <c r="L43" i="14" s="1"/>
  <c r="P22" i="28"/>
  <c r="Q23" i="28"/>
  <c r="S25" i="28"/>
  <c r="R25" i="28" l="1"/>
  <c r="Q25" i="28"/>
  <c r="O22" i="28"/>
  <c r="P23" i="28"/>
  <c r="P25" i="28" s="1"/>
  <c r="J11" i="14"/>
  <c r="I20" i="36" s="1"/>
  <c r="J22" i="20"/>
  <c r="K15" i="14"/>
  <c r="K43" i="14" s="1"/>
  <c r="I11" i="14" l="1"/>
  <c r="H20" i="36" s="1"/>
  <c r="I22" i="20"/>
  <c r="J15" i="14"/>
  <c r="J43" i="14" s="1"/>
  <c r="N22" i="28"/>
  <c r="O23" i="28"/>
  <c r="O25" i="28" s="1"/>
  <c r="M22" i="28" l="1"/>
  <c r="N23" i="28"/>
  <c r="N25" i="28" s="1"/>
  <c r="H11" i="14"/>
  <c r="G20" i="36" s="1"/>
  <c r="H22" i="20"/>
  <c r="I15" i="14"/>
  <c r="I43" i="14" s="1"/>
  <c r="Z20" i="36" l="1"/>
  <c r="Y20" i="36"/>
  <c r="G22" i="20"/>
  <c r="Z22" i="20" s="1"/>
  <c r="B7" i="30" s="1"/>
  <c r="H15" i="14"/>
  <c r="G15" i="14" s="1"/>
  <c r="Y15" i="14" s="1"/>
  <c r="L22" i="28"/>
  <c r="M23" i="28"/>
  <c r="M25" i="28" s="1"/>
  <c r="K22" i="28" l="1"/>
  <c r="L23" i="28"/>
  <c r="L25" i="28" s="1"/>
  <c r="Y22" i="20"/>
  <c r="H43" i="14"/>
  <c r="G43" i="14" s="1"/>
  <c r="F43" i="14" s="1"/>
  <c r="E43" i="14" s="1"/>
  <c r="D43" i="14" s="1"/>
  <c r="C50" i="14" l="1"/>
  <c r="C49" i="14"/>
  <c r="C47" i="14"/>
  <c r="C46" i="14"/>
  <c r="J22" i="28"/>
  <c r="K23" i="28"/>
  <c r="K25" i="28" s="1"/>
  <c r="I22" i="28" l="1"/>
  <c r="J23" i="28"/>
  <c r="J25" i="28" s="1"/>
  <c r="H22" i="28" l="1"/>
  <c r="I23" i="28"/>
  <c r="I25" i="28" s="1"/>
  <c r="G22" i="28" l="1"/>
  <c r="G23" i="28" s="1"/>
  <c r="F23" i="28" s="1"/>
  <c r="H23" i="28"/>
  <c r="H25" i="28" s="1"/>
  <c r="H7" i="34"/>
  <c r="H10" i="34" s="1"/>
  <c r="H11" i="34" s="1"/>
  <c r="D27" i="20" s="1"/>
  <c r="I7" i="34"/>
  <c r="I10" i="34" s="1"/>
  <c r="I11" i="34" s="1"/>
  <c r="E27" i="20" s="1"/>
  <c r="J7" i="34"/>
  <c r="J10" i="34" s="1"/>
  <c r="J11" i="34" s="1"/>
  <c r="F27" i="20" s="1"/>
  <c r="R7" i="34"/>
  <c r="R10" i="34" s="1"/>
  <c r="R11" i="34" s="1"/>
  <c r="N27" i="20" s="1"/>
  <c r="S7" i="34"/>
  <c r="S10" i="34" s="1"/>
  <c r="S11" i="34" s="1"/>
  <c r="O27" i="20" s="1"/>
  <c r="T7" i="34"/>
  <c r="T10" i="34" s="1"/>
  <c r="T11" i="34" s="1"/>
  <c r="P27" i="20" s="1"/>
  <c r="U7" i="34"/>
  <c r="U10" i="34" s="1"/>
  <c r="U11" i="34" s="1"/>
  <c r="Q27" i="20" s="1"/>
  <c r="V7" i="34"/>
  <c r="V10" i="34" s="1"/>
  <c r="V11" i="34" s="1"/>
  <c r="R27" i="20" s="1"/>
  <c r="W7" i="34"/>
  <c r="W10" i="34" s="1"/>
  <c r="W11" i="34" s="1"/>
  <c r="S27" i="20" s="1"/>
  <c r="X7" i="34"/>
  <c r="X10" i="34" s="1"/>
  <c r="X11" i="34" s="1"/>
  <c r="T27" i="20" s="1"/>
  <c r="Y7" i="34"/>
  <c r="Y10" i="34" s="1"/>
  <c r="Y11" i="34" s="1"/>
  <c r="U27" i="20" s="1"/>
  <c r="F14" i="31"/>
  <c r="G14" i="31"/>
  <c r="H14" i="31"/>
  <c r="I14" i="31"/>
  <c r="J14" i="31"/>
  <c r="K14" i="31"/>
  <c r="L14" i="31"/>
  <c r="M14" i="31"/>
  <c r="N14" i="31"/>
  <c r="O14" i="31"/>
  <c r="P14" i="31"/>
  <c r="Q14" i="31"/>
  <c r="R14" i="31"/>
  <c r="S14" i="31"/>
  <c r="T14" i="31"/>
  <c r="U14" i="31"/>
  <c r="V14" i="31"/>
  <c r="W14" i="31"/>
  <c r="N43" i="18"/>
  <c r="M43" i="18"/>
  <c r="L43" i="18"/>
  <c r="K43" i="18"/>
  <c r="J43" i="18"/>
  <c r="I43" i="18"/>
  <c r="H43" i="18"/>
  <c r="D43" i="18"/>
  <c r="G44" i="24"/>
  <c r="F28" i="20" s="1"/>
  <c r="C43" i="18"/>
  <c r="E33" i="17"/>
  <c r="E18" i="17" s="1"/>
  <c r="D33" i="17"/>
  <c r="D18" i="17" s="1"/>
  <c r="B22" i="24"/>
  <c r="B23" i="24" s="1"/>
  <c r="B26" i="24" s="1"/>
  <c r="E23" i="28" l="1"/>
  <c r="D23" i="28" s="1"/>
  <c r="D25" i="28" s="1"/>
  <c r="F25" i="28"/>
  <c r="H44" i="24"/>
  <c r="G28" i="20" s="1"/>
  <c r="L40" i="17"/>
  <c r="L42" i="17" s="1"/>
  <c r="L7" i="34"/>
  <c r="L10" i="34" s="1"/>
  <c r="L11" i="34" s="1"/>
  <c r="H27" i="20" s="1"/>
  <c r="K40" i="17"/>
  <c r="K7" i="34"/>
  <c r="K10" i="34" s="1"/>
  <c r="K11" i="34" s="1"/>
  <c r="G27" i="20" s="1"/>
  <c r="N40" i="17"/>
  <c r="N7" i="34"/>
  <c r="N10" i="34" s="1"/>
  <c r="N11" i="34" s="1"/>
  <c r="J27" i="20" s="1"/>
  <c r="Q40" i="17"/>
  <c r="Q42" i="17" s="1"/>
  <c r="Q7" i="34"/>
  <c r="Q10" i="34" s="1"/>
  <c r="Q11" i="34" s="1"/>
  <c r="M27" i="20" s="1"/>
  <c r="P40" i="17"/>
  <c r="P7" i="34"/>
  <c r="P10" i="34" s="1"/>
  <c r="P11" i="34" s="1"/>
  <c r="L27" i="20" s="1"/>
  <c r="O40" i="17"/>
  <c r="O7" i="34"/>
  <c r="O10" i="34" s="1"/>
  <c r="O11" i="34" s="1"/>
  <c r="K27" i="20" s="1"/>
  <c r="M40" i="17"/>
  <c r="M7" i="34"/>
  <c r="M10" i="34" s="1"/>
  <c r="M11" i="34" s="1"/>
  <c r="I27" i="20" s="1"/>
  <c r="G42" i="17"/>
  <c r="F42" i="17"/>
  <c r="B31" i="18"/>
  <c r="E50" i="17"/>
  <c r="D36" i="17"/>
  <c r="D37" i="17"/>
  <c r="E37" i="17" s="1"/>
  <c r="D50" i="17"/>
  <c r="F48" i="17"/>
  <c r="F47" i="17"/>
  <c r="G25" i="28"/>
  <c r="G48" i="17"/>
  <c r="G47" i="17"/>
  <c r="B121" i="18"/>
  <c r="B122" i="18" s="1"/>
  <c r="X19" i="18"/>
  <c r="E25" i="28" l="1"/>
  <c r="F20" i="26"/>
  <c r="C20" i="26" s="1"/>
  <c r="C53" i="18" s="1"/>
  <c r="I44" i="24"/>
  <c r="J44" i="24" s="1"/>
  <c r="I28" i="20" s="1"/>
  <c r="L6" i="34"/>
  <c r="L33" i="17"/>
  <c r="L29" i="17" s="1"/>
  <c r="L46" i="17" s="1"/>
  <c r="M6" i="34"/>
  <c r="M33" i="17"/>
  <c r="M29" i="17" s="1"/>
  <c r="M46" i="17" s="1"/>
  <c r="N6" i="34"/>
  <c r="N33" i="17"/>
  <c r="N29" i="17" s="1"/>
  <c r="N46" i="17" s="1"/>
  <c r="K6" i="34"/>
  <c r="K33" i="17"/>
  <c r="K29" i="17" s="1"/>
  <c r="K46" i="17" s="1"/>
  <c r="Q6" i="34"/>
  <c r="Q33" i="17"/>
  <c r="Q29" i="17" s="1"/>
  <c r="Q46" i="17" s="1"/>
  <c r="O6" i="34"/>
  <c r="O33" i="17"/>
  <c r="O50" i="17" s="1"/>
  <c r="L30" i="18" s="1"/>
  <c r="P6" i="34"/>
  <c r="P33" i="17"/>
  <c r="P29" i="17" s="1"/>
  <c r="K42" i="17"/>
  <c r="J20" i="24" s="1"/>
  <c r="Z27" i="20"/>
  <c r="B6" i="30" s="1"/>
  <c r="B32" i="20"/>
  <c r="P42" i="17"/>
  <c r="P8" i="34" s="1"/>
  <c r="P20" i="24"/>
  <c r="Q8" i="34"/>
  <c r="K20" i="24"/>
  <c r="L8" i="34"/>
  <c r="E20" i="24"/>
  <c r="F8" i="34"/>
  <c r="O42" i="17"/>
  <c r="F20" i="24"/>
  <c r="G8" i="34"/>
  <c r="M42" i="17"/>
  <c r="N42" i="17"/>
  <c r="E36" i="17"/>
  <c r="D53" i="17"/>
  <c r="F28" i="17"/>
  <c r="F46" i="17"/>
  <c r="G28" i="17"/>
  <c r="K8" i="34" l="1"/>
  <c r="H28" i="20"/>
  <c r="Y20" i="18"/>
  <c r="U20" i="18"/>
  <c r="O20" i="18"/>
  <c r="R20" i="18"/>
  <c r="J20" i="18"/>
  <c r="Z20" i="18"/>
  <c r="Q20" i="18"/>
  <c r="X20" i="18"/>
  <c r="I20" i="18"/>
  <c r="V20" i="18"/>
  <c r="N20" i="18"/>
  <c r="G20" i="18"/>
  <c r="E20" i="18"/>
  <c r="M20" i="18"/>
  <c r="W20" i="18"/>
  <c r="H20" i="18"/>
  <c r="C20" i="18"/>
  <c r="B20" i="18"/>
  <c r="S20" i="18"/>
  <c r="T20" i="18"/>
  <c r="L20" i="18"/>
  <c r="D20" i="18"/>
  <c r="K20" i="18"/>
  <c r="P20" i="18"/>
  <c r="F20" i="18"/>
  <c r="O32" i="17"/>
  <c r="O49" i="17" s="1"/>
  <c r="O29" i="17"/>
  <c r="O46" i="17" s="1"/>
  <c r="Q32" i="17"/>
  <c r="Q49" i="17" s="1"/>
  <c r="Q30" i="17"/>
  <c r="Q47" i="17" s="1"/>
  <c r="N31" i="18"/>
  <c r="N42" i="18"/>
  <c r="Q50" i="17"/>
  <c r="N30" i="18" s="1"/>
  <c r="Q31" i="17"/>
  <c r="Q48" i="17" s="1"/>
  <c r="Q28" i="17"/>
  <c r="O31" i="17"/>
  <c r="O48" i="17" s="1"/>
  <c r="O20" i="24"/>
  <c r="L30" i="17"/>
  <c r="L47" i="17" s="1"/>
  <c r="L31" i="18"/>
  <c r="L31" i="17"/>
  <c r="L48" i="17" s="1"/>
  <c r="O30" i="17"/>
  <c r="O47" i="17" s="1"/>
  <c r="L42" i="18"/>
  <c r="I31" i="18"/>
  <c r="I42" i="18"/>
  <c r="K44" i="24"/>
  <c r="J28" i="20" s="1"/>
  <c r="M31" i="18"/>
  <c r="M30" i="17"/>
  <c r="M47" i="17" s="1"/>
  <c r="M50" i="17"/>
  <c r="J30" i="18" s="1"/>
  <c r="K31" i="18"/>
  <c r="P50" i="17"/>
  <c r="M30" i="18" s="1"/>
  <c r="K31" i="17"/>
  <c r="K48" i="17" s="1"/>
  <c r="N28" i="17"/>
  <c r="M28" i="17"/>
  <c r="N31" i="17"/>
  <c r="N48" i="17" s="1"/>
  <c r="K30" i="17"/>
  <c r="K47" i="17" s="1"/>
  <c r="J31" i="18"/>
  <c r="L32" i="17"/>
  <c r="L49" i="17" s="1"/>
  <c r="M31" i="17"/>
  <c r="M48" i="17" s="1"/>
  <c r="L50" i="17"/>
  <c r="I30" i="18" s="1"/>
  <c r="O28" i="17"/>
  <c r="P30" i="17"/>
  <c r="P47" i="17" s="1"/>
  <c r="K42" i="18"/>
  <c r="L28" i="17"/>
  <c r="P28" i="17"/>
  <c r="N30" i="17"/>
  <c r="N47" i="17" s="1"/>
  <c r="M42" i="18"/>
  <c r="P46" i="17"/>
  <c r="M32" i="17"/>
  <c r="M49" i="17" s="1"/>
  <c r="H42" i="18"/>
  <c r="H44" i="18" s="1"/>
  <c r="H48" i="18" s="1"/>
  <c r="N50" i="17"/>
  <c r="K30" i="18" s="1"/>
  <c r="P32" i="17"/>
  <c r="P49" i="17" s="1"/>
  <c r="P31" i="17"/>
  <c r="P48" i="17" s="1"/>
  <c r="J42" i="18"/>
  <c r="N32" i="17"/>
  <c r="N49" i="17" s="1"/>
  <c r="N20" i="24"/>
  <c r="O8" i="34"/>
  <c r="H31" i="18"/>
  <c r="M20" i="24"/>
  <c r="N8" i="34"/>
  <c r="K32" i="17"/>
  <c r="K49" i="17" s="1"/>
  <c r="K50" i="17"/>
  <c r="H30" i="18" s="1"/>
  <c r="L20" i="24"/>
  <c r="M8" i="34"/>
  <c r="B32" i="18"/>
  <c r="B33" i="18" s="1"/>
  <c r="B34" i="18" s="1"/>
  <c r="E53" i="17"/>
  <c r="F37" i="17"/>
  <c r="G37" i="17" s="1"/>
  <c r="F36" i="17"/>
  <c r="G36" i="17" s="1"/>
  <c r="L44" i="24" l="1"/>
  <c r="K28" i="20" s="1"/>
  <c r="C32" i="18"/>
  <c r="F53" i="17"/>
  <c r="C72" i="18" s="1"/>
  <c r="D32" i="18"/>
  <c r="M44" i="24" l="1"/>
  <c r="L28" i="20" s="1"/>
  <c r="C77" i="18"/>
  <c r="C83" i="18" s="1"/>
  <c r="C89" i="18" s="1"/>
  <c r="C79" i="18"/>
  <c r="C85" i="18" s="1"/>
  <c r="C91" i="18" s="1"/>
  <c r="C78" i="18"/>
  <c r="C84" i="18" s="1"/>
  <c r="C90" i="18" s="1"/>
  <c r="N44" i="24" l="1"/>
  <c r="M28" i="20" s="1"/>
  <c r="O44" i="24" l="1"/>
  <c r="N28" i="20" s="1"/>
  <c r="P44" i="24" l="1"/>
  <c r="O28" i="20" s="1"/>
  <c r="Q44" i="24" l="1"/>
  <c r="P28" i="20" s="1"/>
  <c r="R44" i="24" l="1"/>
  <c r="Q28" i="20" s="1"/>
  <c r="S44" i="24" l="1"/>
  <c r="R28" i="20" s="1"/>
  <c r="T44" i="24" l="1"/>
  <c r="S28" i="20" s="1"/>
  <c r="U44" i="24" l="1"/>
  <c r="T28" i="20" s="1"/>
  <c r="V44" i="24" l="1"/>
  <c r="U28" i="20" s="1"/>
  <c r="Y28" i="20" s="1"/>
  <c r="Z28" i="20" l="1"/>
  <c r="B8" i="30" s="1"/>
  <c r="W44" i="24"/>
  <c r="B48" i="24" s="1"/>
  <c r="V28" i="20"/>
  <c r="C16" i="18"/>
  <c r="C21" i="18" s="1"/>
  <c r="C39" i="18" s="1"/>
  <c r="J30" i="21"/>
  <c r="K30" i="21" s="1"/>
  <c r="G21" i="17"/>
  <c r="D14" i="18" s="1"/>
  <c r="D15" i="18" s="1"/>
  <c r="D16" i="18" s="1"/>
  <c r="D21" i="18" s="1"/>
  <c r="D39" i="18" s="1"/>
  <c r="H21" i="17"/>
  <c r="E14" i="18" s="1"/>
  <c r="H12" i="17"/>
  <c r="I12" i="17"/>
  <c r="J12" i="17"/>
  <c r="K15" i="24"/>
  <c r="R12" i="17"/>
  <c r="S12" i="17"/>
  <c r="E22" i="17"/>
  <c r="F22" i="17" s="1"/>
  <c r="F45" i="24"/>
  <c r="G45" i="24" s="1"/>
  <c r="G53" i="17"/>
  <c r="D72" i="18" s="1"/>
  <c r="B16" i="18"/>
  <c r="H17" i="17"/>
  <c r="J28" i="21"/>
  <c r="K28" i="21" s="1"/>
  <c r="I38" i="21"/>
  <c r="X44" i="24" l="1"/>
  <c r="S18" i="17"/>
  <c r="R15" i="17"/>
  <c r="R18" i="17"/>
  <c r="H16" i="17"/>
  <c r="H62" i="17"/>
  <c r="H18" i="17"/>
  <c r="I18" i="17"/>
  <c r="I17" i="17"/>
  <c r="J17" i="17"/>
  <c r="J18" i="17"/>
  <c r="I9" i="18"/>
  <c r="I44" i="18" s="1"/>
  <c r="K8" i="18"/>
  <c r="E21" i="24"/>
  <c r="E22" i="24" s="1"/>
  <c r="E23" i="24" s="1"/>
  <c r="E26" i="24" s="1"/>
  <c r="E16" i="24"/>
  <c r="F21" i="24"/>
  <c r="F22" i="24" s="1"/>
  <c r="F23" i="24" s="1"/>
  <c r="F26" i="24" s="1"/>
  <c r="F16" i="24"/>
  <c r="X46" i="24"/>
  <c r="W28" i="20"/>
  <c r="F46" i="24"/>
  <c r="H45" i="24"/>
  <c r="I45" i="24" s="1"/>
  <c r="G46" i="24"/>
  <c r="J16" i="17"/>
  <c r="S15" i="17"/>
  <c r="S25" i="17" s="1"/>
  <c r="S62" i="17" s="1"/>
  <c r="S17" i="17"/>
  <c r="S16" i="17"/>
  <c r="I16" i="17"/>
  <c r="R16" i="17"/>
  <c r="R17" i="17"/>
  <c r="E54" i="17"/>
  <c r="D54" i="17"/>
  <c r="G22" i="17"/>
  <c r="F54" i="17"/>
  <c r="C73" i="18" s="1"/>
  <c r="C76" i="18" s="1"/>
  <c r="C82" i="18" s="1"/>
  <c r="C88" i="18" s="1"/>
  <c r="C92" i="18" s="1"/>
  <c r="P25" i="18"/>
  <c r="P43" i="18" s="1"/>
  <c r="P13" i="18"/>
  <c r="O13" i="18"/>
  <c r="O25" i="18"/>
  <c r="O43" i="18" s="1"/>
  <c r="G25" i="18"/>
  <c r="G43" i="18" s="1"/>
  <c r="G13" i="18"/>
  <c r="J15" i="17"/>
  <c r="J25" i="17" s="1"/>
  <c r="J62" i="17" s="1"/>
  <c r="F25" i="18"/>
  <c r="F43" i="18" s="1"/>
  <c r="F13" i="18"/>
  <c r="I15" i="17"/>
  <c r="H40" i="17"/>
  <c r="E25" i="18"/>
  <c r="E43" i="18" s="1"/>
  <c r="E13" i="18"/>
  <c r="E15" i="18" s="1"/>
  <c r="E16" i="18" s="1"/>
  <c r="E21" i="18" s="1"/>
  <c r="E39" i="18" s="1"/>
  <c r="H15" i="17"/>
  <c r="H25" i="17" s="1"/>
  <c r="I21" i="17"/>
  <c r="C17" i="20"/>
  <c r="E17" i="20"/>
  <c r="B17" i="20"/>
  <c r="D17" i="20"/>
  <c r="D77" i="18"/>
  <c r="D83" i="18" s="1"/>
  <c r="D89" i="18" s="1"/>
  <c r="D79" i="18"/>
  <c r="D85" i="18" s="1"/>
  <c r="D91" i="18" s="1"/>
  <c r="D78" i="18"/>
  <c r="D84" i="18" s="1"/>
  <c r="D90" i="18" s="1"/>
  <c r="Z17" i="20" l="1"/>
  <c r="I26" i="18"/>
  <c r="I48" i="18" s="1"/>
  <c r="I25" i="17"/>
  <c r="I62" i="17" s="1"/>
  <c r="R25" i="17"/>
  <c r="R62" i="17" s="1"/>
  <c r="E28" i="24"/>
  <c r="B24" i="20" s="1"/>
  <c r="F28" i="24"/>
  <c r="C24" i="20" s="1"/>
  <c r="C18" i="31" s="1"/>
  <c r="C19" i="31" s="1"/>
  <c r="G16" i="24"/>
  <c r="G21" i="24"/>
  <c r="G22" i="24" s="1"/>
  <c r="G23" i="24" s="1"/>
  <c r="G26" i="24" s="1"/>
  <c r="H46" i="24"/>
  <c r="B22" i="36"/>
  <c r="C22" i="36"/>
  <c r="H6" i="34"/>
  <c r="H42" i="17"/>
  <c r="L15" i="24"/>
  <c r="I40" i="17"/>
  <c r="H8" i="24"/>
  <c r="J40" i="17"/>
  <c r="I8" i="24"/>
  <c r="R40" i="17"/>
  <c r="Q8" i="24"/>
  <c r="S40" i="17"/>
  <c r="R8" i="24"/>
  <c r="G8" i="24"/>
  <c r="J21" i="17"/>
  <c r="F14" i="18"/>
  <c r="F15" i="18" s="1"/>
  <c r="F16" i="18" s="1"/>
  <c r="F21" i="18" s="1"/>
  <c r="F39" i="18" s="1"/>
  <c r="T12" i="17"/>
  <c r="J45" i="24"/>
  <c r="I46" i="24"/>
  <c r="G54" i="17"/>
  <c r="D73" i="18" s="1"/>
  <c r="D76" i="18" s="1"/>
  <c r="D82" i="18" s="1"/>
  <c r="D88" i="18" s="1"/>
  <c r="D92" i="18" s="1"/>
  <c r="H22" i="17"/>
  <c r="I22" i="17" s="1"/>
  <c r="J22" i="17" s="1"/>
  <c r="K22" i="17" s="1"/>
  <c r="L22" i="17" s="1"/>
  <c r="M22" i="17" s="1"/>
  <c r="N22" i="17" s="1"/>
  <c r="O22" i="17" s="1"/>
  <c r="P22" i="17" s="1"/>
  <c r="Q22" i="17" s="1"/>
  <c r="R22" i="17" s="1"/>
  <c r="S22" i="17" s="1"/>
  <c r="T22" i="17" s="1"/>
  <c r="U22" i="17" s="1"/>
  <c r="V22" i="17" s="1"/>
  <c r="W22" i="17" s="1"/>
  <c r="X22" i="17" s="1"/>
  <c r="Y22" i="17" s="1"/>
  <c r="Z22" i="17" s="1"/>
  <c r="AA22" i="17" s="1"/>
  <c r="AB22" i="17" s="1"/>
  <c r="AC22" i="17" s="1"/>
  <c r="B18" i="20"/>
  <c r="B13" i="31"/>
  <c r="B14" i="31" s="1"/>
  <c r="Y17" i="20"/>
  <c r="C18" i="20"/>
  <c r="C13" i="31"/>
  <c r="C14" i="31" s="1"/>
  <c r="D18" i="20"/>
  <c r="D13" i="31"/>
  <c r="D14" i="31" s="1"/>
  <c r="E13" i="31"/>
  <c r="E14" i="31" s="1"/>
  <c r="E18" i="20"/>
  <c r="T18" i="17" l="1"/>
  <c r="J9" i="18"/>
  <c r="J44" i="18" s="1"/>
  <c r="L8" i="18"/>
  <c r="R6" i="34"/>
  <c r="R33" i="17"/>
  <c r="J6" i="34"/>
  <c r="J33" i="17"/>
  <c r="I6" i="34"/>
  <c r="I33" i="17"/>
  <c r="S6" i="34"/>
  <c r="S33" i="17"/>
  <c r="Z18" i="20"/>
  <c r="H16" i="24"/>
  <c r="H21" i="24"/>
  <c r="H22" i="24" s="1"/>
  <c r="H23" i="24" s="1"/>
  <c r="H26" i="24" s="1"/>
  <c r="G28" i="24"/>
  <c r="D24" i="20" s="1"/>
  <c r="D18" i="31" s="1"/>
  <c r="D19" i="31" s="1"/>
  <c r="D23" i="31" s="1"/>
  <c r="C22" i="31"/>
  <c r="H47" i="17"/>
  <c r="H46" i="17"/>
  <c r="H48" i="17"/>
  <c r="B18" i="31"/>
  <c r="C56" i="36"/>
  <c r="C64" i="36"/>
  <c r="C40" i="36"/>
  <c r="C48" i="36"/>
  <c r="C60" i="36"/>
  <c r="C24" i="36"/>
  <c r="C44" i="36"/>
  <c r="C52" i="36"/>
  <c r="C68" i="36"/>
  <c r="B68" i="36"/>
  <c r="B52" i="36"/>
  <c r="B24" i="36"/>
  <c r="B60" i="36"/>
  <c r="B64" i="36"/>
  <c r="B48" i="36"/>
  <c r="B56" i="36"/>
  <c r="B40" i="36"/>
  <c r="B44" i="36"/>
  <c r="G20" i="24"/>
  <c r="H8" i="34"/>
  <c r="H28" i="17"/>
  <c r="H36" i="17" s="1"/>
  <c r="C23" i="31"/>
  <c r="M15" i="24"/>
  <c r="K45" i="24"/>
  <c r="J46" i="24"/>
  <c r="K21" i="17"/>
  <c r="G14" i="18"/>
  <c r="G15" i="18" s="1"/>
  <c r="G16" i="18" s="1"/>
  <c r="G21" i="18" s="1"/>
  <c r="G39" i="18" s="1"/>
  <c r="R42" i="17"/>
  <c r="J42" i="17"/>
  <c r="I42" i="17"/>
  <c r="U12" i="17"/>
  <c r="Q25" i="18"/>
  <c r="Q43" i="18" s="1"/>
  <c r="T15" i="17"/>
  <c r="T16" i="17"/>
  <c r="T17" i="17"/>
  <c r="Q13" i="18"/>
  <c r="S42" i="17"/>
  <c r="AC10" i="20"/>
  <c r="Y18" i="20"/>
  <c r="X14" i="31"/>
  <c r="J26" i="18" l="1"/>
  <c r="T25" i="17"/>
  <c r="T62" i="17" s="1"/>
  <c r="U18" i="17"/>
  <c r="K9" i="18"/>
  <c r="K26" i="18" s="1"/>
  <c r="M8" i="18"/>
  <c r="D22" i="31"/>
  <c r="I16" i="24"/>
  <c r="I21" i="24"/>
  <c r="I22" i="24" s="1"/>
  <c r="I23" i="24" s="1"/>
  <c r="I26" i="24" s="1"/>
  <c r="H28" i="24"/>
  <c r="E24" i="20" s="1"/>
  <c r="E18" i="31" s="1"/>
  <c r="B19" i="31"/>
  <c r="B23" i="31" s="1"/>
  <c r="B22" i="31"/>
  <c r="H37" i="17"/>
  <c r="R20" i="24"/>
  <c r="S8" i="34"/>
  <c r="Q20" i="24"/>
  <c r="R8" i="34"/>
  <c r="H20" i="24"/>
  <c r="I8" i="34"/>
  <c r="I20" i="24"/>
  <c r="J8" i="34"/>
  <c r="J48" i="18"/>
  <c r="N15" i="24"/>
  <c r="S29" i="17"/>
  <c r="P42" i="18"/>
  <c r="P31" i="18"/>
  <c r="S50" i="17"/>
  <c r="P30" i="18" s="1"/>
  <c r="S32" i="17"/>
  <c r="S49" i="17" s="1"/>
  <c r="S30" i="17"/>
  <c r="S47" i="17" s="1"/>
  <c r="S31" i="17"/>
  <c r="S48" i="17" s="1"/>
  <c r="R25" i="18"/>
  <c r="R43" i="18" s="1"/>
  <c r="R13" i="18"/>
  <c r="U15" i="17"/>
  <c r="U16" i="17"/>
  <c r="U17" i="17"/>
  <c r="H14" i="18"/>
  <c r="H15" i="18" s="1"/>
  <c r="H16" i="18" s="1"/>
  <c r="H21" i="18" s="1"/>
  <c r="H39" i="18" s="1"/>
  <c r="L21" i="17"/>
  <c r="L45" i="24"/>
  <c r="K46" i="24"/>
  <c r="T40" i="17"/>
  <c r="S8" i="24"/>
  <c r="V12" i="17"/>
  <c r="I31" i="17"/>
  <c r="I48" i="17" s="1"/>
  <c r="I30" i="17"/>
  <c r="I47" i="17" s="1"/>
  <c r="I32" i="17"/>
  <c r="I49" i="17" s="1"/>
  <c r="I50" i="17"/>
  <c r="F30" i="18" s="1"/>
  <c r="F42" i="18"/>
  <c r="F44" i="18" s="1"/>
  <c r="F48" i="18" s="1"/>
  <c r="I29" i="17"/>
  <c r="F31" i="18"/>
  <c r="J31" i="17"/>
  <c r="J48" i="17" s="1"/>
  <c r="J30" i="17"/>
  <c r="J47" i="17" s="1"/>
  <c r="J32" i="17"/>
  <c r="J49" i="17" s="1"/>
  <c r="J50" i="17"/>
  <c r="G30" i="18" s="1"/>
  <c r="J29" i="17"/>
  <c r="G31" i="18"/>
  <c r="G42" i="18"/>
  <c r="G44" i="18" s="1"/>
  <c r="G48" i="18" s="1"/>
  <c r="R31" i="17"/>
  <c r="R48" i="17" s="1"/>
  <c r="R30" i="17"/>
  <c r="R47" i="17" s="1"/>
  <c r="R32" i="17"/>
  <c r="R49" i="17" s="1"/>
  <c r="R50" i="17"/>
  <c r="O30" i="18" s="1"/>
  <c r="R29" i="17"/>
  <c r="O31" i="18"/>
  <c r="O42" i="18"/>
  <c r="AA13" i="20"/>
  <c r="AA18" i="20"/>
  <c r="AA12" i="20"/>
  <c r="AA15" i="20"/>
  <c r="AA9" i="20"/>
  <c r="AA16" i="20"/>
  <c r="AA11" i="20"/>
  <c r="AA7" i="20"/>
  <c r="AA14" i="20"/>
  <c r="AA10" i="20"/>
  <c r="AA8" i="20"/>
  <c r="AD10" i="20"/>
  <c r="AA17" i="20"/>
  <c r="E32" i="18"/>
  <c r="H53" i="17"/>
  <c r="E72" i="18" s="1"/>
  <c r="H54" i="17"/>
  <c r="E73" i="18" s="1"/>
  <c r="E76" i="18" s="1"/>
  <c r="E82" i="18" s="1"/>
  <c r="E88" i="18" s="1"/>
  <c r="U25" i="17" l="1"/>
  <c r="U62" i="17" s="1"/>
  <c r="V18" i="17"/>
  <c r="L9" i="18"/>
  <c r="L26" i="18" s="1"/>
  <c r="N8" i="18"/>
  <c r="K44" i="18"/>
  <c r="K48" i="18" s="1"/>
  <c r="T6" i="34"/>
  <c r="T33" i="17"/>
  <c r="E22" i="31"/>
  <c r="E19" i="31"/>
  <c r="E23" i="31" s="1"/>
  <c r="J16" i="24"/>
  <c r="J21" i="24"/>
  <c r="J22" i="24" s="1"/>
  <c r="J23" i="24" s="1"/>
  <c r="J26" i="24" s="1"/>
  <c r="I28" i="24"/>
  <c r="F24" i="20" s="1"/>
  <c r="F18" i="31" s="1"/>
  <c r="O15" i="24"/>
  <c r="R28" i="17"/>
  <c r="R46" i="17"/>
  <c r="I14" i="18"/>
  <c r="I15" i="18" s="1"/>
  <c r="I16" i="18" s="1"/>
  <c r="I21" i="18" s="1"/>
  <c r="I39" i="18" s="1"/>
  <c r="M21" i="17"/>
  <c r="U40" i="17"/>
  <c r="T8" i="24"/>
  <c r="J28" i="17"/>
  <c r="K28" i="17"/>
  <c r="J46" i="17"/>
  <c r="I46" i="17"/>
  <c r="I28" i="17"/>
  <c r="S13" i="18"/>
  <c r="S25" i="18"/>
  <c r="S43" i="18" s="1"/>
  <c r="V15" i="17"/>
  <c r="V25" i="17" s="1"/>
  <c r="V62" i="17" s="1"/>
  <c r="V16" i="17"/>
  <c r="V17" i="17"/>
  <c r="W12" i="17"/>
  <c r="T42" i="17"/>
  <c r="M45" i="24"/>
  <c r="L46" i="24"/>
  <c r="S46" i="17"/>
  <c r="S28" i="17"/>
  <c r="E77" i="18"/>
  <c r="E83" i="18" s="1"/>
  <c r="E89" i="18" s="1"/>
  <c r="E79" i="18"/>
  <c r="E85" i="18" s="1"/>
  <c r="E91" i="18" s="1"/>
  <c r="E78" i="18"/>
  <c r="E84" i="18" s="1"/>
  <c r="E90" i="18" s="1"/>
  <c r="W18" i="17" l="1"/>
  <c r="L44" i="18"/>
  <c r="L48" i="18" s="1"/>
  <c r="M9" i="18"/>
  <c r="M26" i="18" s="1"/>
  <c r="O8" i="18"/>
  <c r="U6" i="34"/>
  <c r="U33" i="17"/>
  <c r="F22" i="31"/>
  <c r="F19" i="31"/>
  <c r="F23" i="31" s="1"/>
  <c r="K21" i="24"/>
  <c r="K22" i="24" s="1"/>
  <c r="K23" i="24" s="1"/>
  <c r="K26" i="24" s="1"/>
  <c r="K16" i="24"/>
  <c r="J28" i="24"/>
  <c r="G24" i="20" s="1"/>
  <c r="G18" i="31" s="1"/>
  <c r="G19" i="31" s="1"/>
  <c r="G23" i="31" s="1"/>
  <c r="S20" i="24"/>
  <c r="T8" i="34"/>
  <c r="P15" i="24"/>
  <c r="N45" i="24"/>
  <c r="M46" i="24"/>
  <c r="T30" i="17"/>
  <c r="T47" i="17" s="1"/>
  <c r="T32" i="17"/>
  <c r="T49" i="17" s="1"/>
  <c r="T31" i="17"/>
  <c r="T48" i="17" s="1"/>
  <c r="T29" i="17"/>
  <c r="Q31" i="18"/>
  <c r="T50" i="17"/>
  <c r="Q30" i="18" s="1"/>
  <c r="Q42" i="18"/>
  <c r="J14" i="18"/>
  <c r="J15" i="18" s="1"/>
  <c r="J16" i="18" s="1"/>
  <c r="J21" i="18" s="1"/>
  <c r="J39" i="18" s="1"/>
  <c r="N21" i="17"/>
  <c r="T13" i="18"/>
  <c r="W15" i="17"/>
  <c r="W25" i="17" s="1"/>
  <c r="W62" i="17" s="1"/>
  <c r="W17" i="17"/>
  <c r="T25" i="18"/>
  <c r="T43" i="18" s="1"/>
  <c r="W16" i="17"/>
  <c r="X12" i="17"/>
  <c r="V40" i="17"/>
  <c r="U8" i="24"/>
  <c r="I37" i="17"/>
  <c r="I36" i="17"/>
  <c r="U42" i="17"/>
  <c r="E92" i="18"/>
  <c r="X18" i="17" l="1"/>
  <c r="M44" i="18"/>
  <c r="M48" i="18" s="1"/>
  <c r="N9" i="18"/>
  <c r="N44" i="18" s="1"/>
  <c r="P8" i="18"/>
  <c r="V6" i="34"/>
  <c r="V33" i="17"/>
  <c r="G22" i="31"/>
  <c r="K28" i="24"/>
  <c r="H24" i="20" s="1"/>
  <c r="H18" i="31" s="1"/>
  <c r="L21" i="24"/>
  <c r="L22" i="24" s="1"/>
  <c r="L23" i="24" s="1"/>
  <c r="L26" i="24" s="1"/>
  <c r="L16" i="24"/>
  <c r="D22" i="36"/>
  <c r="T20" i="24"/>
  <c r="U8" i="34"/>
  <c r="Q15" i="24"/>
  <c r="R42" i="18"/>
  <c r="R31" i="18"/>
  <c r="U29" i="17"/>
  <c r="U31" i="17"/>
  <c r="U48" i="17" s="1"/>
  <c r="U30" i="17"/>
  <c r="U47" i="17" s="1"/>
  <c r="U32" i="17"/>
  <c r="U49" i="17" s="1"/>
  <c r="U50" i="17"/>
  <c r="R30" i="18" s="1"/>
  <c r="I54" i="17"/>
  <c r="F73" i="18" s="1"/>
  <c r="F76" i="18" s="1"/>
  <c r="F82" i="18" s="1"/>
  <c r="F88" i="18" s="1"/>
  <c r="J37" i="17"/>
  <c r="V42" i="17"/>
  <c r="W40" i="17"/>
  <c r="V8" i="24"/>
  <c r="T28" i="17"/>
  <c r="T46" i="17"/>
  <c r="J36" i="17"/>
  <c r="I53" i="17"/>
  <c r="F72" i="18" s="1"/>
  <c r="F32" i="18"/>
  <c r="F33" i="18" s="1"/>
  <c r="F34" i="18" s="1"/>
  <c r="F38" i="18" s="1"/>
  <c r="U13" i="18"/>
  <c r="X15" i="17"/>
  <c r="X25" i="17" s="1"/>
  <c r="X62" i="17" s="1"/>
  <c r="U25" i="18"/>
  <c r="U43" i="18" s="1"/>
  <c r="X17" i="17"/>
  <c r="X16" i="17"/>
  <c r="Y12" i="17"/>
  <c r="K14" i="18"/>
  <c r="K15" i="18" s="1"/>
  <c r="K16" i="18" s="1"/>
  <c r="K21" i="18" s="1"/>
  <c r="K39" i="18" s="1"/>
  <c r="O21" i="17"/>
  <c r="O45" i="24"/>
  <c r="N46" i="24"/>
  <c r="N26" i="18" l="1"/>
  <c r="N48" i="18" s="1"/>
  <c r="Y18" i="17"/>
  <c r="O9" i="18"/>
  <c r="O26" i="18" s="1"/>
  <c r="Q8" i="18"/>
  <c r="W6" i="34"/>
  <c r="W33" i="17"/>
  <c r="L28" i="24"/>
  <c r="I24" i="20" s="1"/>
  <c r="I18" i="31" s="1"/>
  <c r="I22" i="31" s="1"/>
  <c r="H19" i="31"/>
  <c r="H23" i="31" s="1"/>
  <c r="H22" i="31"/>
  <c r="M21" i="24"/>
  <c r="M22" i="24" s="1"/>
  <c r="M23" i="24" s="1"/>
  <c r="M26" i="24" s="1"/>
  <c r="M16" i="24"/>
  <c r="D68" i="36"/>
  <c r="D52" i="36"/>
  <c r="D24" i="36"/>
  <c r="D44" i="36"/>
  <c r="D64" i="36"/>
  <c r="D48" i="36"/>
  <c r="D60" i="36"/>
  <c r="D56" i="36"/>
  <c r="D40" i="36"/>
  <c r="U20" i="24"/>
  <c r="V8" i="34"/>
  <c r="R15" i="24"/>
  <c r="X40" i="17"/>
  <c r="W8" i="24"/>
  <c r="F79" i="18"/>
  <c r="F85" i="18" s="1"/>
  <c r="F91" i="18" s="1"/>
  <c r="F78" i="18"/>
  <c r="F84" i="18" s="1"/>
  <c r="F90" i="18" s="1"/>
  <c r="F77" i="18"/>
  <c r="F83" i="18" s="1"/>
  <c r="F89" i="18" s="1"/>
  <c r="W42" i="17"/>
  <c r="V30" i="17"/>
  <c r="V47" i="17" s="1"/>
  <c r="V32" i="17"/>
  <c r="V49" i="17" s="1"/>
  <c r="V31" i="17"/>
  <c r="V48" i="17" s="1"/>
  <c r="S31" i="18"/>
  <c r="V29" i="17"/>
  <c r="V50" i="17"/>
  <c r="S30" i="18" s="1"/>
  <c r="S42" i="18"/>
  <c r="P45" i="24"/>
  <c r="O46" i="24"/>
  <c r="L14" i="18"/>
  <c r="L15" i="18" s="1"/>
  <c r="L16" i="18" s="1"/>
  <c r="L21" i="18" s="1"/>
  <c r="L39" i="18" s="1"/>
  <c r="P21" i="17"/>
  <c r="V13" i="18"/>
  <c r="Y15" i="17"/>
  <c r="Y25" i="17" s="1"/>
  <c r="Y62" i="17" s="1"/>
  <c r="V25" i="18"/>
  <c r="V43" i="18" s="1"/>
  <c r="Y17" i="17"/>
  <c r="Y16" i="17"/>
  <c r="Z12" i="17"/>
  <c r="F47" i="18"/>
  <c r="F49" i="18" s="1"/>
  <c r="C23" i="20" s="1"/>
  <c r="F37" i="18"/>
  <c r="G32" i="18"/>
  <c r="G33" i="18" s="1"/>
  <c r="G34" i="18" s="1"/>
  <c r="G38" i="18" s="1"/>
  <c r="J53" i="17"/>
  <c r="G72" i="18" s="1"/>
  <c r="K36" i="17"/>
  <c r="K37" i="17"/>
  <c r="J54" i="17"/>
  <c r="G73" i="18" s="1"/>
  <c r="G76" i="18" s="1"/>
  <c r="G82" i="18" s="1"/>
  <c r="G88" i="18" s="1"/>
  <c r="U46" i="17"/>
  <c r="U28" i="17"/>
  <c r="O44" i="18" l="1"/>
  <c r="O48" i="18" s="1"/>
  <c r="Z18" i="17"/>
  <c r="P9" i="18"/>
  <c r="P26" i="18" s="1"/>
  <c r="R8" i="18"/>
  <c r="X6" i="34"/>
  <c r="X33" i="17"/>
  <c r="I19" i="31"/>
  <c r="I23" i="31" s="1"/>
  <c r="N16" i="24"/>
  <c r="N21" i="24"/>
  <c r="N22" i="24" s="1"/>
  <c r="N23" i="24" s="1"/>
  <c r="N26" i="24" s="1"/>
  <c r="M28" i="24"/>
  <c r="J24" i="20" s="1"/>
  <c r="J18" i="31" s="1"/>
  <c r="J19" i="31" s="1"/>
  <c r="J23" i="31" s="1"/>
  <c r="P44" i="18"/>
  <c r="P48" i="18" s="1"/>
  <c r="V20" i="24"/>
  <c r="W8" i="34"/>
  <c r="F92" i="18"/>
  <c r="S15" i="24"/>
  <c r="G77" i="18"/>
  <c r="G83" i="18" s="1"/>
  <c r="G89" i="18" s="1"/>
  <c r="G78" i="18"/>
  <c r="G84" i="18" s="1"/>
  <c r="G90" i="18" s="1"/>
  <c r="G79" i="18"/>
  <c r="G85" i="18" s="1"/>
  <c r="G91" i="18" s="1"/>
  <c r="Y40" i="17"/>
  <c r="X8" i="24"/>
  <c r="P46" i="24"/>
  <c r="Q45" i="24"/>
  <c r="L37" i="17"/>
  <c r="K54" i="17"/>
  <c r="H73" i="18" s="1"/>
  <c r="H76" i="18" s="1"/>
  <c r="H82" i="18" s="1"/>
  <c r="H88" i="18" s="1"/>
  <c r="H32" i="18"/>
  <c r="H33" i="18" s="1"/>
  <c r="H34" i="18" s="1"/>
  <c r="H38" i="18" s="1"/>
  <c r="K53" i="17"/>
  <c r="H72" i="18" s="1"/>
  <c r="L36" i="17"/>
  <c r="G37" i="18"/>
  <c r="G47" i="18"/>
  <c r="G49" i="18" s="1"/>
  <c r="D23" i="20" s="1"/>
  <c r="W13" i="18"/>
  <c r="Z15" i="17"/>
  <c r="Z25" i="17" s="1"/>
  <c r="Z62" i="17" s="1"/>
  <c r="W25" i="18"/>
  <c r="W43" i="18" s="1"/>
  <c r="Z17" i="17"/>
  <c r="Z16" i="17"/>
  <c r="AA12" i="17"/>
  <c r="M14" i="18"/>
  <c r="M15" i="18" s="1"/>
  <c r="M16" i="18" s="1"/>
  <c r="M21" i="18" s="1"/>
  <c r="M39" i="18" s="1"/>
  <c r="Q21" i="17"/>
  <c r="V46" i="17"/>
  <c r="V28" i="17"/>
  <c r="T42" i="18"/>
  <c r="T31" i="18"/>
  <c r="W32" i="17"/>
  <c r="W49" i="17" s="1"/>
  <c r="W29" i="17"/>
  <c r="W31" i="17"/>
  <c r="W48" i="17" s="1"/>
  <c r="W30" i="17"/>
  <c r="W47" i="17" s="1"/>
  <c r="W50" i="17"/>
  <c r="T30" i="18" s="1"/>
  <c r="X42" i="17"/>
  <c r="AA18" i="17" l="1"/>
  <c r="Q9" i="18"/>
  <c r="Q26" i="18" s="1"/>
  <c r="S8" i="18"/>
  <c r="Y6" i="34"/>
  <c r="Y33" i="17"/>
  <c r="O16" i="24"/>
  <c r="O21" i="24"/>
  <c r="O22" i="24" s="1"/>
  <c r="O23" i="24" s="1"/>
  <c r="O26" i="24" s="1"/>
  <c r="J22" i="31"/>
  <c r="N28" i="24"/>
  <c r="K24" i="20" s="1"/>
  <c r="K18" i="31" s="1"/>
  <c r="F22" i="36"/>
  <c r="E22" i="36"/>
  <c r="W20" i="24"/>
  <c r="X8" i="34"/>
  <c r="G92" i="18"/>
  <c r="T15" i="24"/>
  <c r="X29" i="17"/>
  <c r="X46" i="17" s="1"/>
  <c r="X32" i="17"/>
  <c r="X49" i="17" s="1"/>
  <c r="U31" i="18"/>
  <c r="X31" i="17"/>
  <c r="X48" i="17" s="1"/>
  <c r="X30" i="17"/>
  <c r="X47" i="17" s="1"/>
  <c r="X50" i="17"/>
  <c r="U30" i="18" s="1"/>
  <c r="U42" i="18"/>
  <c r="W28" i="17"/>
  <c r="W46" i="17"/>
  <c r="N14" i="18"/>
  <c r="N15" i="18" s="1"/>
  <c r="N16" i="18" s="1"/>
  <c r="N21" i="18" s="1"/>
  <c r="N39" i="18" s="1"/>
  <c r="R21" i="17"/>
  <c r="H78" i="18"/>
  <c r="H84" i="18" s="1"/>
  <c r="H90" i="18" s="1"/>
  <c r="H77" i="18"/>
  <c r="H83" i="18" s="1"/>
  <c r="H89" i="18" s="1"/>
  <c r="H79" i="18"/>
  <c r="H85" i="18" s="1"/>
  <c r="H91" i="18" s="1"/>
  <c r="R45" i="24"/>
  <c r="Q46" i="24"/>
  <c r="X25" i="18"/>
  <c r="X43" i="18" s="1"/>
  <c r="X13" i="18"/>
  <c r="AA15" i="17"/>
  <c r="AA17" i="17"/>
  <c r="AA16" i="17"/>
  <c r="Z40" i="17"/>
  <c r="Y8" i="24"/>
  <c r="M36" i="17"/>
  <c r="L53" i="17"/>
  <c r="I72" i="18" s="1"/>
  <c r="I32" i="18"/>
  <c r="I33" i="18" s="1"/>
  <c r="I34" i="18" s="1"/>
  <c r="I38" i="18" s="1"/>
  <c r="H37" i="18"/>
  <c r="H47" i="18"/>
  <c r="H49" i="18" s="1"/>
  <c r="E23" i="20" s="1"/>
  <c r="E29" i="20" s="1"/>
  <c r="E63" i="20" s="1"/>
  <c r="L54" i="17"/>
  <c r="I73" i="18" s="1"/>
  <c r="I76" i="18" s="1"/>
  <c r="I82" i="18" s="1"/>
  <c r="I88" i="18" s="1"/>
  <c r="M37" i="17"/>
  <c r="Y42" i="17"/>
  <c r="AA25" i="17" l="1"/>
  <c r="AA62" i="17" s="1"/>
  <c r="Q44" i="18"/>
  <c r="Q48" i="18" s="1"/>
  <c r="R9" i="18"/>
  <c r="R44" i="18" s="1"/>
  <c r="T8" i="18"/>
  <c r="Z6" i="34"/>
  <c r="Z33" i="17"/>
  <c r="K22" i="31"/>
  <c r="K19" i="31"/>
  <c r="K23" i="31" s="1"/>
  <c r="P16" i="24"/>
  <c r="P21" i="24"/>
  <c r="P22" i="24" s="1"/>
  <c r="P23" i="24" s="1"/>
  <c r="P26" i="24" s="1"/>
  <c r="O28" i="24"/>
  <c r="L24" i="20" s="1"/>
  <c r="L18" i="31" s="1"/>
  <c r="E71" i="20"/>
  <c r="E47" i="20"/>
  <c r="E51" i="20"/>
  <c r="E75" i="20"/>
  <c r="E55" i="20"/>
  <c r="E59" i="20"/>
  <c r="E67" i="20"/>
  <c r="E31" i="20"/>
  <c r="F60" i="36"/>
  <c r="F44" i="36"/>
  <c r="F24" i="36"/>
  <c r="F56" i="36"/>
  <c r="F40" i="36"/>
  <c r="F68" i="36"/>
  <c r="F64" i="36"/>
  <c r="F48" i="36"/>
  <c r="F52" i="36"/>
  <c r="G22" i="36"/>
  <c r="E24" i="36"/>
  <c r="E56" i="36"/>
  <c r="E40" i="36"/>
  <c r="E68" i="36"/>
  <c r="E52" i="36"/>
  <c r="E48" i="36"/>
  <c r="E60" i="36"/>
  <c r="E44" i="36"/>
  <c r="E64" i="36"/>
  <c r="R26" i="18"/>
  <c r="R48" i="18" s="1"/>
  <c r="X20" i="24"/>
  <c r="Y8" i="34"/>
  <c r="X28" i="17"/>
  <c r="H92" i="18"/>
  <c r="U15" i="24"/>
  <c r="V31" i="18"/>
  <c r="Y29" i="17"/>
  <c r="Y30" i="17"/>
  <c r="Y47" i="17" s="1"/>
  <c r="Y31" i="17"/>
  <c r="Y48" i="17" s="1"/>
  <c r="Y32" i="17"/>
  <c r="Y49" i="17" s="1"/>
  <c r="Y50" i="17"/>
  <c r="V30" i="18" s="1"/>
  <c r="V42" i="18"/>
  <c r="M54" i="17"/>
  <c r="J73" i="18" s="1"/>
  <c r="J76" i="18" s="1"/>
  <c r="J82" i="18" s="1"/>
  <c r="J88" i="18" s="1"/>
  <c r="N37" i="17"/>
  <c r="I37" i="18"/>
  <c r="I47" i="18"/>
  <c r="I49" i="18" s="1"/>
  <c r="F23" i="20" s="1"/>
  <c r="F29" i="20" s="1"/>
  <c r="F31" i="20" s="1"/>
  <c r="N36" i="17"/>
  <c r="M53" i="17"/>
  <c r="J72" i="18" s="1"/>
  <c r="J32" i="18"/>
  <c r="J33" i="18" s="1"/>
  <c r="J34" i="18" s="1"/>
  <c r="J38" i="18" s="1"/>
  <c r="Z42" i="17"/>
  <c r="S21" i="17"/>
  <c r="O14" i="18"/>
  <c r="O15" i="18" s="1"/>
  <c r="O16" i="18" s="1"/>
  <c r="O21" i="18" s="1"/>
  <c r="O39" i="18" s="1"/>
  <c r="I78" i="18"/>
  <c r="I84" i="18" s="1"/>
  <c r="I90" i="18" s="1"/>
  <c r="I79" i="18"/>
  <c r="I85" i="18" s="1"/>
  <c r="I91" i="18" s="1"/>
  <c r="I77" i="18"/>
  <c r="I83" i="18" s="1"/>
  <c r="I89" i="18" s="1"/>
  <c r="AA40" i="17"/>
  <c r="Z8" i="24"/>
  <c r="R46" i="24"/>
  <c r="S45" i="24"/>
  <c r="S9" i="18" l="1"/>
  <c r="S26" i="18" s="1"/>
  <c r="U8" i="18"/>
  <c r="AA6" i="34"/>
  <c r="AA33" i="17"/>
  <c r="L22" i="31"/>
  <c r="L19" i="31"/>
  <c r="L23" i="31" s="1"/>
  <c r="Q16" i="24"/>
  <c r="Q21" i="24"/>
  <c r="Q22" i="24" s="1"/>
  <c r="Q23" i="24" s="1"/>
  <c r="Q26" i="24" s="1"/>
  <c r="P28" i="24"/>
  <c r="M24" i="20" s="1"/>
  <c r="M18" i="31" s="1"/>
  <c r="F71" i="20"/>
  <c r="F51" i="20"/>
  <c r="F55" i="20"/>
  <c r="F67" i="20"/>
  <c r="Y20" i="24"/>
  <c r="Z8" i="34"/>
  <c r="F75" i="20"/>
  <c r="F59" i="20"/>
  <c r="F63" i="20"/>
  <c r="F47" i="20"/>
  <c r="G60" i="36"/>
  <c r="G44" i="36"/>
  <c r="G68" i="36"/>
  <c r="G56" i="36"/>
  <c r="G40" i="36"/>
  <c r="G52" i="36"/>
  <c r="G24" i="36"/>
  <c r="G64" i="36"/>
  <c r="G48" i="36"/>
  <c r="H22" i="36"/>
  <c r="V15" i="24"/>
  <c r="Z32" i="17"/>
  <c r="Z49" i="17" s="1"/>
  <c r="Z30" i="17"/>
  <c r="Z47" i="17" s="1"/>
  <c r="Z31" i="17"/>
  <c r="Z48" i="17" s="1"/>
  <c r="Z29" i="17"/>
  <c r="W31" i="18"/>
  <c r="Z50" i="17"/>
  <c r="W30" i="18" s="1"/>
  <c r="W42" i="18"/>
  <c r="J79" i="18"/>
  <c r="J85" i="18" s="1"/>
  <c r="J91" i="18" s="1"/>
  <c r="J78" i="18"/>
  <c r="J84" i="18" s="1"/>
  <c r="J90" i="18" s="1"/>
  <c r="J77" i="18"/>
  <c r="J83" i="18" s="1"/>
  <c r="J89" i="18" s="1"/>
  <c r="Y28" i="17"/>
  <c r="Y46" i="17"/>
  <c r="AA42" i="17"/>
  <c r="T45" i="24"/>
  <c r="S46" i="24"/>
  <c r="I92" i="18"/>
  <c r="T21" i="17"/>
  <c r="P14" i="18"/>
  <c r="P15" i="18" s="1"/>
  <c r="P16" i="18" s="1"/>
  <c r="P21" i="18" s="1"/>
  <c r="P39" i="18" s="1"/>
  <c r="J47" i="18"/>
  <c r="J49" i="18" s="1"/>
  <c r="G23" i="20" s="1"/>
  <c r="G29" i="20" s="1"/>
  <c r="G47" i="20" s="1"/>
  <c r="J37" i="18"/>
  <c r="K32" i="18"/>
  <c r="K33" i="18" s="1"/>
  <c r="K34" i="18" s="1"/>
  <c r="K38" i="18" s="1"/>
  <c r="N53" i="17"/>
  <c r="K72" i="18" s="1"/>
  <c r="O36" i="17"/>
  <c r="N54" i="17"/>
  <c r="K73" i="18" s="1"/>
  <c r="K76" i="18" s="1"/>
  <c r="K82" i="18" s="1"/>
  <c r="K88" i="18" s="1"/>
  <c r="O37" i="17"/>
  <c r="S44" i="18" l="1"/>
  <c r="S48" i="18" s="1"/>
  <c r="T9" i="18"/>
  <c r="T26" i="18" s="1"/>
  <c r="V8" i="18"/>
  <c r="Q28" i="24"/>
  <c r="N24" i="20" s="1"/>
  <c r="N18" i="31" s="1"/>
  <c r="M22" i="31"/>
  <c r="M19" i="31"/>
  <c r="M23" i="31" s="1"/>
  <c r="R16" i="24"/>
  <c r="R21" i="24"/>
  <c r="R22" i="24" s="1"/>
  <c r="R23" i="24" s="1"/>
  <c r="R26" i="24" s="1"/>
  <c r="G55" i="20"/>
  <c r="Z20" i="24"/>
  <c r="AA8" i="34"/>
  <c r="G51" i="20"/>
  <c r="G31" i="20"/>
  <c r="G63" i="20"/>
  <c r="G71" i="20"/>
  <c r="G67" i="20"/>
  <c r="G59" i="20"/>
  <c r="G75" i="20"/>
  <c r="H56" i="36"/>
  <c r="H40" i="36"/>
  <c r="H64" i="36"/>
  <c r="H48" i="36"/>
  <c r="H68" i="36"/>
  <c r="H52" i="36"/>
  <c r="H24" i="36"/>
  <c r="H60" i="36"/>
  <c r="H44" i="36"/>
  <c r="I22" i="36"/>
  <c r="J92" i="18"/>
  <c r="W15" i="24"/>
  <c r="P36" i="17"/>
  <c r="O53" i="17"/>
  <c r="L72" i="18" s="1"/>
  <c r="L32" i="18"/>
  <c r="L33" i="18" s="1"/>
  <c r="L34" i="18" s="1"/>
  <c r="L38" i="18" s="1"/>
  <c r="K37" i="18"/>
  <c r="K47" i="18"/>
  <c r="K49" i="18" s="1"/>
  <c r="H23" i="20" s="1"/>
  <c r="H29" i="20" s="1"/>
  <c r="H67" i="20" s="1"/>
  <c r="U21" i="17"/>
  <c r="Q14" i="18"/>
  <c r="Q15" i="18" s="1"/>
  <c r="Q16" i="18" s="1"/>
  <c r="Q21" i="18" s="1"/>
  <c r="Q39" i="18" s="1"/>
  <c r="Z28" i="17"/>
  <c r="Z46" i="17"/>
  <c r="O54" i="17"/>
  <c r="L73" i="18" s="1"/>
  <c r="L76" i="18" s="1"/>
  <c r="L82" i="18" s="1"/>
  <c r="L88" i="18" s="1"/>
  <c r="P37" i="17"/>
  <c r="K77" i="18"/>
  <c r="K83" i="18" s="1"/>
  <c r="K89" i="18" s="1"/>
  <c r="K78" i="18"/>
  <c r="K84" i="18" s="1"/>
  <c r="K90" i="18" s="1"/>
  <c r="K79" i="18"/>
  <c r="K85" i="18" s="1"/>
  <c r="K91" i="18" s="1"/>
  <c r="T46" i="24"/>
  <c r="U45" i="24"/>
  <c r="AA29" i="17"/>
  <c r="AB28" i="17" s="1"/>
  <c r="AA30" i="17"/>
  <c r="AA47" i="17" s="1"/>
  <c r="X31" i="18"/>
  <c r="AA31" i="17"/>
  <c r="AA48" i="17" s="1"/>
  <c r="AA32" i="17"/>
  <c r="AA49" i="17" s="1"/>
  <c r="AA50" i="17"/>
  <c r="X30" i="18" s="1"/>
  <c r="X42" i="18"/>
  <c r="T44" i="18" l="1"/>
  <c r="T48" i="18" s="1"/>
  <c r="U9" i="18"/>
  <c r="U44" i="18" s="1"/>
  <c r="W8" i="18"/>
  <c r="R28" i="24"/>
  <c r="O24" i="20" s="1"/>
  <c r="O18" i="31" s="1"/>
  <c r="S16" i="24"/>
  <c r="S21" i="24"/>
  <c r="S22" i="24" s="1"/>
  <c r="S23" i="24" s="1"/>
  <c r="S26" i="24" s="1"/>
  <c r="N19" i="31"/>
  <c r="N23" i="31" s="1"/>
  <c r="N22" i="31"/>
  <c r="H47" i="20"/>
  <c r="H55" i="20"/>
  <c r="H75" i="20"/>
  <c r="H51" i="20"/>
  <c r="H59" i="20"/>
  <c r="H63" i="20"/>
  <c r="H31" i="20"/>
  <c r="H71" i="20"/>
  <c r="I56" i="36"/>
  <c r="I40" i="36"/>
  <c r="I64" i="36"/>
  <c r="I68" i="36"/>
  <c r="I52" i="36"/>
  <c r="I24" i="36"/>
  <c r="I60" i="36"/>
  <c r="I44" i="36"/>
  <c r="I48" i="36"/>
  <c r="J22" i="36"/>
  <c r="X15" i="24"/>
  <c r="V45" i="24"/>
  <c r="U46" i="24"/>
  <c r="K92" i="18"/>
  <c r="L78" i="18"/>
  <c r="L84" i="18" s="1"/>
  <c r="L90" i="18" s="1"/>
  <c r="L77" i="18"/>
  <c r="L83" i="18" s="1"/>
  <c r="L89" i="18" s="1"/>
  <c r="L79" i="18"/>
  <c r="L85" i="18" s="1"/>
  <c r="L91" i="18" s="1"/>
  <c r="AA46" i="17"/>
  <c r="AA28" i="17"/>
  <c r="Q37" i="17"/>
  <c r="P54" i="17"/>
  <c r="M73" i="18" s="1"/>
  <c r="M76" i="18" s="1"/>
  <c r="M82" i="18" s="1"/>
  <c r="M88" i="18" s="1"/>
  <c r="V21" i="17"/>
  <c r="R14" i="18"/>
  <c r="R15" i="18" s="1"/>
  <c r="R16" i="18" s="1"/>
  <c r="R21" i="18" s="1"/>
  <c r="R39" i="18" s="1"/>
  <c r="L47" i="18"/>
  <c r="L49" i="18" s="1"/>
  <c r="I23" i="20" s="1"/>
  <c r="I29" i="20" s="1"/>
  <c r="I67" i="20" s="1"/>
  <c r="L37" i="18"/>
  <c r="M32" i="18"/>
  <c r="M33" i="18" s="1"/>
  <c r="M34" i="18" s="1"/>
  <c r="M38" i="18" s="1"/>
  <c r="P53" i="17"/>
  <c r="M72" i="18" s="1"/>
  <c r="Q36" i="17"/>
  <c r="U26" i="18" l="1"/>
  <c r="U48" i="18" s="1"/>
  <c r="V9" i="18"/>
  <c r="V26" i="18" s="1"/>
  <c r="X8" i="18"/>
  <c r="S28" i="24"/>
  <c r="P24" i="20" s="1"/>
  <c r="P18" i="31" s="1"/>
  <c r="T16" i="24"/>
  <c r="T21" i="24"/>
  <c r="T22" i="24" s="1"/>
  <c r="T23" i="24" s="1"/>
  <c r="T26" i="24" s="1"/>
  <c r="O19" i="31"/>
  <c r="O23" i="31" s="1"/>
  <c r="O22" i="31"/>
  <c r="I59" i="20"/>
  <c r="I47" i="20"/>
  <c r="I75" i="20"/>
  <c r="I63" i="20"/>
  <c r="I31" i="20"/>
  <c r="I51" i="20"/>
  <c r="I55" i="20"/>
  <c r="I71" i="20"/>
  <c r="J60" i="36"/>
  <c r="J44" i="36"/>
  <c r="J68" i="36"/>
  <c r="J56" i="36"/>
  <c r="J40" i="36"/>
  <c r="J52" i="36"/>
  <c r="J64" i="36"/>
  <c r="J48" i="36"/>
  <c r="J24" i="36"/>
  <c r="K22" i="36"/>
  <c r="L92" i="18"/>
  <c r="Y15" i="24"/>
  <c r="Z15" i="24"/>
  <c r="R36" i="17"/>
  <c r="Q53" i="17"/>
  <c r="N72" i="18" s="1"/>
  <c r="N32" i="18"/>
  <c r="N33" i="18" s="1"/>
  <c r="N34" i="18" s="1"/>
  <c r="N38" i="18" s="1"/>
  <c r="M47" i="18"/>
  <c r="M49" i="18" s="1"/>
  <c r="J23" i="20" s="1"/>
  <c r="J29" i="20" s="1"/>
  <c r="J75" i="20" s="1"/>
  <c r="M37" i="18"/>
  <c r="S14" i="18"/>
  <c r="S15" i="18" s="1"/>
  <c r="S16" i="18" s="1"/>
  <c r="S21" i="18" s="1"/>
  <c r="S39" i="18" s="1"/>
  <c r="W21" i="17"/>
  <c r="R37" i="17"/>
  <c r="Q54" i="17"/>
  <c r="N73" i="18" s="1"/>
  <c r="N76" i="18" s="1"/>
  <c r="N82" i="18" s="1"/>
  <c r="N88" i="18" s="1"/>
  <c r="M77" i="18"/>
  <c r="M83" i="18" s="1"/>
  <c r="M89" i="18" s="1"/>
  <c r="M79" i="18"/>
  <c r="M85" i="18" s="1"/>
  <c r="M91" i="18" s="1"/>
  <c r="M78" i="18"/>
  <c r="M84" i="18" s="1"/>
  <c r="M90" i="18" s="1"/>
  <c r="W45" i="24"/>
  <c r="W46" i="24" s="1"/>
  <c r="V46" i="24"/>
  <c r="V44" i="18" l="1"/>
  <c r="V48" i="18" s="1"/>
  <c r="X9" i="18"/>
  <c r="X44" i="18" s="1"/>
  <c r="Z8" i="18"/>
  <c r="Z9" i="18" s="1"/>
  <c r="W9" i="18"/>
  <c r="W26" i="18" s="1"/>
  <c r="Y8" i="18"/>
  <c r="Y9" i="18" s="1"/>
  <c r="J51" i="20"/>
  <c r="J55" i="20"/>
  <c r="J31" i="20"/>
  <c r="J63" i="20"/>
  <c r="J59" i="20"/>
  <c r="J67" i="20"/>
  <c r="J47" i="20"/>
  <c r="J71" i="20"/>
  <c r="U21" i="24"/>
  <c r="U22" i="24" s="1"/>
  <c r="U23" i="24" s="1"/>
  <c r="U26" i="24" s="1"/>
  <c r="U16" i="24"/>
  <c r="T28" i="24"/>
  <c r="Q24" i="20" s="1"/>
  <c r="Q18" i="31" s="1"/>
  <c r="P22" i="31"/>
  <c r="P19" i="31"/>
  <c r="P23" i="31" s="1"/>
  <c r="L22" i="36"/>
  <c r="K64" i="36"/>
  <c r="K40" i="36"/>
  <c r="K68" i="36"/>
  <c r="K60" i="36"/>
  <c r="K24" i="36"/>
  <c r="K56" i="36"/>
  <c r="K52" i="36"/>
  <c r="K48" i="36"/>
  <c r="K44" i="36"/>
  <c r="T14" i="18"/>
  <c r="T15" i="18" s="1"/>
  <c r="T16" i="18" s="1"/>
  <c r="T21" i="18" s="1"/>
  <c r="T39" i="18" s="1"/>
  <c r="X21" i="17"/>
  <c r="N77" i="18"/>
  <c r="N83" i="18" s="1"/>
  <c r="N89" i="18" s="1"/>
  <c r="N78" i="18"/>
  <c r="N84" i="18" s="1"/>
  <c r="N90" i="18" s="1"/>
  <c r="N79" i="18"/>
  <c r="N85" i="18" s="1"/>
  <c r="N91" i="18" s="1"/>
  <c r="M92" i="18"/>
  <c r="S37" i="17"/>
  <c r="R54" i="17"/>
  <c r="O73" i="18" s="1"/>
  <c r="O76" i="18" s="1"/>
  <c r="O82" i="18" s="1"/>
  <c r="O88" i="18" s="1"/>
  <c r="N47" i="18"/>
  <c r="N49" i="18" s="1"/>
  <c r="K23" i="20" s="1"/>
  <c r="K29" i="20" s="1"/>
  <c r="K31" i="20" s="1"/>
  <c r="N37" i="18"/>
  <c r="S36" i="17"/>
  <c r="O32" i="18"/>
  <c r="O33" i="18" s="1"/>
  <c r="O34" i="18" s="1"/>
  <c r="O38" i="18" s="1"/>
  <c r="R53" i="17"/>
  <c r="O72" i="18" s="1"/>
  <c r="X26" i="18" l="1"/>
  <c r="X48" i="18" s="1"/>
  <c r="W44" i="18"/>
  <c r="W48" i="18" s="1"/>
  <c r="Y26" i="18"/>
  <c r="Y44" i="18"/>
  <c r="Z26" i="18"/>
  <c r="Z44" i="18"/>
  <c r="U28" i="24"/>
  <c r="R24" i="20" s="1"/>
  <c r="R18" i="31" s="1"/>
  <c r="Q22" i="31"/>
  <c r="Q19" i="31"/>
  <c r="Q23" i="31" s="1"/>
  <c r="V21" i="24"/>
  <c r="V22" i="24" s="1"/>
  <c r="V23" i="24" s="1"/>
  <c r="V26" i="24" s="1"/>
  <c r="V16" i="24"/>
  <c r="K55" i="20"/>
  <c r="K59" i="20"/>
  <c r="K63" i="20"/>
  <c r="K75" i="20"/>
  <c r="K47" i="20"/>
  <c r="K67" i="20"/>
  <c r="K71" i="20"/>
  <c r="K51" i="20"/>
  <c r="M22" i="36"/>
  <c r="L56" i="36"/>
  <c r="L40" i="36"/>
  <c r="L68" i="36"/>
  <c r="L52" i="36"/>
  <c r="L24" i="36"/>
  <c r="L48" i="36"/>
  <c r="L60" i="36"/>
  <c r="L44" i="36"/>
  <c r="L64" i="36"/>
  <c r="N92" i="18"/>
  <c r="O77" i="18"/>
  <c r="O83" i="18" s="1"/>
  <c r="O89" i="18" s="1"/>
  <c r="O78" i="18"/>
  <c r="O84" i="18" s="1"/>
  <c r="O90" i="18" s="1"/>
  <c r="O79" i="18"/>
  <c r="O85" i="18" s="1"/>
  <c r="O91" i="18" s="1"/>
  <c r="T36" i="17"/>
  <c r="S53" i="17"/>
  <c r="P72" i="18" s="1"/>
  <c r="P32" i="18"/>
  <c r="P33" i="18" s="1"/>
  <c r="P34" i="18" s="1"/>
  <c r="P38" i="18" s="1"/>
  <c r="S54" i="17"/>
  <c r="P73" i="18" s="1"/>
  <c r="P76" i="18" s="1"/>
  <c r="P82" i="18" s="1"/>
  <c r="P88" i="18" s="1"/>
  <c r="T37" i="17"/>
  <c r="O37" i="18"/>
  <c r="O47" i="18"/>
  <c r="O49" i="18" s="1"/>
  <c r="L23" i="20" s="1"/>
  <c r="L29" i="20" s="1"/>
  <c r="L75" i="20" s="1"/>
  <c r="U14" i="18"/>
  <c r="U15" i="18" s="1"/>
  <c r="U16" i="18" s="1"/>
  <c r="U21" i="18" s="1"/>
  <c r="U39" i="18" s="1"/>
  <c r="Y21" i="17"/>
  <c r="Y48" i="18" l="1"/>
  <c r="Z48" i="18"/>
  <c r="L63" i="20"/>
  <c r="L31" i="20"/>
  <c r="L47" i="20"/>
  <c r="L55" i="20"/>
  <c r="L67" i="20"/>
  <c r="L59" i="20"/>
  <c r="L51" i="20"/>
  <c r="L71" i="20"/>
  <c r="V28" i="24"/>
  <c r="S24" i="20" s="1"/>
  <c r="S18" i="31" s="1"/>
  <c r="S19" i="31" s="1"/>
  <c r="S23" i="31" s="1"/>
  <c r="R19" i="31"/>
  <c r="R23" i="31" s="1"/>
  <c r="R22" i="31"/>
  <c r="W21" i="24"/>
  <c r="W22" i="24" s="1"/>
  <c r="W23" i="24" s="1"/>
  <c r="W26" i="24" s="1"/>
  <c r="W16" i="24"/>
  <c r="N22" i="36"/>
  <c r="M24" i="36"/>
  <c r="M56" i="36"/>
  <c r="M40" i="36"/>
  <c r="M64" i="36"/>
  <c r="M68" i="36"/>
  <c r="M52" i="36"/>
  <c r="M60" i="36"/>
  <c r="M44" i="36"/>
  <c r="M48" i="36"/>
  <c r="P37" i="18"/>
  <c r="P47" i="18"/>
  <c r="P49" i="18" s="1"/>
  <c r="M23" i="20" s="1"/>
  <c r="M29" i="20" s="1"/>
  <c r="M63" i="20" s="1"/>
  <c r="Q32" i="18"/>
  <c r="Q33" i="18" s="1"/>
  <c r="Q34" i="18" s="1"/>
  <c r="Q38" i="18" s="1"/>
  <c r="T53" i="17"/>
  <c r="Q72" i="18" s="1"/>
  <c r="U36" i="17"/>
  <c r="V14" i="18"/>
  <c r="V15" i="18" s="1"/>
  <c r="V16" i="18" s="1"/>
  <c r="V21" i="18" s="1"/>
  <c r="V39" i="18" s="1"/>
  <c r="Z21" i="17"/>
  <c r="U37" i="17"/>
  <c r="T54" i="17"/>
  <c r="Q73" i="18" s="1"/>
  <c r="Q76" i="18" s="1"/>
  <c r="Q82" i="18" s="1"/>
  <c r="Q88" i="18" s="1"/>
  <c r="P78" i="18"/>
  <c r="P84" i="18" s="1"/>
  <c r="P90" i="18" s="1"/>
  <c r="P77" i="18"/>
  <c r="P83" i="18" s="1"/>
  <c r="P89" i="18" s="1"/>
  <c r="P79" i="18"/>
  <c r="P85" i="18" s="1"/>
  <c r="P91" i="18" s="1"/>
  <c r="O92" i="18"/>
  <c r="M75" i="20" l="1"/>
  <c r="M71" i="20"/>
  <c r="M51" i="20"/>
  <c r="M47" i="20"/>
  <c r="M55" i="20"/>
  <c r="M67" i="20"/>
  <c r="M31" i="20"/>
  <c r="M59" i="20"/>
  <c r="S22" i="31"/>
  <c r="W28" i="24"/>
  <c r="T24" i="20" s="1"/>
  <c r="T18" i="31" s="1"/>
  <c r="T19" i="31" s="1"/>
  <c r="T23" i="31" s="1"/>
  <c r="X21" i="24"/>
  <c r="X22" i="24" s="1"/>
  <c r="X23" i="24" s="1"/>
  <c r="X26" i="24" s="1"/>
  <c r="X16" i="24"/>
  <c r="O22" i="36"/>
  <c r="N56" i="36"/>
  <c r="N40" i="36"/>
  <c r="N64" i="36"/>
  <c r="N68" i="36"/>
  <c r="N52" i="36"/>
  <c r="N24" i="36"/>
  <c r="N60" i="36"/>
  <c r="N44" i="36"/>
  <c r="N48" i="36"/>
  <c r="P92" i="18"/>
  <c r="AA21" i="17"/>
  <c r="W14" i="18"/>
  <c r="W15" i="18" s="1"/>
  <c r="W16" i="18" s="1"/>
  <c r="W21" i="18" s="1"/>
  <c r="W39" i="18" s="1"/>
  <c r="R32" i="18"/>
  <c r="R33" i="18" s="1"/>
  <c r="R34" i="18" s="1"/>
  <c r="R38" i="18" s="1"/>
  <c r="U53" i="17"/>
  <c r="R72" i="18" s="1"/>
  <c r="V36" i="17"/>
  <c r="Q47" i="18"/>
  <c r="Q49" i="18" s="1"/>
  <c r="N23" i="20" s="1"/>
  <c r="N29" i="20" s="1"/>
  <c r="N67" i="20" s="1"/>
  <c r="Q37" i="18"/>
  <c r="V37" i="17"/>
  <c r="U54" i="17"/>
  <c r="R73" i="18" s="1"/>
  <c r="R76" i="18" s="1"/>
  <c r="R82" i="18" s="1"/>
  <c r="R88" i="18" s="1"/>
  <c r="Q79" i="18"/>
  <c r="Q85" i="18" s="1"/>
  <c r="Q91" i="18" s="1"/>
  <c r="Q77" i="18"/>
  <c r="Q83" i="18" s="1"/>
  <c r="Q89" i="18" s="1"/>
  <c r="Q78" i="18"/>
  <c r="Q84" i="18" s="1"/>
  <c r="Q90" i="18" s="1"/>
  <c r="X14" i="18" l="1"/>
  <c r="X15" i="18" s="1"/>
  <c r="X16" i="18" s="1"/>
  <c r="X21" i="18" s="1"/>
  <c r="X39" i="18" s="1"/>
  <c r="AB21" i="17"/>
  <c r="T22" i="31"/>
  <c r="X28" i="24"/>
  <c r="U24" i="20" s="1"/>
  <c r="Y16" i="24"/>
  <c r="Y21" i="24"/>
  <c r="Y22" i="24" s="1"/>
  <c r="Y23" i="24" s="1"/>
  <c r="Y26" i="24" s="1"/>
  <c r="N51" i="20"/>
  <c r="N55" i="20"/>
  <c r="N71" i="20"/>
  <c r="N63" i="20"/>
  <c r="N47" i="20"/>
  <c r="N75" i="20"/>
  <c r="N31" i="20"/>
  <c r="N59" i="20"/>
  <c r="P22" i="36"/>
  <c r="O64" i="36"/>
  <c r="O48" i="36"/>
  <c r="O60" i="36"/>
  <c r="O44" i="36"/>
  <c r="O24" i="36"/>
  <c r="O40" i="36"/>
  <c r="O68" i="36"/>
  <c r="O52" i="36"/>
  <c r="O56" i="36"/>
  <c r="Q92" i="18"/>
  <c r="W36" i="17"/>
  <c r="V53" i="17"/>
  <c r="S72" i="18" s="1"/>
  <c r="S32" i="18"/>
  <c r="S33" i="18" s="1"/>
  <c r="S34" i="18" s="1"/>
  <c r="S38" i="18" s="1"/>
  <c r="R37" i="18"/>
  <c r="R47" i="18"/>
  <c r="R49" i="18" s="1"/>
  <c r="O23" i="20" s="1"/>
  <c r="O29" i="20" s="1"/>
  <c r="O63" i="20" s="1"/>
  <c r="W37" i="17"/>
  <c r="V54" i="17"/>
  <c r="S73" i="18" s="1"/>
  <c r="S76" i="18" s="1"/>
  <c r="S82" i="18" s="1"/>
  <c r="S88" i="18" s="1"/>
  <c r="R78" i="18"/>
  <c r="R84" i="18" s="1"/>
  <c r="R90" i="18" s="1"/>
  <c r="R79" i="18"/>
  <c r="R85" i="18" s="1"/>
  <c r="R91" i="18" s="1"/>
  <c r="R77" i="18"/>
  <c r="R83" i="18" s="1"/>
  <c r="R89" i="18" s="1"/>
  <c r="Y14" i="18" l="1"/>
  <c r="Y15" i="18" s="1"/>
  <c r="Y16" i="18" s="1"/>
  <c r="Y21" i="18" s="1"/>
  <c r="Y39" i="18" s="1"/>
  <c r="AC21" i="17"/>
  <c r="Z14" i="18" s="1"/>
  <c r="Z15" i="18" s="1"/>
  <c r="Z16" i="18" s="1"/>
  <c r="Z21" i="18" s="1"/>
  <c r="Z39" i="18" s="1"/>
  <c r="O67" i="20"/>
  <c r="O59" i="20"/>
  <c r="O75" i="20"/>
  <c r="O31" i="20"/>
  <c r="O71" i="20"/>
  <c r="O51" i="20"/>
  <c r="O55" i="20"/>
  <c r="O47" i="20"/>
  <c r="U18" i="31"/>
  <c r="Y24" i="20"/>
  <c r="Z24" i="20"/>
  <c r="B10" i="30" s="1"/>
  <c r="Y28" i="24"/>
  <c r="V24" i="20" s="1"/>
  <c r="V18" i="31" s="1"/>
  <c r="Z21" i="24"/>
  <c r="Z22" i="24" s="1"/>
  <c r="Z23" i="24" s="1"/>
  <c r="Z26" i="24" s="1"/>
  <c r="Z16" i="24"/>
  <c r="Q22" i="36"/>
  <c r="P60" i="36"/>
  <c r="P44" i="36"/>
  <c r="P52" i="36"/>
  <c r="P56" i="36"/>
  <c r="P40" i="36"/>
  <c r="P68" i="36"/>
  <c r="P64" i="36"/>
  <c r="P48" i="36"/>
  <c r="P24" i="36"/>
  <c r="R92" i="18"/>
  <c r="X37" i="17"/>
  <c r="W54" i="17"/>
  <c r="T73" i="18" s="1"/>
  <c r="T76" i="18" s="1"/>
  <c r="T82" i="18" s="1"/>
  <c r="T88" i="18" s="1"/>
  <c r="S77" i="18"/>
  <c r="S83" i="18" s="1"/>
  <c r="S89" i="18" s="1"/>
  <c r="S78" i="18"/>
  <c r="S84" i="18" s="1"/>
  <c r="S90" i="18" s="1"/>
  <c r="S79" i="18"/>
  <c r="S85" i="18" s="1"/>
  <c r="S91" i="18" s="1"/>
  <c r="S47" i="18"/>
  <c r="S49" i="18" s="1"/>
  <c r="P23" i="20" s="1"/>
  <c r="P29" i="20" s="1"/>
  <c r="P31" i="20" s="1"/>
  <c r="S37" i="18"/>
  <c r="X36" i="17"/>
  <c r="T32" i="18"/>
  <c r="T33" i="18" s="1"/>
  <c r="T34" i="18" s="1"/>
  <c r="T38" i="18" s="1"/>
  <c r="W53" i="17"/>
  <c r="T72" i="18" s="1"/>
  <c r="Z28" i="24" l="1"/>
  <c r="W24" i="20" s="1"/>
  <c r="W18" i="31" s="1"/>
  <c r="W19" i="31" s="1"/>
  <c r="W23" i="31" s="1"/>
  <c r="B27" i="31"/>
  <c r="U22" i="31"/>
  <c r="U19" i="31"/>
  <c r="V19" i="31"/>
  <c r="V23" i="31" s="1"/>
  <c r="V22" i="31"/>
  <c r="P55" i="20"/>
  <c r="P47" i="20"/>
  <c r="P59" i="20"/>
  <c r="P75" i="20"/>
  <c r="P71" i="20"/>
  <c r="P63" i="20"/>
  <c r="P67" i="20"/>
  <c r="P51" i="20"/>
  <c r="R22" i="36"/>
  <c r="Q68" i="36"/>
  <c r="Q52" i="36"/>
  <c r="Q24" i="36"/>
  <c r="Q60" i="36"/>
  <c r="Q64" i="36"/>
  <c r="Q48" i="36"/>
  <c r="Q44" i="36"/>
  <c r="Q56" i="36"/>
  <c r="Q40" i="36"/>
  <c r="S92" i="18"/>
  <c r="T37" i="18"/>
  <c r="T47" i="18"/>
  <c r="T49" i="18" s="1"/>
  <c r="Q23" i="20" s="1"/>
  <c r="Q29" i="20" s="1"/>
  <c r="Q55" i="20" s="1"/>
  <c r="T79" i="18"/>
  <c r="T85" i="18" s="1"/>
  <c r="T91" i="18" s="1"/>
  <c r="T78" i="18"/>
  <c r="T84" i="18" s="1"/>
  <c r="T90" i="18" s="1"/>
  <c r="T77" i="18"/>
  <c r="T83" i="18" s="1"/>
  <c r="T89" i="18" s="1"/>
  <c r="Y36" i="17"/>
  <c r="U32" i="18"/>
  <c r="U33" i="18" s="1"/>
  <c r="U34" i="18" s="1"/>
  <c r="U38" i="18" s="1"/>
  <c r="X53" i="17"/>
  <c r="U72" i="18" s="1"/>
  <c r="Y37" i="17"/>
  <c r="X54" i="17"/>
  <c r="U73" i="18" s="1"/>
  <c r="U76" i="18" s="1"/>
  <c r="U82" i="18" s="1"/>
  <c r="U88" i="18" s="1"/>
  <c r="W22" i="31" l="1"/>
  <c r="B31" i="31"/>
  <c r="U23" i="31"/>
  <c r="B26" i="31"/>
  <c r="C38" i="26" s="1"/>
  <c r="C37" i="26"/>
  <c r="Q59" i="20"/>
  <c r="Q51" i="20"/>
  <c r="Q31" i="20"/>
  <c r="Q63" i="20"/>
  <c r="Q75" i="20"/>
  <c r="Q71" i="20"/>
  <c r="Q67" i="20"/>
  <c r="Q47" i="20"/>
  <c r="S22" i="36"/>
  <c r="R64" i="36"/>
  <c r="R48" i="36"/>
  <c r="R60" i="36"/>
  <c r="R44" i="36"/>
  <c r="R56" i="36"/>
  <c r="R68" i="36"/>
  <c r="R52" i="36"/>
  <c r="R24" i="36"/>
  <c r="R40" i="36"/>
  <c r="T92" i="18"/>
  <c r="Z37" i="17"/>
  <c r="Y54" i="17"/>
  <c r="V73" i="18" s="1"/>
  <c r="V76" i="18" s="1"/>
  <c r="V82" i="18" s="1"/>
  <c r="V88" i="18" s="1"/>
  <c r="U78" i="18"/>
  <c r="U84" i="18" s="1"/>
  <c r="U90" i="18" s="1"/>
  <c r="U79" i="18"/>
  <c r="U85" i="18" s="1"/>
  <c r="U91" i="18" s="1"/>
  <c r="U77" i="18"/>
  <c r="U83" i="18" s="1"/>
  <c r="U89" i="18" s="1"/>
  <c r="V32" i="18"/>
  <c r="V33" i="18" s="1"/>
  <c r="V34" i="18" s="1"/>
  <c r="V38" i="18" s="1"/>
  <c r="Y53" i="17"/>
  <c r="V72" i="18" s="1"/>
  <c r="Z36" i="17"/>
  <c r="U37" i="18"/>
  <c r="U47" i="18"/>
  <c r="U49" i="18" s="1"/>
  <c r="R23" i="20" s="1"/>
  <c r="R29" i="20" s="1"/>
  <c r="R31" i="20" s="1"/>
  <c r="B30" i="31" l="1"/>
  <c r="C35" i="26" s="1"/>
  <c r="C34" i="26"/>
  <c r="R51" i="20"/>
  <c r="R47" i="20"/>
  <c r="R55" i="20"/>
  <c r="R59" i="20"/>
  <c r="R63" i="20"/>
  <c r="R71" i="20"/>
  <c r="R75" i="20"/>
  <c r="R67" i="20"/>
  <c r="T22" i="36"/>
  <c r="S68" i="36"/>
  <c r="S44" i="36"/>
  <c r="S40" i="36"/>
  <c r="S64" i="36"/>
  <c r="S24" i="36"/>
  <c r="S60" i="36"/>
  <c r="S56" i="36"/>
  <c r="S52" i="36"/>
  <c r="S48" i="36"/>
  <c r="U92" i="18"/>
  <c r="V77" i="18"/>
  <c r="V83" i="18" s="1"/>
  <c r="V89" i="18" s="1"/>
  <c r="V78" i="18"/>
  <c r="V84" i="18" s="1"/>
  <c r="V90" i="18" s="1"/>
  <c r="V79" i="18"/>
  <c r="V85" i="18" s="1"/>
  <c r="V91" i="18" s="1"/>
  <c r="AA37" i="17"/>
  <c r="Z54" i="17"/>
  <c r="W73" i="18" s="1"/>
  <c r="W76" i="18" s="1"/>
  <c r="W82" i="18" s="1"/>
  <c r="W88" i="18" s="1"/>
  <c r="Z53" i="17"/>
  <c r="W72" i="18" s="1"/>
  <c r="W32" i="18"/>
  <c r="W33" i="18" s="1"/>
  <c r="W34" i="18" s="1"/>
  <c r="W38" i="18" s="1"/>
  <c r="AA36" i="17"/>
  <c r="AB36" i="17" s="1"/>
  <c r="Y32" i="18" s="1"/>
  <c r="Y33" i="18" s="1"/>
  <c r="Y34" i="18" s="1"/>
  <c r="Y38" i="18" s="1"/>
  <c r="V47" i="18"/>
  <c r="V49" i="18" s="1"/>
  <c r="S23" i="20" s="1"/>
  <c r="S29" i="20" s="1"/>
  <c r="S47" i="20" s="1"/>
  <c r="V37" i="18"/>
  <c r="Y37" i="18" l="1"/>
  <c r="Y47" i="18"/>
  <c r="Y49" i="18" s="1"/>
  <c r="V23" i="20" s="1"/>
  <c r="S59" i="20"/>
  <c r="S31" i="20"/>
  <c r="S75" i="20"/>
  <c r="S63" i="20"/>
  <c r="S71" i="20"/>
  <c r="S55" i="20"/>
  <c r="S67" i="20"/>
  <c r="S51" i="20"/>
  <c r="AC36" i="17"/>
  <c r="AB53" i="17"/>
  <c r="Y72" i="18" s="1"/>
  <c r="AA54" i="17"/>
  <c r="X73" i="18" s="1"/>
  <c r="X76" i="18" s="1"/>
  <c r="X82" i="18" s="1"/>
  <c r="X88" i="18" s="1"/>
  <c r="AB37" i="17"/>
  <c r="T60" i="36"/>
  <c r="T44" i="36"/>
  <c r="T68" i="36"/>
  <c r="T56" i="36"/>
  <c r="T40" i="36"/>
  <c r="T24" i="36"/>
  <c r="T64" i="36"/>
  <c r="T48" i="36"/>
  <c r="T52" i="36"/>
  <c r="W37" i="18"/>
  <c r="W47" i="18"/>
  <c r="W49" i="18" s="1"/>
  <c r="T23" i="20" s="1"/>
  <c r="T29" i="20" s="1"/>
  <c r="T59" i="20" s="1"/>
  <c r="V92" i="18"/>
  <c r="X32" i="18"/>
  <c r="X33" i="18" s="1"/>
  <c r="X34" i="18" s="1"/>
  <c r="X38" i="18" s="1"/>
  <c r="AA53" i="17"/>
  <c r="X72" i="18" s="1"/>
  <c r="W77" i="18"/>
  <c r="W83" i="18" s="1"/>
  <c r="W89" i="18" s="1"/>
  <c r="W78" i="18"/>
  <c r="W84" i="18" s="1"/>
  <c r="W90" i="18" s="1"/>
  <c r="W79" i="18"/>
  <c r="W85" i="18" s="1"/>
  <c r="W91" i="18" s="1"/>
  <c r="Y79" i="18" l="1"/>
  <c r="Y85" i="18" s="1"/>
  <c r="Y91" i="18" s="1"/>
  <c r="Y78" i="18"/>
  <c r="Y84" i="18" s="1"/>
  <c r="Y90" i="18" s="1"/>
  <c r="Y77" i="18"/>
  <c r="Y83" i="18" s="1"/>
  <c r="Y89" i="18" s="1"/>
  <c r="AC53" i="17"/>
  <c r="Z72" i="18" s="1"/>
  <c r="Z32" i="18"/>
  <c r="Z33" i="18" s="1"/>
  <c r="Z34" i="18" s="1"/>
  <c r="Z38" i="18" s="1"/>
  <c r="T51" i="20"/>
  <c r="T75" i="20"/>
  <c r="T63" i="20"/>
  <c r="AC37" i="17"/>
  <c r="AC54" i="17" s="1"/>
  <c r="Z73" i="18" s="1"/>
  <c r="Z76" i="18" s="1"/>
  <c r="Z82" i="18" s="1"/>
  <c r="Z88" i="18" s="1"/>
  <c r="AB54" i="17"/>
  <c r="Y73" i="18" s="1"/>
  <c r="Y76" i="18" s="1"/>
  <c r="Y82" i="18" s="1"/>
  <c r="Y88" i="18" s="1"/>
  <c r="T47" i="20"/>
  <c r="T55" i="20"/>
  <c r="T71" i="20"/>
  <c r="T31" i="20"/>
  <c r="T67" i="20"/>
  <c r="V22" i="36"/>
  <c r="U22" i="36"/>
  <c r="B28" i="36" s="1"/>
  <c r="W92" i="18"/>
  <c r="X37" i="18"/>
  <c r="X47" i="18"/>
  <c r="X49" i="18" s="1"/>
  <c r="U23" i="20" s="1"/>
  <c r="U29" i="20" s="1"/>
  <c r="U63" i="20" s="1"/>
  <c r="X77" i="18"/>
  <c r="X83" i="18" s="1"/>
  <c r="X89" i="18" s="1"/>
  <c r="X78" i="18"/>
  <c r="X84" i="18" s="1"/>
  <c r="X90" i="18" s="1"/>
  <c r="X79" i="18"/>
  <c r="X85" i="18" s="1"/>
  <c r="X91" i="18" s="1"/>
  <c r="Z37" i="18" l="1"/>
  <c r="Z47" i="18"/>
  <c r="Z49" i="18" s="1"/>
  <c r="W23" i="20" s="1"/>
  <c r="Z79" i="18"/>
  <c r="Z85" i="18" s="1"/>
  <c r="Z91" i="18" s="1"/>
  <c r="Z78" i="18"/>
  <c r="Z84" i="18" s="1"/>
  <c r="Z90" i="18" s="1"/>
  <c r="Z77" i="18"/>
  <c r="Z83" i="18" s="1"/>
  <c r="Z89" i="18" s="1"/>
  <c r="Y92" i="18"/>
  <c r="U71" i="20"/>
  <c r="U51" i="20"/>
  <c r="U59" i="20"/>
  <c r="U55" i="20"/>
  <c r="U31" i="20"/>
  <c r="U75" i="20"/>
  <c r="U47" i="20"/>
  <c r="U67" i="20"/>
  <c r="V29" i="20"/>
  <c r="V31" i="20" s="1"/>
  <c r="W22" i="36"/>
  <c r="U68" i="36"/>
  <c r="B70" i="36" s="1"/>
  <c r="U52" i="36"/>
  <c r="B54" i="36" s="1"/>
  <c r="U64" i="36"/>
  <c r="B66" i="36" s="1"/>
  <c r="U48" i="36"/>
  <c r="B50" i="36" s="1"/>
  <c r="U44" i="36"/>
  <c r="B46" i="36" s="1"/>
  <c r="U24" i="36"/>
  <c r="B27" i="36" s="1"/>
  <c r="U56" i="36"/>
  <c r="B58" i="36" s="1"/>
  <c r="U40" i="36"/>
  <c r="B42" i="36" s="1"/>
  <c r="U60" i="36"/>
  <c r="Y22" i="36"/>
  <c r="Z22" i="36"/>
  <c r="V56" i="36"/>
  <c r="V40" i="36"/>
  <c r="V64" i="36"/>
  <c r="V48" i="36"/>
  <c r="V68" i="36"/>
  <c r="V52" i="36"/>
  <c r="V24" i="36"/>
  <c r="V60" i="36"/>
  <c r="V44" i="36"/>
  <c r="X92" i="18"/>
  <c r="Z92" i="18" l="1"/>
  <c r="W29" i="20"/>
  <c r="W71" i="20" s="1"/>
  <c r="V59" i="20"/>
  <c r="V75" i="20"/>
  <c r="V71" i="20"/>
  <c r="V67" i="20"/>
  <c r="V51" i="20"/>
  <c r="V47" i="20"/>
  <c r="V55" i="20"/>
  <c r="V63" i="20"/>
  <c r="B61" i="36"/>
  <c r="C36" i="36" s="1"/>
  <c r="B62" i="36"/>
  <c r="H36" i="36" s="1"/>
  <c r="I36" i="36"/>
  <c r="B69" i="36"/>
  <c r="D36" i="36" s="1"/>
  <c r="AA20" i="36"/>
  <c r="AA19" i="36"/>
  <c r="AA22" i="36"/>
  <c r="AA21" i="36"/>
  <c r="H34" i="36"/>
  <c r="B41" i="36"/>
  <c r="C34" i="36" s="1"/>
  <c r="G35" i="36"/>
  <c r="B49" i="36"/>
  <c r="B35" i="36" s="1"/>
  <c r="B45" i="36"/>
  <c r="D34" i="36" s="1"/>
  <c r="I34" i="36"/>
  <c r="B57" i="36"/>
  <c r="D35" i="36" s="1"/>
  <c r="I35" i="36"/>
  <c r="H35" i="36"/>
  <c r="B65" i="36"/>
  <c r="C35" i="36" s="1"/>
  <c r="W68" i="36"/>
  <c r="W52" i="36"/>
  <c r="W60" i="36"/>
  <c r="W64" i="36"/>
  <c r="W48" i="36"/>
  <c r="W56" i="36"/>
  <c r="W40" i="36"/>
  <c r="W24" i="36"/>
  <c r="W44" i="36"/>
  <c r="G34" i="36"/>
  <c r="B26" i="36"/>
  <c r="B34" i="36" s="1"/>
  <c r="B53" i="36"/>
  <c r="B36" i="36" s="1"/>
  <c r="G36" i="36"/>
  <c r="W67" i="20" l="1"/>
  <c r="W75" i="20"/>
  <c r="W51" i="20"/>
  <c r="W31" i="20"/>
  <c r="W47" i="20"/>
  <c r="W55" i="20"/>
  <c r="W63" i="20"/>
  <c r="W59" i="20"/>
  <c r="AA18" i="36"/>
  <c r="F49" i="17" l="1"/>
  <c r="G49" i="17"/>
  <c r="H49" i="17"/>
  <c r="E31" i="18"/>
  <c r="E33" i="18" s="1"/>
  <c r="E34" i="18" s="1"/>
  <c r="E38" i="18" s="1"/>
  <c r="H33" i="17"/>
  <c r="E42" i="18" s="1"/>
  <c r="E44" i="18" s="1"/>
  <c r="E48" i="18" s="1"/>
  <c r="G33" i="17"/>
  <c r="D31" i="18" s="1"/>
  <c r="D33" i="18" s="1"/>
  <c r="D34" i="18" s="1"/>
  <c r="D38" i="18" s="1"/>
  <c r="F33" i="17"/>
  <c r="C31" i="18" s="1"/>
  <c r="C33" i="18" s="1"/>
  <c r="C34" i="18" s="1"/>
  <c r="C38" i="18" s="1"/>
  <c r="F50" i="17" l="1"/>
  <c r="C30" i="18" s="1"/>
  <c r="H50" i="17"/>
  <c r="E30" i="18" s="1"/>
  <c r="D47" i="18"/>
  <c r="D37" i="18"/>
  <c r="E37" i="18"/>
  <c r="E47" i="18"/>
  <c r="E49" i="18" s="1"/>
  <c r="C37" i="18"/>
  <c r="C47" i="18"/>
  <c r="C42" i="18"/>
  <c r="C44" i="18" s="1"/>
  <c r="C48" i="18" s="1"/>
  <c r="D42" i="18"/>
  <c r="D44" i="18" s="1"/>
  <c r="D48" i="18" s="1"/>
  <c r="G50" i="17"/>
  <c r="D30" i="18" s="1"/>
  <c r="D29" i="20" l="1"/>
  <c r="D71" i="20" s="1"/>
  <c r="B23" i="20"/>
  <c r="C49" i="18"/>
  <c r="D49" i="18"/>
  <c r="C29" i="20" s="1"/>
  <c r="D63" i="20" l="1"/>
  <c r="D59" i="20"/>
  <c r="D31" i="20"/>
  <c r="D75" i="20"/>
  <c r="D51" i="20"/>
  <c r="D55" i="20"/>
  <c r="D47" i="20"/>
  <c r="D67" i="20"/>
  <c r="Z23" i="20"/>
  <c r="C67" i="20"/>
  <c r="C75" i="20"/>
  <c r="C55" i="20"/>
  <c r="C47" i="20"/>
  <c r="C63" i="20"/>
  <c r="C59" i="20"/>
  <c r="C71" i="20"/>
  <c r="C31" i="20"/>
  <c r="C51" i="20"/>
  <c r="B29" i="20"/>
  <c r="Z29" i="20" s="1"/>
  <c r="AA27" i="20" s="1"/>
  <c r="Y23" i="20"/>
  <c r="B9" i="30" l="1"/>
  <c r="B35" i="20"/>
  <c r="B67" i="20"/>
  <c r="B47" i="20"/>
  <c r="B31" i="20"/>
  <c r="Y29" i="20"/>
  <c r="B55" i="20"/>
  <c r="B71" i="20"/>
  <c r="B75" i="20"/>
  <c r="B63" i="20"/>
  <c r="B51" i="20"/>
  <c r="B59" i="20"/>
  <c r="B33" i="20" l="1"/>
  <c r="B34" i="20"/>
  <c r="B57" i="20"/>
  <c r="G42" i="20" s="1"/>
  <c r="B56" i="20"/>
  <c r="B42" i="20" s="1"/>
  <c r="B60" i="20"/>
  <c r="B43" i="20" s="1"/>
  <c r="B61" i="20"/>
  <c r="G43" i="20" s="1"/>
  <c r="B52" i="20"/>
  <c r="D41" i="20" s="1"/>
  <c r="B53" i="20"/>
  <c r="I41" i="20" s="1"/>
  <c r="B49" i="20"/>
  <c r="H41" i="20" s="1"/>
  <c r="B48" i="20"/>
  <c r="C41" i="20" s="1"/>
  <c r="AA24" i="20"/>
  <c r="AA29" i="20"/>
  <c r="AA25" i="20"/>
  <c r="AA28" i="20"/>
  <c r="AA22" i="20"/>
  <c r="B68" i="20"/>
  <c r="C43" i="20" s="1"/>
  <c r="B69" i="20"/>
  <c r="H43" i="20" s="1"/>
  <c r="B64" i="20"/>
  <c r="D42" i="20" s="1"/>
  <c r="B65" i="20"/>
  <c r="I42" i="20" s="1"/>
  <c r="B77" i="20"/>
  <c r="I43" i="20" s="1"/>
  <c r="B76" i="20"/>
  <c r="D43" i="20" s="1"/>
  <c r="AA23" i="20"/>
  <c r="B73" i="20"/>
  <c r="H42" i="20" s="1"/>
  <c r="B72" i="20"/>
  <c r="C42" i="20" s="1"/>
  <c r="B11" i="30"/>
  <c r="C9" i="30" s="1"/>
  <c r="G41" i="20" l="1"/>
  <c r="C41" i="26"/>
  <c r="C8" i="30"/>
  <c r="C6" i="30"/>
  <c r="C10" i="30"/>
  <c r="C11" i="30"/>
  <c r="C7" i="30"/>
  <c r="C40" i="26"/>
  <c r="B41" i="20"/>
  <c r="AA21" i="20"/>
</calcChain>
</file>

<file path=xl/comments1.xml><?xml version="1.0" encoding="utf-8"?>
<comments xmlns="http://schemas.openxmlformats.org/spreadsheetml/2006/main">
  <authors>
    <author>Ashley</author>
    <author>Ashley Spalding</author>
  </authors>
  <commentList>
    <comment ref="G30" authorId="0" shapeId="0">
      <text>
        <r>
          <rPr>
            <b/>
            <sz val="9"/>
            <color indexed="81"/>
            <rFont val="Tahoma"/>
            <family val="2"/>
          </rPr>
          <t xml:space="preserve">MCC: </t>
        </r>
        <r>
          <rPr>
            <sz val="9"/>
            <color indexed="81"/>
            <rFont val="Tahoma"/>
            <family val="2"/>
          </rPr>
          <t>Source: http://www.whitehouse.gov/omb/circulars_a094</t>
        </r>
        <r>
          <rPr>
            <b/>
            <sz val="9"/>
            <color indexed="81"/>
            <rFont val="Tahoma"/>
            <family val="2"/>
          </rPr>
          <t xml:space="preserve">
</t>
        </r>
      </text>
    </comment>
    <comment ref="H30" authorId="1" shapeId="0">
      <text>
        <r>
          <rPr>
            <b/>
            <sz val="9"/>
            <color indexed="81"/>
            <rFont val="Tahoma"/>
            <family val="2"/>
          </rPr>
          <t>MCC:</t>
        </r>
        <r>
          <rPr>
            <sz val="9"/>
            <color indexed="81"/>
            <rFont val="Tahoma"/>
            <family val="2"/>
          </rPr>
          <t xml:space="preserve"> Source:
http://www.mongolbank.mn/eng/default.aspx</t>
        </r>
      </text>
    </comment>
    <comment ref="F31" authorId="0" shapeId="0">
      <text>
        <r>
          <rPr>
            <b/>
            <sz val="9"/>
            <color indexed="81"/>
            <rFont val="Tahoma"/>
            <family val="2"/>
          </rPr>
          <t>MCC:</t>
        </r>
        <r>
          <rPr>
            <sz val="9"/>
            <color indexed="81"/>
            <rFont val="Tahoma"/>
            <family val="2"/>
          </rPr>
          <t xml:space="preserve">
www.npr.org/2012/05/21/0521/152683549/mineral-rich-mongolia-rapidly-becoming-minegolia
</t>
        </r>
      </text>
    </comment>
    <comment ref="G31" authorId="0" shapeId="0">
      <text>
        <r>
          <rPr>
            <b/>
            <sz val="9"/>
            <color indexed="81"/>
            <rFont val="Tahoma"/>
            <family val="2"/>
          </rPr>
          <t>MCC:</t>
        </r>
        <r>
          <rPr>
            <sz val="9"/>
            <color indexed="81"/>
            <rFont val="Tahoma"/>
            <family val="2"/>
          </rPr>
          <t xml:space="preserve">
2012 Assumption based on fairly even spread around default
</t>
        </r>
      </text>
    </comment>
    <comment ref="H31" authorId="0" shapeId="0">
      <text>
        <r>
          <rPr>
            <b/>
            <sz val="9"/>
            <color indexed="81"/>
            <rFont val="Tahoma"/>
            <family val="2"/>
          </rPr>
          <t>MCC:</t>
        </r>
        <r>
          <rPr>
            <sz val="9"/>
            <color indexed="81"/>
            <rFont val="Tahoma"/>
            <family val="2"/>
          </rPr>
          <t xml:space="preserve">
calculated based on 2009-2017 IMF projections
</t>
        </r>
      </text>
    </comment>
  </commentList>
</comments>
</file>

<file path=xl/comments2.xml><?xml version="1.0" encoding="utf-8"?>
<comments xmlns="http://schemas.openxmlformats.org/spreadsheetml/2006/main">
  <authors>
    <author>Richard McCann</author>
  </authors>
  <commentList>
    <comment ref="A9" authorId="0" shapeId="0">
      <text>
        <r>
          <rPr>
            <b/>
            <sz val="8"/>
            <color indexed="81"/>
            <rFont val="Tahoma"/>
            <family val="2"/>
          </rPr>
          <t>MCC:</t>
        </r>
        <r>
          <rPr>
            <sz val="8"/>
            <color indexed="81"/>
            <rFont val="Tahoma"/>
            <family val="2"/>
          </rPr>
          <t xml:space="preserve">
Based on GoM estimate</t>
        </r>
      </text>
    </comment>
    <comment ref="M9" authorId="0" shapeId="0">
      <text>
        <r>
          <rPr>
            <b/>
            <sz val="8"/>
            <color indexed="81"/>
            <rFont val="Tahoma"/>
            <family val="2"/>
          </rPr>
          <t>MCC:</t>
        </r>
        <r>
          <rPr>
            <sz val="8"/>
            <color indexed="81"/>
            <rFont val="Tahoma"/>
            <family val="2"/>
          </rPr>
          <t xml:space="preserve">
From CalWEA DRECP chart (Nov 11)</t>
        </r>
      </text>
    </comment>
  </commentList>
</comments>
</file>

<file path=xl/comments3.xml><?xml version="1.0" encoding="utf-8"?>
<comments xmlns="http://schemas.openxmlformats.org/spreadsheetml/2006/main">
  <authors>
    <author>yser</author>
    <author>user</author>
    <author>mcc</author>
  </authors>
  <commentList>
    <comment ref="D10" authorId="0" shapeId="0">
      <text>
        <r>
          <rPr>
            <b/>
            <sz val="8"/>
            <color indexed="81"/>
            <rFont val="Tahoma"/>
            <family val="2"/>
          </rPr>
          <t>MCC:</t>
        </r>
        <r>
          <rPr>
            <sz val="8"/>
            <color indexed="81"/>
            <rFont val="Tahoma"/>
            <family val="2"/>
          </rPr>
          <t xml:space="preserve">
Source: XacBank</t>
        </r>
      </text>
    </comment>
    <comment ref="H10" authorId="0" shapeId="0">
      <text>
        <r>
          <rPr>
            <b/>
            <sz val="8"/>
            <color indexed="81"/>
            <rFont val="Tahoma"/>
            <family val="2"/>
          </rPr>
          <t>MCC:</t>
        </r>
        <r>
          <rPr>
            <sz val="8"/>
            <color indexed="81"/>
            <rFont val="Tahoma"/>
            <family val="2"/>
          </rPr>
          <t xml:space="preserve">
"Old Stove" costs $25
Source:  GTZ</t>
        </r>
      </text>
    </comment>
    <comment ref="F11" authorId="0" shapeId="0">
      <text>
        <r>
          <rPr>
            <b/>
            <sz val="8"/>
            <color indexed="81"/>
            <rFont val="Tahoma"/>
            <family val="2"/>
          </rPr>
          <t>MCC:</t>
        </r>
        <r>
          <rPr>
            <sz val="8"/>
            <color indexed="81"/>
            <rFont val="Tahoma"/>
            <family val="2"/>
          </rPr>
          <t xml:space="preserve">
Source:  XacBank</t>
        </r>
      </text>
    </comment>
    <comment ref="D12" authorId="1" shapeId="0">
      <text>
        <r>
          <rPr>
            <b/>
            <sz val="8"/>
            <color indexed="81"/>
            <rFont val="Tahoma"/>
            <family val="2"/>
          </rPr>
          <t>MCC:</t>
        </r>
        <r>
          <rPr>
            <sz val="8"/>
            <color indexed="81"/>
            <rFont val="Tahoma"/>
            <family val="2"/>
          </rPr>
          <t xml:space="preserve">
Source:  JICA</t>
        </r>
      </text>
    </comment>
    <comment ref="D13" authorId="1" shapeId="0">
      <text>
        <r>
          <rPr>
            <b/>
            <sz val="8"/>
            <color indexed="81"/>
            <rFont val="Tahoma"/>
            <family val="2"/>
          </rPr>
          <t>MCC:</t>
        </r>
        <r>
          <rPr>
            <sz val="8"/>
            <color indexed="81"/>
            <rFont val="Tahoma"/>
            <family val="2"/>
          </rPr>
          <t xml:space="preserve">
Source: JICA</t>
        </r>
      </text>
    </comment>
    <comment ref="D17" authorId="0" shapeId="0">
      <text>
        <r>
          <rPr>
            <b/>
            <sz val="8"/>
            <color indexed="81"/>
            <rFont val="Tahoma"/>
            <family val="2"/>
          </rPr>
          <t>MCC:</t>
        </r>
        <r>
          <rPr>
            <sz val="8"/>
            <color indexed="81"/>
            <rFont val="Tahoma"/>
            <family val="2"/>
          </rPr>
          <t xml:space="preserve">
Source: GTZ - # of panel apartment buildings in UB</t>
        </r>
      </text>
    </comment>
    <comment ref="F17" authorId="0" shapeId="0">
      <text>
        <r>
          <rPr>
            <b/>
            <sz val="8"/>
            <color indexed="81"/>
            <rFont val="Tahoma"/>
            <family val="2"/>
          </rPr>
          <t>MCC:</t>
        </r>
        <r>
          <rPr>
            <sz val="8"/>
            <color indexed="81"/>
            <rFont val="Tahoma"/>
            <family val="2"/>
          </rPr>
          <t xml:space="preserve">
Source: GTZ</t>
        </r>
      </text>
    </comment>
    <comment ref="H49" authorId="2" shapeId="0">
      <text>
        <r>
          <rPr>
            <b/>
            <sz val="9"/>
            <color indexed="81"/>
            <rFont val="Tahoma"/>
            <family val="2"/>
          </rPr>
          <t>Marissa:</t>
        </r>
        <r>
          <rPr>
            <sz val="9"/>
            <color indexed="81"/>
            <rFont val="Tahoma"/>
            <family val="2"/>
          </rPr>
          <t xml:space="preserve">
Is there a title for chart? What does it show?</t>
        </r>
      </text>
    </comment>
  </commentList>
</comments>
</file>

<file path=xl/comments4.xml><?xml version="1.0" encoding="utf-8"?>
<comments xmlns="http://schemas.openxmlformats.org/spreadsheetml/2006/main">
  <authors>
    <author>Tim Breitbarth</author>
    <author>Ashley</author>
  </authors>
  <commentList>
    <comment ref="A7" authorId="0" shapeId="0">
      <text>
        <r>
          <rPr>
            <b/>
            <sz val="8"/>
            <color indexed="81"/>
            <rFont val="Tahoma"/>
            <family val="2"/>
          </rPr>
          <t>MCC:</t>
        </r>
        <r>
          <rPr>
            <sz val="8"/>
            <color indexed="81"/>
            <rFont val="Tahoma"/>
            <family val="2"/>
          </rPr>
          <t xml:space="preserve">
All emission projections come from the Guttikunda report</t>
        </r>
      </text>
    </comment>
    <comment ref="A14" authorId="0" shapeId="0">
      <text>
        <r>
          <rPr>
            <b/>
            <sz val="8"/>
            <color indexed="81"/>
            <rFont val="Tahoma"/>
            <family val="2"/>
          </rPr>
          <t>MCC:</t>
        </r>
        <r>
          <rPr>
            <sz val="8"/>
            <color indexed="81"/>
            <rFont val="Tahoma"/>
            <family val="2"/>
          </rPr>
          <t xml:space="preserve">
All emission projections come from the Guttikunda report</t>
        </r>
      </text>
    </comment>
    <comment ref="A35" authorId="0" shapeId="0">
      <text>
        <r>
          <rPr>
            <b/>
            <sz val="8"/>
            <color indexed="81"/>
            <rFont val="Tahoma"/>
            <family val="2"/>
          </rPr>
          <t>MCC:</t>
        </r>
        <r>
          <rPr>
            <sz val="8"/>
            <color indexed="81"/>
            <rFont val="Tahoma"/>
            <family val="2"/>
          </rPr>
          <t xml:space="preserve">
Based on the share of 2007 concentration levels attributed to power plants, as reported in the World Bank discussion paper.  In this analysis, the concentration levels are assumed to rise at the same rate as total emissions.</t>
        </r>
      </text>
    </comment>
    <comment ref="A69" authorId="1" shapeId="0">
      <text>
        <r>
          <rPr>
            <b/>
            <sz val="9"/>
            <color indexed="81"/>
            <rFont val="Tahoma"/>
            <family val="2"/>
          </rPr>
          <t>MCC:</t>
        </r>
        <r>
          <rPr>
            <sz val="9"/>
            <color indexed="81"/>
            <rFont val="Tahoma"/>
            <family val="2"/>
          </rPr>
          <t xml:space="preserve">
JICA esetimate from 2011 air quality review Annex A
</t>
        </r>
      </text>
    </comment>
  </commentList>
</comments>
</file>

<file path=xl/comments5.xml><?xml version="1.0" encoding="utf-8"?>
<comments xmlns="http://schemas.openxmlformats.org/spreadsheetml/2006/main">
  <authors>
    <author>Tim Breitbarth</author>
  </authors>
  <commentList>
    <comment ref="A7" authorId="0" shapeId="0">
      <text>
        <r>
          <rPr>
            <b/>
            <sz val="8"/>
            <color indexed="81"/>
            <rFont val="Tahoma"/>
            <family val="2"/>
          </rPr>
          <t>MCC:</t>
        </r>
        <r>
          <rPr>
            <sz val="8"/>
            <color indexed="81"/>
            <rFont val="Tahoma"/>
            <family val="2"/>
          </rPr>
          <t xml:space="preserve">
Source: 2010 NSO statistical yearbook.</t>
        </r>
      </text>
    </comment>
    <comment ref="I51" authorId="0" shapeId="0">
      <text>
        <r>
          <rPr>
            <b/>
            <sz val="8"/>
            <color indexed="81"/>
            <rFont val="Tahoma"/>
            <family val="2"/>
          </rPr>
          <t>MCC:</t>
        </r>
        <r>
          <rPr>
            <sz val="8"/>
            <color indexed="81"/>
            <rFont val="Tahoma"/>
            <family val="2"/>
          </rPr>
          <t xml:space="preserve">
Disability-adjusted life years.</t>
        </r>
      </text>
    </comment>
    <comment ref="C53" authorId="0" shapeId="0">
      <text>
        <r>
          <rPr>
            <b/>
            <sz val="8"/>
            <color indexed="81"/>
            <rFont val="Tahoma"/>
            <family val="2"/>
          </rPr>
          <t>MCC:</t>
        </r>
        <r>
          <rPr>
            <sz val="8"/>
            <color indexed="81"/>
            <rFont val="Tahoma"/>
            <family val="2"/>
          </rPr>
          <t xml:space="preserve">
Mongolians' estimate (Dr. Saijaa)</t>
        </r>
      </text>
    </comment>
    <comment ref="C54" authorId="0" shapeId="0">
      <text>
        <r>
          <rPr>
            <b/>
            <sz val="8"/>
            <color indexed="81"/>
            <rFont val="Tahoma"/>
            <family val="2"/>
          </rPr>
          <t>MCC:</t>
        </r>
        <r>
          <rPr>
            <sz val="8"/>
            <color indexed="81"/>
            <rFont val="Tahoma"/>
            <family val="2"/>
          </rPr>
          <t xml:space="preserve">
Mongolians' estimate (Dr. Saijaa)</t>
        </r>
      </text>
    </comment>
    <comment ref="C55" authorId="0" shapeId="0">
      <text>
        <r>
          <rPr>
            <b/>
            <sz val="8"/>
            <color indexed="81"/>
            <rFont val="Tahoma"/>
            <family val="2"/>
          </rPr>
          <t>MCC:</t>
        </r>
        <r>
          <rPr>
            <sz val="8"/>
            <color indexed="81"/>
            <rFont val="Tahoma"/>
            <family val="2"/>
          </rPr>
          <t xml:space="preserve">
Mongolians' estimate (Dr. Saijaa)</t>
        </r>
      </text>
    </comment>
    <comment ref="C64" authorId="0" shapeId="0">
      <text>
        <r>
          <rPr>
            <b/>
            <sz val="8"/>
            <color indexed="81"/>
            <rFont val="Tahoma"/>
            <family val="2"/>
          </rPr>
          <t>MCC:</t>
        </r>
        <r>
          <rPr>
            <sz val="8"/>
            <color indexed="81"/>
            <rFont val="Tahoma"/>
            <family val="2"/>
          </rPr>
          <t xml:space="preserve">
from World Bank discussion paper</t>
        </r>
      </text>
    </comment>
    <comment ref="D64" authorId="0" shapeId="0">
      <text>
        <r>
          <rPr>
            <b/>
            <sz val="8"/>
            <color indexed="81"/>
            <rFont val="Tahoma"/>
            <family val="2"/>
          </rPr>
          <t>MCC:</t>
        </r>
        <r>
          <rPr>
            <sz val="8"/>
            <color indexed="81"/>
            <rFont val="Tahoma"/>
            <family val="2"/>
          </rPr>
          <t xml:space="preserve">
from World Bank discussion paper, unless noted</t>
        </r>
      </text>
    </comment>
    <comment ref="E64" authorId="0" shapeId="0">
      <text>
        <r>
          <rPr>
            <b/>
            <sz val="8"/>
            <color indexed="81"/>
            <rFont val="Tahoma"/>
            <family val="2"/>
          </rPr>
          <t>MCC:</t>
        </r>
        <r>
          <rPr>
            <sz val="8"/>
            <color indexed="81"/>
            <rFont val="Tahoma"/>
            <family val="2"/>
          </rPr>
          <t xml:space="preserve">
from World Bank discussion paper</t>
        </r>
      </text>
    </comment>
    <comment ref="D67" authorId="0" shapeId="0">
      <text>
        <r>
          <rPr>
            <b/>
            <sz val="8"/>
            <color indexed="81"/>
            <rFont val="Tahoma"/>
            <family val="2"/>
          </rPr>
          <t>MCC:</t>
        </r>
        <r>
          <rPr>
            <sz val="8"/>
            <color indexed="81"/>
            <rFont val="Tahoma"/>
            <family val="2"/>
          </rPr>
          <t xml:space="preserve">
Assumption</t>
        </r>
      </text>
    </comment>
    <comment ref="D68" authorId="0" shapeId="0">
      <text>
        <r>
          <rPr>
            <b/>
            <sz val="8"/>
            <color indexed="81"/>
            <rFont val="Tahoma"/>
            <family val="2"/>
          </rPr>
          <t>MCC:</t>
        </r>
        <r>
          <rPr>
            <sz val="8"/>
            <color indexed="81"/>
            <rFont val="Tahoma"/>
            <family val="2"/>
          </rPr>
          <t xml:space="preserve">
Assumption</t>
        </r>
      </text>
    </comment>
  </commentList>
</comments>
</file>

<file path=xl/comments6.xml><?xml version="1.0" encoding="utf-8"?>
<comments xmlns="http://schemas.openxmlformats.org/spreadsheetml/2006/main">
  <authors>
    <author xml:space="preserve"> </author>
    <author>Tim Breitbarth</author>
  </authors>
  <commentList>
    <comment ref="B14" authorId="0" shapeId="0">
      <text>
        <r>
          <rPr>
            <b/>
            <sz val="8"/>
            <color indexed="81"/>
            <rFont val="Tahoma"/>
            <family val="2"/>
          </rPr>
          <t xml:space="preserve">MCC:
</t>
        </r>
        <r>
          <rPr>
            <sz val="8"/>
            <color indexed="81"/>
            <rFont val="Tahoma"/>
            <family val="2"/>
          </rPr>
          <t xml:space="preserve">2009-2017 updated with IMF data converted to US dollars with a 2009 base
</t>
        </r>
      </text>
    </comment>
    <comment ref="D32" authorId="1" shapeId="0">
      <text>
        <r>
          <rPr>
            <b/>
            <sz val="8"/>
            <color indexed="81"/>
            <rFont val="Tahoma"/>
            <family val="2"/>
          </rPr>
          <t>MCC:</t>
        </r>
        <r>
          <rPr>
            <sz val="8"/>
            <color indexed="81"/>
            <rFont val="Tahoma"/>
            <family val="2"/>
          </rPr>
          <t xml:space="preserve">
as experienced by firms in Ulaanbaatar</t>
        </r>
      </text>
    </comment>
    <comment ref="D33" authorId="1" shapeId="0">
      <text>
        <r>
          <rPr>
            <b/>
            <sz val="8"/>
            <color indexed="81"/>
            <rFont val="Tahoma"/>
            <family val="2"/>
          </rPr>
          <t>MCC:</t>
        </r>
        <r>
          <rPr>
            <sz val="8"/>
            <color indexed="81"/>
            <rFont val="Tahoma"/>
            <family val="2"/>
          </rPr>
          <t xml:space="preserve">
as experienced by firms in Ulaanbaatar</t>
        </r>
      </text>
    </comment>
    <comment ref="C39" authorId="1" shapeId="0">
      <text>
        <r>
          <rPr>
            <b/>
            <sz val="8"/>
            <color indexed="81"/>
            <rFont val="Tahoma"/>
            <family val="2"/>
          </rPr>
          <t>MCC:</t>
        </r>
        <r>
          <rPr>
            <sz val="8"/>
            <color indexed="81"/>
            <rFont val="Tahoma"/>
            <family val="2"/>
          </rPr>
          <t xml:space="preserve">
Mayor says 57%, calculations based on World Bank discussion paper suggest 47%.  This analysis splits the difference by using 52%.</t>
        </r>
      </text>
    </comment>
  </commentList>
</comments>
</file>

<file path=xl/comments7.xml><?xml version="1.0" encoding="utf-8"?>
<comments xmlns="http://schemas.openxmlformats.org/spreadsheetml/2006/main">
  <authors>
    <author>Ashley</author>
  </authors>
  <commentList>
    <comment ref="A5" authorId="0" shapeId="0">
      <text>
        <r>
          <rPr>
            <b/>
            <sz val="9"/>
            <color indexed="81"/>
            <rFont val="Tahoma"/>
            <family val="2"/>
          </rPr>
          <t>MCC:</t>
        </r>
        <r>
          <rPr>
            <sz val="9"/>
            <color indexed="81"/>
            <rFont val="Tahoma"/>
            <family val="2"/>
          </rPr>
          <t xml:space="preserve"> Source:
http://www.ncbi.nlm.nih.gov/pubmed/12317941</t>
        </r>
      </text>
    </comment>
    <comment ref="D5" authorId="0" shapeId="0">
      <text>
        <r>
          <rPr>
            <b/>
            <sz val="9"/>
            <color indexed="81"/>
            <rFont val="Tahoma"/>
            <family val="2"/>
          </rPr>
          <t>MCC:</t>
        </r>
        <r>
          <rPr>
            <sz val="9"/>
            <color indexed="81"/>
            <rFont val="Tahoma"/>
            <family val="2"/>
          </rPr>
          <t xml:space="preserve"> Source:
https://www.cia.gov/library/publications/the-world-factbook/geos/mg.html</t>
        </r>
      </text>
    </comment>
    <comment ref="A8" authorId="0" shapeId="0">
      <text>
        <r>
          <rPr>
            <b/>
            <sz val="9"/>
            <color indexed="81"/>
            <rFont val="Tahoma"/>
            <family val="2"/>
          </rPr>
          <t>MCC:</t>
        </r>
        <r>
          <rPr>
            <sz val="9"/>
            <color indexed="81"/>
            <rFont val="Tahoma"/>
            <family val="2"/>
          </rPr>
          <t xml:space="preserve"> Source: 
http://www.google.com/url?sa=t&amp;rct=j&amp;q=&amp;esrc=s&amp;source=web&amp;cd=11&amp;cts=1330975795500&amp;ved=0CCMQFjAAOAo&amp;url=http%3A%2F%2Fwww.ers.usda.gov%2Fdata%2Fmacroeconomics%2FData%2FProjectedPopulationValues.xls&amp;ei=rhBVT56rIM_ciQKnlvG2Bg&amp;usg=AFQjCNFaPUJ2xowx_mh61qPGGg7zPQRdzw&amp;sig2=rlKjx5LUFPNUDhF6cYh_Mw</t>
        </r>
      </text>
    </comment>
    <comment ref="A11" authorId="0" shapeId="0">
      <text>
        <r>
          <rPr>
            <b/>
            <sz val="9"/>
            <color indexed="81"/>
            <rFont val="Tahoma"/>
            <family val="2"/>
          </rPr>
          <t>MCC:</t>
        </r>
        <r>
          <rPr>
            <sz val="9"/>
            <color indexed="81"/>
            <rFont val="Tahoma"/>
            <family val="2"/>
          </rPr>
          <t xml:space="preserve"> Source:
http://data.worldbank.org/country/mongolia</t>
        </r>
      </text>
    </comment>
    <comment ref="A13" authorId="0" shapeId="0">
      <text>
        <r>
          <rPr>
            <b/>
            <sz val="9"/>
            <color indexed="81"/>
            <rFont val="Tahoma"/>
            <family val="2"/>
          </rPr>
          <t xml:space="preserve">MCC: </t>
        </r>
        <r>
          <rPr>
            <sz val="9"/>
            <color indexed="81"/>
            <rFont val="Tahoma"/>
            <family val="2"/>
          </rPr>
          <t xml:space="preserve">Source: 
www.imf.org/external/pubs/ft/weo/2012/01/weodata/
</t>
        </r>
      </text>
    </comment>
    <comment ref="A15" authorId="0" shapeId="0">
      <text>
        <r>
          <rPr>
            <b/>
            <sz val="9"/>
            <color indexed="81"/>
            <rFont val="Tahoma"/>
            <family val="2"/>
          </rPr>
          <t>MCC:</t>
        </r>
        <r>
          <rPr>
            <sz val="9"/>
            <color indexed="81"/>
            <rFont val="Tahoma"/>
            <family val="2"/>
          </rPr>
          <t xml:space="preserve"> Source:
http://www.jica.go.jp/project/english/mongolia/002/outline/index.html
</t>
        </r>
      </text>
    </comment>
    <comment ref="D16" authorId="0" shapeId="0">
      <text>
        <r>
          <rPr>
            <b/>
            <sz val="9"/>
            <color indexed="81"/>
            <rFont val="Tahoma"/>
            <family val="2"/>
          </rPr>
          <t>MCC:</t>
        </r>
        <r>
          <rPr>
            <sz val="9"/>
            <color indexed="81"/>
            <rFont val="Tahoma"/>
            <family val="2"/>
          </rPr>
          <t xml:space="preserve"> Source:
2009 values based on NSO statistical yearbook 2010
</t>
        </r>
      </text>
    </comment>
    <comment ref="A22" authorId="0" shapeId="0">
      <text>
        <r>
          <rPr>
            <b/>
            <sz val="9"/>
            <color indexed="81"/>
            <rFont val="Tahoma"/>
            <family val="2"/>
          </rPr>
          <t>MCC:</t>
        </r>
        <r>
          <rPr>
            <sz val="9"/>
            <color indexed="81"/>
            <rFont val="Tahoma"/>
            <family val="2"/>
          </rPr>
          <t xml:space="preserve"> Source:
www.imf.org/external/pubs/ft/weo/2012/01/weodata/
</t>
        </r>
      </text>
    </comment>
    <comment ref="A24" authorId="0" shapeId="0">
      <text>
        <r>
          <rPr>
            <b/>
            <sz val="9"/>
            <color indexed="81"/>
            <rFont val="Tahoma"/>
            <family val="2"/>
          </rPr>
          <t>MCC:</t>
        </r>
        <r>
          <rPr>
            <sz val="9"/>
            <color indexed="81"/>
            <rFont val="Tahoma"/>
            <family val="2"/>
          </rPr>
          <t xml:space="preserve"> Source:
http://www.associm.com/newsletters/pdf/INFRASTRUCTURE_final.pdf
</t>
        </r>
      </text>
    </comment>
  </commentList>
</comments>
</file>

<file path=xl/sharedStrings.xml><?xml version="1.0" encoding="utf-8"?>
<sst xmlns="http://schemas.openxmlformats.org/spreadsheetml/2006/main" count="1036" uniqueCount="611">
  <si>
    <t>Revenues</t>
  </si>
  <si>
    <t>Total Revenues</t>
  </si>
  <si>
    <t>Contingency</t>
  </si>
  <si>
    <t>Demolition costs end of project</t>
  </si>
  <si>
    <t>Scrap value of project</t>
  </si>
  <si>
    <t>Property tax</t>
  </si>
  <si>
    <t>Financing Costs During Construction</t>
  </si>
  <si>
    <t>Interest on reserve account</t>
  </si>
  <si>
    <t>Interest on Cash</t>
  </si>
  <si>
    <t xml:space="preserve">Corporate tax </t>
  </si>
  <si>
    <t>Saved Clean Water</t>
  </si>
  <si>
    <t>Project Description</t>
  </si>
  <si>
    <t>Summary</t>
  </si>
  <si>
    <t>Components</t>
  </si>
  <si>
    <t>Economic Rationale</t>
  </si>
  <si>
    <t>The Wind Project includes:</t>
  </si>
  <si>
    <t xml:space="preserve">2.      In terms of capacity, the Salkhit wind park is estimated to generate the amount of electricity equivalent to that of the Power Plant No. 2, annually allow saving of 1.2 million tons of potable water and 130 thousand tons of coal. The wind park will curb the emission of 206,200 tons of CO2 annually equivalent in the atmosphere or it will be equivalent to the establishment of approximately 460 floral gardens of the size of the Ulaanbaatar central children’s park. </t>
  </si>
  <si>
    <t xml:space="preserve">1.     The 50MW Salkhit Wind park will comprise 25 wind turbines of 2,0 MW capacity each, produce and deliver about 130 million kWh of electricity annually to the Central grid. This project requires a total investment of over 89 million USD.  </t>
  </si>
  <si>
    <t>3       This project will help to decrease the energy shortage, faced by current energy supply sector in Mongolia.</t>
  </si>
  <si>
    <t xml:space="preserve">  Reasonable benefits will be drawn from operation of Wind Park in Mongolia, such as reducing health costs, saving non-renewable resources, and creating certain number of jobs, thus contributing to the alleviation of poverty, development and economic growth of Mongolia.</t>
  </si>
  <si>
    <t xml:space="preserve">   The most immediate economic benefit of the project is reducing health costs by reducing greenhouse gas emission and saving potable water. </t>
  </si>
  <si>
    <t>Assumptions</t>
  </si>
  <si>
    <t>ERR (20 years)</t>
  </si>
  <si>
    <t xml:space="preserve">          a. 2010                 0.07USD/kWh</t>
  </si>
  <si>
    <t xml:space="preserve">          b. 2011-2013         0.08USD/kWh</t>
  </si>
  <si>
    <t xml:space="preserve">          c. 2014-2018         0.085USD/kWh</t>
  </si>
  <si>
    <t xml:space="preserve">          d. 2019-2023         0.090USD/kWh</t>
  </si>
  <si>
    <t xml:space="preserve">          e. 2024-2028         0.100USD/kWh</t>
  </si>
  <si>
    <t xml:space="preserve">          f. 2029-2030         0.123USD/kWh</t>
  </si>
  <si>
    <t>Discount rate</t>
  </si>
  <si>
    <t>Benefits</t>
  </si>
  <si>
    <t>Landlease</t>
  </si>
  <si>
    <t>Administration</t>
  </si>
  <si>
    <t>Grid line maintenance, metering</t>
  </si>
  <si>
    <t>Electricity use</t>
  </si>
  <si>
    <t>Telephone</t>
  </si>
  <si>
    <t>Insurance yr 1-2</t>
  </si>
  <si>
    <t>Insurance yr 3+</t>
  </si>
  <si>
    <t>Maintenance yr 1-2</t>
  </si>
  <si>
    <t>Maintenance/spare parts yr 3+</t>
  </si>
  <si>
    <t>Large maintenance yr 6-15</t>
  </si>
  <si>
    <t>Total Benefits</t>
  </si>
  <si>
    <t>Project investment</t>
  </si>
  <si>
    <t>Financing</t>
  </si>
  <si>
    <t>Inflation</t>
  </si>
  <si>
    <t>Other Income</t>
  </si>
  <si>
    <t>Total Project Revenue</t>
  </si>
  <si>
    <t>Senior debt (interest+principle)</t>
  </si>
  <si>
    <t>Equity IRR</t>
  </si>
  <si>
    <t>By reducing greenhouse emission, we estimate to reduce the health costs bared by UB citizens (respiratory disease, such as cold, flu, pneumonia, etc.)</t>
  </si>
  <si>
    <t xml:space="preserve">Wind Park will save 1.2 million tons of potable water per year, converter it to liters, it is 1.2 billion liters per year. </t>
  </si>
  <si>
    <t>The average monthly salary is assumed to be 200,000MNT, and the unemployment rate is 7.3% (from Ministry of Finance website).</t>
  </si>
  <si>
    <t>Consumer tariff (end-user) will increase over time as follows:</t>
  </si>
  <si>
    <r>
      <t xml:space="preserve">Inflation base if </t>
    </r>
    <r>
      <rPr>
        <b/>
        <sz val="10"/>
        <rFont val="Arial"/>
        <family val="2"/>
      </rPr>
      <t>5%</t>
    </r>
    <r>
      <rPr>
        <sz val="10"/>
        <rFont val="Arial"/>
        <family val="2"/>
        <charset val="204"/>
      </rPr>
      <t xml:space="preserve"> on average during the project life.</t>
    </r>
  </si>
  <si>
    <r>
      <t xml:space="preserve">Ministry of Mineral Resource and Energy, seeking </t>
    </r>
    <r>
      <rPr>
        <b/>
        <sz val="10"/>
        <rFont val="Arial"/>
        <family val="2"/>
        <charset val="204"/>
      </rPr>
      <t>14.732 million USD</t>
    </r>
    <r>
      <rPr>
        <sz val="10"/>
        <rFont val="Arial"/>
        <family val="2"/>
        <charset val="204"/>
      </rPr>
      <t xml:space="preserve"> as subsidy and investment in regards to Salkhit Wind Park Project from MCC.</t>
    </r>
  </si>
  <si>
    <r>
      <t xml:space="preserve">          a. </t>
    </r>
    <r>
      <rPr>
        <b/>
        <i/>
        <sz val="10"/>
        <rFont val="Arial"/>
        <family val="2"/>
      </rPr>
      <t>2.470 million USD</t>
    </r>
    <r>
      <rPr>
        <sz val="10"/>
        <rFont val="Arial"/>
        <family val="2"/>
        <charset val="204"/>
      </rPr>
      <t xml:space="preserve"> as investment to the Grid expansion and upgrade, training, technical assistance (2010)</t>
    </r>
  </si>
  <si>
    <t xml:space="preserve">The Salkhit Wind Park will employ about 120 employees on 1st year and 40 - 50 employees from year 2 until end of the project. </t>
  </si>
  <si>
    <t>Employment (labor opportunity cost)</t>
  </si>
  <si>
    <t>illnesses/person/year</t>
  </si>
  <si>
    <t>people ill/year</t>
  </si>
  <si>
    <t>cases/year</t>
  </si>
  <si>
    <t>reduction in CO2</t>
  </si>
  <si>
    <t>MNT/illness</t>
  </si>
  <si>
    <t>MNT/US$</t>
  </si>
  <si>
    <t>MNT/month</t>
  </si>
  <si>
    <t>MNT/year</t>
  </si>
  <si>
    <t>unemployment</t>
  </si>
  <si>
    <t>Subsidies</t>
  </si>
  <si>
    <t>Without Project</t>
  </si>
  <si>
    <t>Large particulate matter</t>
  </si>
  <si>
    <t>Small particulate matter</t>
  </si>
  <si>
    <t>Sulfur dioxide</t>
  </si>
  <si>
    <t>With project</t>
  </si>
  <si>
    <t>Nitrogen oxides</t>
  </si>
  <si>
    <t>Difference</t>
  </si>
  <si>
    <t>Total</t>
  </si>
  <si>
    <t>Health costs with project</t>
  </si>
  <si>
    <t>Health costs without project</t>
  </si>
  <si>
    <t>Costs</t>
  </si>
  <si>
    <t>Newcom operating costs</t>
  </si>
  <si>
    <t>Tariff subsidy by MCC</t>
  </si>
  <si>
    <t>Maximum Market</t>
  </si>
  <si>
    <t>% Market</t>
  </si>
  <si>
    <t>Cost</t>
  </si>
  <si>
    <t>% subsidy</t>
  </si>
  <si>
    <t>Cost to Consumer</t>
  </si>
  <si>
    <t>TOTAL INVESTMENT COST</t>
  </si>
  <si>
    <t>CONSUMPTION</t>
  </si>
  <si>
    <t>Energy Efficiency - Ger District Residents</t>
  </si>
  <si>
    <t>a</t>
  </si>
  <si>
    <t>Energy efficient Stoves or better</t>
  </si>
  <si>
    <t>b</t>
  </si>
  <si>
    <t>Ger Insulation or better</t>
  </si>
  <si>
    <t>c</t>
  </si>
  <si>
    <t>HOBs (JICA findings)</t>
  </si>
  <si>
    <t>d</t>
  </si>
  <si>
    <t>Green home etc,.</t>
  </si>
  <si>
    <t>e</t>
  </si>
  <si>
    <t>Small house insulation</t>
  </si>
  <si>
    <t>f</t>
  </si>
  <si>
    <t>Energy Efficient Mortgages</t>
  </si>
  <si>
    <t>Ulanbaataar</t>
  </si>
  <si>
    <t>Straw Bale House (UNDP)</t>
  </si>
  <si>
    <t>Pre-Cast Panel Buildings Refurbishment (GTZ)</t>
  </si>
  <si>
    <t>Other Home energy efficiency renovation including solar</t>
  </si>
  <si>
    <t>Habitat Homes (HFHI)</t>
  </si>
  <si>
    <t>BEEP Design Book (UNDP)</t>
  </si>
  <si>
    <t>g</t>
  </si>
  <si>
    <t>Free Stove with trade in</t>
  </si>
  <si>
    <t>Subtototal</t>
  </si>
  <si>
    <t>Facility for Alternative Fuels</t>
  </si>
  <si>
    <t>Price Equalization Pymts</t>
  </si>
  <si>
    <t>Public Awareness Campaign</t>
  </si>
  <si>
    <t>TOTAL CONSUMPTION</t>
  </si>
  <si>
    <t>PRODUCTION</t>
  </si>
  <si>
    <t>Wind Energy</t>
  </si>
  <si>
    <t>Tariff Subsidy</t>
  </si>
  <si>
    <t>SCADA System</t>
  </si>
  <si>
    <t>TOTAL MCC INVESTMENT</t>
  </si>
  <si>
    <t>Operational cost/Program Admin</t>
  </si>
  <si>
    <t>GRAND TOTAL MCC INVESTMENT</t>
  </si>
  <si>
    <t>MCC Proposed Reallocation Costs</t>
  </si>
  <si>
    <t>Share of total</t>
  </si>
  <si>
    <t>Admin expenses</t>
  </si>
  <si>
    <t>MCC project admin costs</t>
  </si>
  <si>
    <t>USD/kWh</t>
  </si>
  <si>
    <t>2011-2013</t>
  </si>
  <si>
    <t>2014-2018</t>
  </si>
  <si>
    <t>2019-2023</t>
  </si>
  <si>
    <t>2024-2028</t>
  </si>
  <si>
    <t>2029-2030</t>
  </si>
  <si>
    <t>Electricity generated (kWh)</t>
  </si>
  <si>
    <t>Total costs</t>
  </si>
  <si>
    <t>Health cost savings</t>
  </si>
  <si>
    <t>Newcom revenues</t>
  </si>
  <si>
    <t>Value of water saved</t>
  </si>
  <si>
    <t>Total benefits</t>
  </si>
  <si>
    <t>Net benefits</t>
  </si>
  <si>
    <t>ERR:</t>
  </si>
  <si>
    <t>NPV (10%):</t>
  </si>
  <si>
    <t>MCC tariff subsidy?</t>
  </si>
  <si>
    <t>yes</t>
  </si>
  <si>
    <t>no</t>
  </si>
  <si>
    <t>Key Assumptions</t>
  </si>
  <si>
    <t>Percentage of total emissions</t>
  </si>
  <si>
    <t>Power production</t>
  </si>
  <si>
    <t>Emissions (tons/year)</t>
  </si>
  <si>
    <r>
      <t xml:space="preserve">Source:  </t>
    </r>
    <r>
      <rPr>
        <i/>
        <sz val="11"/>
        <rFont val="Calibri"/>
        <family val="2"/>
        <scheme val="minor"/>
      </rPr>
      <t>The World Bank. "Air Pollution in Ulaanbaatar: Proposed assessment of current situation and effects of abatement measures." Discussion paper,  June 2009.</t>
    </r>
  </si>
  <si>
    <t>Treatments/person/year</t>
  </si>
  <si>
    <t>Health Benefits</t>
  </si>
  <si>
    <t>Population of Ulaan Baatar</t>
  </si>
  <si>
    <t>Population growth rate</t>
  </si>
  <si>
    <t>per year</t>
  </si>
  <si>
    <t>Treatment cost per respiratory case</t>
  </si>
  <si>
    <t>Annual cases of respiratory illness</t>
  </si>
  <si>
    <t>Percent of population treated each year</t>
  </si>
  <si>
    <t>Exchange rate</t>
  </si>
  <si>
    <t>Total health cost savings</t>
  </si>
  <si>
    <t>GWh</t>
  </si>
  <si>
    <t>Power produced annually by traditional power plants</t>
  </si>
  <si>
    <t>emissions/GWh</t>
  </si>
  <si>
    <t>Include employment benefits?</t>
  </si>
  <si>
    <t>Employment (opportunity cost of labor)</t>
  </si>
  <si>
    <t>Premature death</t>
  </si>
  <si>
    <t>Chronic bronchitis</t>
  </si>
  <si>
    <t>Respiratory hospital admissions</t>
  </si>
  <si>
    <t>Exposure-response coefficient</t>
  </si>
  <si>
    <t>Baseline incidence</t>
  </si>
  <si>
    <t>Health end point assumptions</t>
  </si>
  <si>
    <t>CVD hospital admissions</t>
  </si>
  <si>
    <t>Reduced emissions of large particulate matter</t>
  </si>
  <si>
    <t>Reduced relative risks</t>
  </si>
  <si>
    <t>Cases avoided</t>
  </si>
  <si>
    <r>
      <t>Maximum concentrations of emissions from power plants (</t>
    </r>
    <r>
      <rPr>
        <u/>
        <sz val="11"/>
        <rFont val="Calibri"/>
        <family val="2"/>
      </rPr>
      <t>µg/m</t>
    </r>
    <r>
      <rPr>
        <u/>
        <vertAlign val="superscript"/>
        <sz val="11"/>
        <rFont val="Calibri"/>
        <family val="2"/>
      </rPr>
      <t>3</t>
    </r>
    <r>
      <rPr>
        <u/>
        <sz val="11"/>
        <rFont val="Calibri"/>
        <family val="2"/>
      </rPr>
      <t>)</t>
    </r>
  </si>
  <si>
    <t>Based on willingness-to-pay methodology</t>
  </si>
  <si>
    <t>Include value of water saved?</t>
  </si>
  <si>
    <t>Reduced emissions of small particulate matter</t>
  </si>
  <si>
    <t>Health savings methodology used</t>
  </si>
  <si>
    <t>Treatment costs</t>
  </si>
  <si>
    <t>Willingness-to-pay</t>
  </si>
  <si>
    <t>Based on estimation of treatment costs</t>
  </si>
  <si>
    <t>Exposure to air pollution</t>
  </si>
  <si>
    <t>Cost/kWh</t>
  </si>
  <si>
    <t>Avoidance cost (WTP)</t>
  </si>
  <si>
    <t>Methodology</t>
  </si>
  <si>
    <r>
      <t>E = ((RR-1/RR)*f</t>
    </r>
    <r>
      <rPr>
        <vertAlign val="subscript"/>
        <sz val="11"/>
        <rFont val="Calibri"/>
        <family val="2"/>
        <scheme val="minor"/>
      </rPr>
      <t>P</t>
    </r>
    <r>
      <rPr>
        <sz val="11"/>
        <rFont val="Calibri"/>
        <family val="2"/>
        <scheme val="minor"/>
      </rPr>
      <t>*POP</t>
    </r>
  </si>
  <si>
    <t>Where:</t>
  </si>
  <si>
    <t>E = number of "excess" cases avoided</t>
  </si>
  <si>
    <t>RR = relative risk</t>
  </si>
  <si>
    <t>POP = population</t>
  </si>
  <si>
    <t>β = exposure-response coefficient</t>
  </si>
  <si>
    <r>
      <t>C = pollution concentration (</t>
    </r>
    <r>
      <rPr>
        <sz val="11"/>
        <rFont val="Calibri"/>
        <family val="2"/>
      </rPr>
      <t>µg/m</t>
    </r>
    <r>
      <rPr>
        <vertAlign val="superscript"/>
        <sz val="11"/>
        <rFont val="Calibri"/>
        <family val="2"/>
      </rPr>
      <t>3</t>
    </r>
    <r>
      <rPr>
        <sz val="11"/>
        <rFont val="Calibri"/>
        <family val="2"/>
      </rPr>
      <t>) without project</t>
    </r>
  </si>
  <si>
    <r>
      <t>C</t>
    </r>
    <r>
      <rPr>
        <vertAlign val="subscript"/>
        <sz val="11"/>
        <rFont val="Calibri"/>
        <family val="2"/>
        <scheme val="minor"/>
      </rPr>
      <t>t</t>
    </r>
    <r>
      <rPr>
        <sz val="11"/>
        <rFont val="Calibri"/>
        <family val="2"/>
        <scheme val="minor"/>
      </rPr>
      <t xml:space="preserve"> = pollution concentration (</t>
    </r>
    <r>
      <rPr>
        <sz val="11"/>
        <rFont val="Calibri"/>
        <family val="2"/>
      </rPr>
      <t>µg/m</t>
    </r>
    <r>
      <rPr>
        <vertAlign val="superscript"/>
        <sz val="11"/>
        <rFont val="Calibri"/>
        <family val="2"/>
      </rPr>
      <t>3</t>
    </r>
    <r>
      <rPr>
        <sz val="11"/>
        <rFont val="Calibri"/>
        <family val="2"/>
      </rPr>
      <t>) with project</t>
    </r>
  </si>
  <si>
    <r>
      <t>f</t>
    </r>
    <r>
      <rPr>
        <vertAlign val="subscript"/>
        <sz val="11"/>
        <rFont val="Calibri"/>
        <family val="2"/>
        <scheme val="minor"/>
      </rPr>
      <t>P</t>
    </r>
    <r>
      <rPr>
        <sz val="11"/>
        <rFont val="Calibri"/>
        <family val="2"/>
        <scheme val="minor"/>
      </rPr>
      <t xml:space="preserve"> = current incidence rate</t>
    </r>
  </si>
  <si>
    <t>Avg. wind speed (m/s)</t>
  </si>
  <si>
    <t>Ulaan Baatar Pollution Scenarios</t>
  </si>
  <si>
    <t>Tariff subsidy in MCC financial plan</t>
  </si>
  <si>
    <t>Average annual emissions/GWh for coal plants</t>
  </si>
  <si>
    <r>
      <rPr>
        <sz val="11"/>
        <rFont val="Calibri"/>
        <family val="2"/>
        <scheme val="minor"/>
      </rPr>
      <t>&lt;</t>
    </r>
    <r>
      <rPr>
        <i/>
        <sz val="11"/>
        <rFont val="Calibri"/>
        <family val="2"/>
        <scheme val="minor"/>
      </rPr>
      <t>--- select yes/no</t>
    </r>
  </si>
  <si>
    <r>
      <rPr>
        <sz val="11"/>
        <rFont val="Calibri"/>
        <family val="2"/>
        <scheme val="minor"/>
      </rPr>
      <t>&lt;</t>
    </r>
    <r>
      <rPr>
        <i/>
        <sz val="11"/>
        <rFont val="Calibri"/>
        <family val="2"/>
        <scheme val="minor"/>
      </rPr>
      <t>--- select methodology</t>
    </r>
  </si>
  <si>
    <r>
      <t xml:space="preserve">          b. </t>
    </r>
    <r>
      <rPr>
        <b/>
        <i/>
        <sz val="10"/>
        <rFont val="Arial"/>
        <family val="2"/>
      </rPr>
      <t>7.664 million USD</t>
    </r>
    <r>
      <rPr>
        <sz val="10"/>
        <rFont val="Arial"/>
        <family val="2"/>
        <charset val="204"/>
      </rPr>
      <t xml:space="preserve"> as subsidy to lessen the impact of Wind Park introduction in the Central grid to the end-user's energy price, (2011-2013)</t>
    </r>
  </si>
  <si>
    <t>=</t>
  </si>
  <si>
    <t>kWh/yr</t>
  </si>
  <si>
    <t>Total capacity of wind farm</t>
  </si>
  <si>
    <t>Estimated capacity factor</t>
  </si>
  <si>
    <t>Rough calculation using US Dept. of Energy formula</t>
  </si>
  <si>
    <r>
      <t>AEO = .01328*D</t>
    </r>
    <r>
      <rPr>
        <vertAlign val="superscript"/>
        <sz val="11"/>
        <rFont val="Calibri"/>
        <family val="2"/>
        <scheme val="minor"/>
      </rPr>
      <t>2</t>
    </r>
    <r>
      <rPr>
        <sz val="11"/>
        <rFont val="Calibri"/>
        <family val="2"/>
        <scheme val="minor"/>
      </rPr>
      <t>*V</t>
    </r>
    <r>
      <rPr>
        <vertAlign val="superscript"/>
        <sz val="11"/>
        <rFont val="Calibri"/>
        <family val="2"/>
        <scheme val="minor"/>
      </rPr>
      <t>3</t>
    </r>
  </si>
  <si>
    <t>AEO = annual energy output (kWh/yr)</t>
  </si>
  <si>
    <t>D = rotor diameter (ft)</t>
  </si>
  <si>
    <t>V = average annual wind speed (mph)</t>
  </si>
  <si>
    <t>Vesta V80 rotor diameter</t>
  </si>
  <si>
    <t>m</t>
  </si>
  <si>
    <t>ft</t>
  </si>
  <si>
    <t>Avg. wind speed Salkhit</t>
  </si>
  <si>
    <t>m/s</t>
  </si>
  <si>
    <t>mph</t>
  </si>
  <si>
    <t>Total power</t>
  </si>
  <si>
    <t>MW</t>
  </si>
  <si>
    <t>GoM estimate</t>
  </si>
  <si>
    <t>Cost Comparison</t>
  </si>
  <si>
    <t>Annual Power Generation Estimates</t>
  </si>
  <si>
    <t>GoM</t>
  </si>
  <si>
    <t>Number of turbines</t>
  </si>
  <si>
    <t>Salkhit Wind Park Technical Specifications</t>
  </si>
  <si>
    <t>kWh/year</t>
  </si>
  <si>
    <t>Newcom</t>
  </si>
  <si>
    <t>Capital costs</t>
  </si>
  <si>
    <t xml:space="preserve">     Substation upgrade</t>
  </si>
  <si>
    <t xml:space="preserve">     SCADA dispatch system</t>
  </si>
  <si>
    <t xml:space="preserve">     Newcom capital costs</t>
  </si>
  <si>
    <t>Total operating costs</t>
  </si>
  <si>
    <t>Gross power generation</t>
  </si>
  <si>
    <t>Estimated loss</t>
  </si>
  <si>
    <t>Net power generation</t>
  </si>
  <si>
    <t>/year</t>
  </si>
  <si>
    <t>http://www.energysavers.gov/your_home/electricity/index.cfm/mytopic=11020</t>
  </si>
  <si>
    <t>Source: "Estimating a Small Wind Turbine's Annual Energy Output." US Dept. of Energy. Last updated Feb. 24, 2009.</t>
  </si>
  <si>
    <t>Source: "Business Plan Salkhit Wind Park." Newcom LLC. p.4</t>
  </si>
  <si>
    <t>http://www.awea.org/pubs/factsheets/EconomicsOfWind-Feb2005.pdf</t>
  </si>
  <si>
    <t>Source: "The Economics of Wind Energy." American Wind Energy Association. Feb. 2005.</t>
  </si>
  <si>
    <t>Capacity factor of wind park turbines</t>
  </si>
  <si>
    <t>of population</t>
  </si>
  <si>
    <t>of total capacity</t>
  </si>
  <si>
    <t>Power quality and reliability benefits</t>
  </si>
  <si>
    <t>Number of power outages in a typical month</t>
  </si>
  <si>
    <t>Average length of power outage</t>
  </si>
  <si>
    <t>Source: Analysis of 2009 World Bank enterprise survey data</t>
  </si>
  <si>
    <t>outages</t>
  </si>
  <si>
    <t>hours</t>
  </si>
  <si>
    <t>Percent of GDP in Ulaanbaatar</t>
  </si>
  <si>
    <t>of nat'l GDP</t>
  </si>
  <si>
    <t>With Project</t>
  </si>
  <si>
    <t>Power generated by coal plants (GWh)</t>
  </si>
  <si>
    <t>Power generated by Salkhit Wind Park (GWh)</t>
  </si>
  <si>
    <t>Total power generated by all sources (GWh)</t>
  </si>
  <si>
    <t>Power Quality &amp; Reliability Benefits</t>
  </si>
  <si>
    <t>million US$</t>
  </si>
  <si>
    <t>GDP of Ulaanbaatar (millions US$)</t>
  </si>
  <si>
    <t>Value lost due to power outages (millions US$)</t>
  </si>
  <si>
    <t>Total power quality and reliability benefits (US$)</t>
  </si>
  <si>
    <t>Total cost of treatment (US$)</t>
  </si>
  <si>
    <t>Total health cost savings (US$)</t>
  </si>
  <si>
    <t>Average sum of power outage time (hours/year)</t>
  </si>
  <si>
    <t>Economic value</t>
  </si>
  <si>
    <t>Annual power generation</t>
  </si>
  <si>
    <t>Costs +20%</t>
  </si>
  <si>
    <t>Costs -20%</t>
  </si>
  <si>
    <t>Benefits +20%</t>
  </si>
  <si>
    <t>Benefits -20%</t>
  </si>
  <si>
    <t>Best case (costs -20%, benefits +20%)</t>
  </si>
  <si>
    <t>Worst case (costs +20%, benefits -20%)</t>
  </si>
  <si>
    <t>Sensitivity Analysis of Summary Parameters</t>
  </si>
  <si>
    <t>NPV (10%)</t>
  </si>
  <si>
    <t>Base case benefits</t>
  </si>
  <si>
    <t>Base case costs</t>
  </si>
  <si>
    <t>Model options</t>
  </si>
  <si>
    <t>Default value</t>
  </si>
  <si>
    <t>Select</t>
  </si>
  <si>
    <t>Description</t>
  </si>
  <si>
    <t>Data assumptions</t>
  </si>
  <si>
    <t>Enter value</t>
  </si>
  <si>
    <t>High estimate</t>
  </si>
  <si>
    <t>Low estimate</t>
  </si>
  <si>
    <t>Costs +20%, benefits +20%</t>
  </si>
  <si>
    <t>Costs -20%, benefits -20%</t>
  </si>
  <si>
    <t>Results</t>
  </si>
  <si>
    <t>Technical assistance</t>
  </si>
  <si>
    <t>Technical assistance to establish Renewable Energy Fund</t>
  </si>
  <si>
    <t>Total MCC cost</t>
  </si>
  <si>
    <t>Cost of wind power after T&amp;D costs/losses</t>
  </si>
  <si>
    <t>Tariff paid to Newcom</t>
  </si>
  <si>
    <t>Tariff paid to Newcom by CRETN</t>
  </si>
  <si>
    <t>Energy</t>
  </si>
  <si>
    <t>Tariff subsidy requested by CRETN</t>
  </si>
  <si>
    <t>MCC subsidy used in ERR model</t>
  </si>
  <si>
    <t>Additional tariff subsidy?</t>
  </si>
  <si>
    <t>Newcom Cash Flow</t>
  </si>
  <si>
    <t>CRETN Cash Flow</t>
  </si>
  <si>
    <t>Cost/kWh to CRETN after T&amp;D costs/losses</t>
  </si>
  <si>
    <t>US$/kWh</t>
  </si>
  <si>
    <t>Tariff paid to CRETN by consumers</t>
  </si>
  <si>
    <t>Tariffs paid by consumers</t>
  </si>
  <si>
    <t>T&amp;D costs and losses</t>
  </si>
  <si>
    <t>Net cash flow</t>
  </si>
  <si>
    <t>Electricity revenues</t>
  </si>
  <si>
    <t>Other potential economic benefits</t>
  </si>
  <si>
    <t>Employment benefits</t>
  </si>
  <si>
    <t>Operating costs</t>
  </si>
  <si>
    <t>Total cost</t>
  </si>
  <si>
    <t>IRR (10 years)</t>
  </si>
  <si>
    <t>IRR (20 years)</t>
  </si>
  <si>
    <t xml:space="preserve">     Fiber optic cable</t>
  </si>
  <si>
    <t>Consumer tariff rates constant?</t>
  </si>
  <si>
    <t>Consumer tariff (US$/kWh)</t>
  </si>
  <si>
    <t>compact ends</t>
  </si>
  <si>
    <t>US$/MWh</t>
  </si>
  <si>
    <t>Fuel</t>
  </si>
  <si>
    <t>Plant</t>
  </si>
  <si>
    <t>Power Plant #2</t>
  </si>
  <si>
    <t>Power Plant #3</t>
  </si>
  <si>
    <t>Power Plant #4</t>
  </si>
  <si>
    <t>Cost of Power at Traditional Plants in Mongolia</t>
  </si>
  <si>
    <t>coal</t>
  </si>
  <si>
    <t>Darkhan</t>
  </si>
  <si>
    <t>Erdenet</t>
  </si>
  <si>
    <t>Salkhit Wind Park</t>
  </si>
  <si>
    <t>wind</t>
  </si>
  <si>
    <t>Source: Economic Consulting Associates.  "Mongolia: Renewable Energy Regulatory Development Road Map."  Interim Report II, May 2009.</t>
  </si>
  <si>
    <t>Respiratory infections</t>
  </si>
  <si>
    <t>Trachea, bronchus, lung cancers</t>
  </si>
  <si>
    <t>Respiratory diseases</t>
  </si>
  <si>
    <t>DALYs/ton of pollution</t>
  </si>
  <si>
    <t>DALYs/100,000 pop</t>
  </si>
  <si>
    <t>DALYs due to respiratory illness</t>
  </si>
  <si>
    <t>Source: WHO, Global Burden of Disease Statistics, 2004.</t>
  </si>
  <si>
    <t>http://www.who.int/healthinfo/global_burden_disease/estimates_country/en/index.html</t>
  </si>
  <si>
    <t>Respiratory Disease Burden</t>
  </si>
  <si>
    <t>Intake factor</t>
  </si>
  <si>
    <t>Large particulate matter concentration (µg/m3)</t>
  </si>
  <si>
    <t>Total emission rate from power plants (µg/d)</t>
  </si>
  <si>
    <t>Pollution inhaled by population (g/year)</t>
  </si>
  <si>
    <t>Pollution exposure reduction from counterfactual</t>
  </si>
  <si>
    <t>Cost per gram of pollution inhaled</t>
  </si>
  <si>
    <t>Emission exposure</t>
  </si>
  <si>
    <t>Productivity losses</t>
  </si>
  <si>
    <t>GDP/capita of Ulaanbaatar (US$)</t>
  </si>
  <si>
    <t>GDP lost to respiratory illness (millions US$)</t>
  </si>
  <si>
    <t>Treatment cost savings (US$)</t>
  </si>
  <si>
    <t>Productivity gains (US$)</t>
  </si>
  <si>
    <t>Source: IMF World Economic Outlook Database, April 2009.</t>
  </si>
  <si>
    <t>Percent of power outage time caused by equipment failures</t>
  </si>
  <si>
    <t>of outage time</t>
  </si>
  <si>
    <t>Expected reduction in power outages</t>
  </si>
  <si>
    <t>reduction from counterfactual</t>
  </si>
  <si>
    <t>Annual increase in total power outage time</t>
  </si>
  <si>
    <t>Percent of year with power outage</t>
  </si>
  <si>
    <t>Power outage time caused by equipment failure (hours/year)</t>
  </si>
  <si>
    <t>Source: Service disruption data from Mongolian Energy Regulatory Authority.</t>
  </si>
  <si>
    <t>Firms citing electricity as a moderate or severe obstacle</t>
  </si>
  <si>
    <t xml:space="preserve">     Newcom development  costs</t>
  </si>
  <si>
    <t>Revenue shortfall</t>
  </si>
  <si>
    <t>MCC Subsidy</t>
  </si>
  <si>
    <t>Subsidy from other source</t>
  </si>
  <si>
    <t>Total Subsidies</t>
  </si>
  <si>
    <t>Other subsidies</t>
  </si>
  <si>
    <t xml:space="preserve">     Carbon credits (CDM)</t>
  </si>
  <si>
    <t xml:space="preserve">     Electricity revenues</t>
  </si>
  <si>
    <t xml:space="preserve">     Interest</t>
  </si>
  <si>
    <t>Sale price of CDM credits by Newcom</t>
  </si>
  <si>
    <t>CDM credits</t>
  </si>
  <si>
    <t>Assumption</t>
  </si>
  <si>
    <t>Gradual tariff increase scenario</t>
  </si>
  <si>
    <t>Tariff increase scenario</t>
  </si>
  <si>
    <t>of firms in Ulaanbaatar</t>
  </si>
  <si>
    <t>PV of benefits</t>
  </si>
  <si>
    <t>Nalaikh Substation Upgrade</t>
  </si>
  <si>
    <t>Fiber optic cable</t>
  </si>
  <si>
    <t>PV of MCC Costs</t>
  </si>
  <si>
    <t>Investment Memorandum</t>
  </si>
  <si>
    <t>Activity Description</t>
  </si>
  <si>
    <t>$10.4 million</t>
  </si>
  <si>
    <t>Power Gen</t>
  </si>
  <si>
    <t>MCC Costs</t>
  </si>
  <si>
    <t>CRETN</t>
  </si>
  <si>
    <t>Pollution</t>
  </si>
  <si>
    <t>Health</t>
  </si>
  <si>
    <t>Power Quality</t>
  </si>
  <si>
    <t>As part of the Clean Air Project, MCC will fund tariff subsidies, electrical grid improvements and technical assistance related to the Salkhit Wind Park.  The infrastructure improvements include an upgrade to the SCADA electrical dispatch system, improvements to the Nalaikh substation, and a fiber optic cable to connect the substation to the dispatch center.</t>
  </si>
  <si>
    <t>Total (20 yrs)</t>
  </si>
  <si>
    <t>PV (20 yrs)</t>
  </si>
  <si>
    <t>% of total PV</t>
  </si>
  <si>
    <t>Source</t>
  </si>
  <si>
    <t>Newcom CDM credit sales</t>
  </si>
  <si>
    <t>%</t>
  </si>
  <si>
    <t>Power quality &amp; reliability benefits</t>
  </si>
  <si>
    <t>ERR for Entire Project</t>
  </si>
  <si>
    <t>Benefits Attributable to MCC Investment</t>
  </si>
  <si>
    <t>Notes:</t>
  </si>
  <si>
    <r>
      <t>Health cost savings</t>
    </r>
    <r>
      <rPr>
        <vertAlign val="superscript"/>
        <sz val="11"/>
        <rFont val="Calibri"/>
        <family val="2"/>
        <scheme val="minor"/>
      </rPr>
      <t>1</t>
    </r>
  </si>
  <si>
    <r>
      <t>Power quality and reliability benefits</t>
    </r>
    <r>
      <rPr>
        <vertAlign val="superscript"/>
        <sz val="11"/>
        <rFont val="Calibri"/>
        <family val="2"/>
        <scheme val="minor"/>
      </rPr>
      <t>2</t>
    </r>
  </si>
  <si>
    <t>Economic rate of return (ERR) for entire project - 20 years</t>
  </si>
  <si>
    <t>A set of interactive charts that allow users to change any of the major assumptions listed in the model and see its impact on the ERR.</t>
  </si>
  <si>
    <t>Project ERR</t>
  </si>
  <si>
    <t>Shows the economic costs and benefits for the entire project and computes the resulting ERR over 20 years.</t>
  </si>
  <si>
    <t>Estimates the quantity of power that the wind park will generate annually.</t>
  </si>
  <si>
    <t>Calculates the costs of the activity to MCC and shows the flow of funding.</t>
  </si>
  <si>
    <t>Projects CRETN's cash flow each year.</t>
  </si>
  <si>
    <t>Newcom's estimates of its annual cash flow from the wind park.</t>
  </si>
  <si>
    <t>Projects the annual air pollution by coal power plants in Ulaanbaatar and estimates the pollution displaced by the wind park.</t>
  </si>
  <si>
    <t>Calculates the expected health benefits resulting from the project.</t>
  </si>
  <si>
    <t>Charts</t>
  </si>
  <si>
    <t>A set of charts summarizing this analysis.</t>
  </si>
  <si>
    <t>Projects the power quality and reliability benefits resulting from the grid infrastructure upgrades.</t>
  </si>
  <si>
    <t>ERRs for MCC Investments</t>
  </si>
  <si>
    <t>Grid infrastructure upgrades</t>
  </si>
  <si>
    <t>Net benefits of grid infrastructure upgrades</t>
  </si>
  <si>
    <t>Net benefits of total MCC investment</t>
  </si>
  <si>
    <t>ERR (grid infrastructure upgrades):</t>
  </si>
  <si>
    <t>Economic rate of return (ERR) for total MCC investment - 20 years</t>
  </si>
  <si>
    <t>Economic rate of return (ERR) for grid infrastructure upgrades - 20 years</t>
  </si>
  <si>
    <t>MCC ERRs</t>
  </si>
  <si>
    <t>Shows the economic costs and benefits that can be attributed to total MCC's investment and computes the resulting ERR over 20 years.</t>
  </si>
  <si>
    <t xml:space="preserve">Aimag and City Hospitals </t>
  </si>
  <si>
    <t xml:space="preserve">Drug treatment </t>
  </si>
  <si>
    <t xml:space="preserve">Surgical treatment </t>
  </si>
  <si>
    <t>Patients</t>
  </si>
  <si>
    <t xml:space="preserve"> UB Clinic I</t>
  </si>
  <si>
    <t xml:space="preserve"> UB Clinic II</t>
  </si>
  <si>
    <t xml:space="preserve"> UB Clinic III</t>
  </si>
  <si>
    <t xml:space="preserve">The State Cancer Research Center </t>
  </si>
  <si>
    <t xml:space="preserve"> Rehabilitation Center for Injury and Defects</t>
  </si>
  <si>
    <t>The National  Dermatological  Research Center</t>
  </si>
  <si>
    <t>Mental Health Clinic</t>
  </si>
  <si>
    <t>The Research Center for Mothers and Infants</t>
  </si>
  <si>
    <t xml:space="preserve"> The National Research Center of  Communicable Diseases</t>
  </si>
  <si>
    <t>Respiratory Disease Treatment Costs in Ulaanbaatar (2005)</t>
  </si>
  <si>
    <t>UB District hospitals</t>
  </si>
  <si>
    <t>Estimated population of UB</t>
  </si>
  <si>
    <t>Percentage of population</t>
  </si>
  <si>
    <t>Cost of treatment/case (MNT/person, 2009 prices)</t>
  </si>
  <si>
    <t>Cost of treatment/case (MNT/person, 2005 prices)</t>
  </si>
  <si>
    <t>Total cost (Thousands MNT)</t>
  </si>
  <si>
    <t>Average inflation index (2000 prices)</t>
  </si>
  <si>
    <r>
      <t>RR = exp(</t>
    </r>
    <r>
      <rPr>
        <sz val="11"/>
        <color rgb="FFFF0000"/>
        <rFont val="Calibri"/>
        <family val="2"/>
      </rPr>
      <t>β*(C-C</t>
    </r>
    <r>
      <rPr>
        <vertAlign val="subscript"/>
        <sz val="11"/>
        <color rgb="FFFF0000"/>
        <rFont val="Calibri"/>
        <family val="2"/>
      </rPr>
      <t>t</t>
    </r>
    <r>
      <rPr>
        <sz val="11"/>
        <color rgb="FFFF0000"/>
        <rFont val="Calibri"/>
        <family val="2"/>
      </rPr>
      <t>))</t>
    </r>
  </si>
  <si>
    <t>http://www.epa.gov/cleanenergy/energy-resources/refs.html</t>
  </si>
  <si>
    <t>6.8956 x 10-4 metric tons CO2 / kWh</t>
  </si>
  <si>
    <t>/CO2 tonne</t>
  </si>
  <si>
    <t>Cost per kW</t>
  </si>
  <si>
    <t>V100 CF per CalWEA</t>
  </si>
  <si>
    <t>*C31 comes from ratio of equity to debt that Newcome listed in their business plan (p. 8)</t>
  </si>
  <si>
    <r>
      <t>*</t>
    </r>
    <r>
      <rPr>
        <i/>
        <sz val="11"/>
        <rFont val="Calibri"/>
        <family val="2"/>
        <scheme val="minor"/>
      </rPr>
      <t>MCC policy is to set a discount rate of 10% for costs and benefits</t>
    </r>
  </si>
  <si>
    <t>growth rate 2006-31 based on previous estimates</t>
  </si>
  <si>
    <t>Characterisitcs of CHP Plants</t>
  </si>
  <si>
    <t>CHP2</t>
  </si>
  <si>
    <t>CHP3</t>
  </si>
  <si>
    <t>CHP4</t>
  </si>
  <si>
    <t>Capacity (MWe)</t>
  </si>
  <si>
    <t>Power Produced, 2004 (GWh)*</t>
  </si>
  <si>
    <t>*power production and coal consumption for the CHP plants vary little between years</t>
  </si>
  <si>
    <t>http://siteresources.worldbank.org/INTMONGOLIA/Resources/Air_pollution_final_report.pdf</t>
  </si>
  <si>
    <t>Coal Consumption, JICA Estimate (tons)</t>
  </si>
  <si>
    <t>PM10/GWh</t>
  </si>
  <si>
    <t>PM10, 2008 (tons)</t>
  </si>
  <si>
    <t>PM2.5</t>
  </si>
  <si>
    <t>SO2</t>
  </si>
  <si>
    <t>PM2.5/GWh</t>
  </si>
  <si>
    <t>SO2/GWh</t>
  </si>
  <si>
    <t>diff between .095 &amp; .08</t>
  </si>
  <si>
    <t>Diff between wind and coal cost</t>
  </si>
  <si>
    <t>Energy (Wind)</t>
  </si>
  <si>
    <t>Total Power generated by all sources (kWh)</t>
  </si>
  <si>
    <t>Wind Subsidies Divided by Total Generation</t>
  </si>
  <si>
    <t>if we can find any listing of average electricity rate</t>
  </si>
  <si>
    <t>2008 estimate of prices</t>
  </si>
  <si>
    <t>MNT</t>
  </si>
  <si>
    <t>http://pdf.usaid.gov/pdf_docs/PNADW473.pdf</t>
  </si>
  <si>
    <t>2011 prices</t>
  </si>
  <si>
    <t>http://ubpost.mongolnews.mn/index.php?option=com_content&amp;task=view&amp;id=5643&amp;Itemid=36</t>
  </si>
  <si>
    <t>2010 exchange rate</t>
  </si>
  <si>
    <t>MNT/$</t>
  </si>
  <si>
    <t>http://www.indexmundi.com/mongolia/economy_profile.html</t>
  </si>
  <si>
    <t>2007 exchange</t>
  </si>
  <si>
    <t>Price of Electricity</t>
  </si>
  <si>
    <t>Elasticity</t>
  </si>
  <si>
    <t>Low</t>
  </si>
  <si>
    <t>Mid</t>
  </si>
  <si>
    <t>High</t>
  </si>
  <si>
    <t>diff between .8 and .127</t>
  </si>
  <si>
    <t>decrease in prices caused by MCC subsidy</t>
  </si>
  <si>
    <t>% change</t>
  </si>
  <si>
    <t>% Increase</t>
  </si>
  <si>
    <t>increase in electricity demand caused by subsidy</t>
  </si>
  <si>
    <t>Ger</t>
  </si>
  <si>
    <t>HOBs</t>
  </si>
  <si>
    <t>CHPs</t>
  </si>
  <si>
    <t>Vehicle Exhaust</t>
  </si>
  <si>
    <t>Paved</t>
  </si>
  <si>
    <t>Unpaved</t>
  </si>
  <si>
    <t>PM10</t>
  </si>
  <si>
    <t>total</t>
  </si>
  <si>
    <t>CHP % of total</t>
  </si>
  <si>
    <t>Select Estimate</t>
  </si>
  <si>
    <t>average coal heat rate</t>
  </si>
  <si>
    <t>gwh hours of wind production - coal production reduced and mult by price of coal</t>
  </si>
  <si>
    <t>Coal O&amp;M</t>
  </si>
  <si>
    <t>Ulaan Baatar Avoided Coal Plant Costs</t>
  </si>
  <si>
    <t>Coal Consumption/GWh</t>
  </si>
  <si>
    <t>Avoided Coal Consumption (tons)</t>
  </si>
  <si>
    <t>Coal Market Price ($/ton)</t>
  </si>
  <si>
    <t>Vallue of Avoided Consumption ($)</t>
  </si>
  <si>
    <t xml:space="preserve">      Avoided Fuel Costs</t>
  </si>
  <si>
    <t>Price of one liter clean drinking water is 0.000006 $USD</t>
  </si>
  <si>
    <t>updated 2/23/12</t>
  </si>
  <si>
    <t>Tariff for Coal Mining</t>
  </si>
  <si>
    <t>Tariff for Small Business</t>
  </si>
  <si>
    <t>Price of Clean Drinking Water</t>
  </si>
  <si>
    <t>Water Price Scenario</t>
  </si>
  <si>
    <t>Population of Mongolia (Mid)</t>
  </si>
  <si>
    <t>Population of Mongolia (Low)</t>
  </si>
  <si>
    <t>Population of Mongolia (High)</t>
  </si>
  <si>
    <t>Growth (09-19)</t>
  </si>
  <si>
    <t>Ulaanbaatar</t>
  </si>
  <si>
    <t>Share of Mongolia Population</t>
  </si>
  <si>
    <t>Population (Mid)</t>
  </si>
  <si>
    <t>Population (Low)</t>
  </si>
  <si>
    <t>Population (High)</t>
  </si>
  <si>
    <t>Population (USDA)</t>
  </si>
  <si>
    <t>Population of Mongolia (USDA)</t>
  </si>
  <si>
    <r>
      <t xml:space="preserve">      Value of water saved</t>
    </r>
    <r>
      <rPr>
        <sz val="11"/>
        <color rgb="FFFF0000"/>
        <rFont val="Calibri"/>
        <family val="2"/>
        <scheme val="minor"/>
      </rPr>
      <t xml:space="preserve"> (Coal plant O&amp;M)</t>
    </r>
  </si>
  <si>
    <t>Population of Mongolia (CIA)</t>
  </si>
  <si>
    <t>Population growth rate (CIA)</t>
  </si>
  <si>
    <t>Population (CIA)</t>
  </si>
  <si>
    <t>Population of Mongolia (World Bank)</t>
  </si>
  <si>
    <t>Population of Mongolia (NSO Statistical Yearbook 2010)</t>
  </si>
  <si>
    <t>Population (NSO Stat Yearbook 2010)</t>
  </si>
  <si>
    <t>Sources: 2010 NSO Mongolia Statistical Yearbook. Average of Percent Total GDP for 2007-2010.</t>
  </si>
  <si>
    <t>1.  Power quality and reliability benefits could be attributed to MCC’s investment, since these benefits result from the SCADA system upgrade.</t>
  </si>
  <si>
    <t>2.  Because the impact of MCC's investment on health cost savings could be negative, the ERR should be viewed as the upper bound of the ERR of MCC's investment.</t>
  </si>
  <si>
    <t>Discount Rate (For NPV Calculations)</t>
  </si>
  <si>
    <t>NPV:</t>
  </si>
  <si>
    <t>PV of benefits:</t>
  </si>
  <si>
    <t xml:space="preserve">NPV </t>
  </si>
  <si>
    <t>NPV</t>
  </si>
  <si>
    <t>Water Savings</t>
  </si>
  <si>
    <t>1 USD exchange rate at 1,320 MNT.</t>
  </si>
  <si>
    <t>Avoided Fuel Costs</t>
  </si>
  <si>
    <t>NPV of grid infrastructure upgrades:</t>
  </si>
  <si>
    <t>PV of benefits for grid infrastructure upgrades:</t>
  </si>
  <si>
    <t>Population (IMF)</t>
  </si>
  <si>
    <t>Growth (19-30)</t>
  </si>
  <si>
    <t>Eurasia Capital</t>
  </si>
  <si>
    <t>Statistical Yearbook</t>
  </si>
  <si>
    <t>average</t>
  </si>
  <si>
    <t xml:space="preserve">Original value with no source identified </t>
  </si>
  <si>
    <t>Original Value with source identified</t>
  </si>
  <si>
    <t>Updated Value with Source</t>
  </si>
  <si>
    <t>GDP of Mongolia - Constant 2009 Dollars (millions US$)</t>
  </si>
  <si>
    <t>GDP Growth Rate</t>
  </si>
  <si>
    <t>Mongolia avg. GDP growth rate</t>
  </si>
  <si>
    <t>Source: IMF WEO database, 2012.  http://www.imf.org/external/pubs/ft/weo/2012/01/weodata/index.aspx</t>
  </si>
  <si>
    <t>GDP of Mongolia - Constant 2009 $ (2009)</t>
  </si>
  <si>
    <t>5/19/20 Bank of Mongolia  www.mongolbank.mn/eng/default.aspx
http://www.exchangerates.org.uk/USD-MNT-exchange-rate-history.html</t>
  </si>
  <si>
    <t>http://www.pennymotion.com/penny-stock-news/prophecy-coal-corp-prpcf-otc-link-prophecy-receives-a-positive-feasibility-study-for-the-chandgana-mine-mouth-power-plant-project-in-central-mongolia-diagrams-included/</t>
  </si>
  <si>
    <r>
      <t xml:space="preserve">Source:  </t>
    </r>
    <r>
      <rPr>
        <i/>
        <sz val="11"/>
        <rFont val="Calibri"/>
        <family val="2"/>
        <scheme val="minor"/>
      </rPr>
      <t xml:space="preserve">World Bank. 2011. Air Quality Analysis of Ulaanbaatar Improving Air Quality to Reduce Health Impacts. December.
World Bank. 2009. Air Pollution in Ulaanbaatar Initial Assessment of Current Situation and Effects of Abatement Measures. December.
</t>
    </r>
  </si>
  <si>
    <t xml:space="preserve">Net present value (NPV) of total MCC investment </t>
  </si>
  <si>
    <t xml:space="preserve">Net present value (NPV) of grid infrastructure upgrades </t>
  </si>
  <si>
    <t xml:space="preserve">Net present value (NPV) </t>
  </si>
  <si>
    <t>use defualt for high and low scenarios. Only change for additional sensitivity analysis</t>
  </si>
  <si>
    <t>1 ton</t>
  </si>
  <si>
    <t>1000 liters</t>
  </si>
  <si>
    <t>US$/tonne</t>
  </si>
  <si>
    <t>tonnes/year</t>
  </si>
  <si>
    <t>$/kw</t>
  </si>
  <si>
    <t>tons c02 per year</t>
  </si>
  <si>
    <t>kwh year</t>
  </si>
  <si>
    <t>tons/kw</t>
  </si>
  <si>
    <t>Mongolia: Energy and Environment Project</t>
  </si>
  <si>
    <t>ERR Version</t>
  </si>
  <si>
    <t>Closeout ERR</t>
  </si>
  <si>
    <t>Amount of MCC funds</t>
  </si>
  <si>
    <t>Benefit streams included in ERR</t>
  </si>
  <si>
    <t>Newcom revenues, including the sale of carbon credits</t>
  </si>
  <si>
    <t>Costs included in ERR (not borne by MCC)</t>
  </si>
  <si>
    <t>Newcom capital and development and operating costs</t>
  </si>
  <si>
    <t>ERR estimations and time horizon</t>
  </si>
  <si>
    <t>14.1% over 20 years</t>
  </si>
  <si>
    <t>8.6% over 20 years</t>
  </si>
  <si>
    <t>Table of Contents</t>
  </si>
  <si>
    <t>One should read this sheet first, as it offers a summary of the project, a list of components, and states the economic rationale for the project.</t>
  </si>
  <si>
    <t>Newcomm ERR</t>
  </si>
  <si>
    <t>Subsidy</t>
  </si>
  <si>
    <t>Population</t>
  </si>
  <si>
    <t>8,000 MNT (based on 2006 estimate) per illness per person (an individual gets sick with respiratory illness 6 times annually).</t>
  </si>
  <si>
    <r>
      <t xml:space="preserve">Estimated CO2 emission within UB is 7.8 mln tons/year, the Wind Park will reduce </t>
    </r>
    <r>
      <rPr>
        <sz val="10"/>
        <rFont val="Arial"/>
        <family val="2"/>
      </rPr>
      <t>it by 3%</t>
    </r>
    <r>
      <rPr>
        <sz val="10"/>
        <color rgb="FFFF0000"/>
        <rFont val="Arial"/>
        <family val="2"/>
      </rPr>
      <t xml:space="preserve"> </t>
    </r>
    <r>
      <rPr>
        <sz val="10"/>
        <rFont val="Arial"/>
        <family val="2"/>
        <charset val="204"/>
      </rPr>
      <t>or 206,200 tons/year.</t>
    </r>
  </si>
  <si>
    <r>
      <t xml:space="preserve">Total UB residence 1.2 million citizens, of </t>
    </r>
    <r>
      <rPr>
        <sz val="10"/>
        <rFont val="Arial"/>
        <family val="2"/>
      </rPr>
      <t>which 80% (960,000) is a</t>
    </r>
    <r>
      <rPr>
        <sz val="10"/>
        <rFont val="Arial"/>
        <family val="2"/>
        <charset val="204"/>
      </rPr>
      <t>ssumed to get respiratory sickness each year.</t>
    </r>
  </si>
  <si>
    <t>Salkhit Wind Park Activity</t>
  </si>
  <si>
    <t>Key</t>
  </si>
  <si>
    <t>* Note that the cost-benefit model was produced by an external consultant</t>
  </si>
  <si>
    <t>Shows the economic costs and benefits for Newcomm.</t>
  </si>
  <si>
    <r>
      <t>ERR (total MCC investment)</t>
    </r>
    <r>
      <rPr>
        <b/>
        <sz val="11"/>
        <rFont val="Calibri"/>
        <family val="2"/>
        <scheme val="minor"/>
      </rPr>
      <t>:</t>
    </r>
  </si>
  <si>
    <t>Notes</t>
  </si>
  <si>
    <t>Treatment cost methodology relies upon health cost information supplied by Dr. Saijaa through the GoM. Willingness-to-pay relies upon the methodology used in the World Bank discussion paper, June 2009.</t>
  </si>
  <si>
    <t>Mongolians' estimate (Dr. Sarjaa)</t>
  </si>
  <si>
    <t>World Bank discussion pape</t>
  </si>
  <si>
    <t>Updated 5/18/12 using mongolbank.mn/eng/default.aspx</t>
  </si>
  <si>
    <t>Based on electricity interruption data obtained from NDC, 9/28/09</t>
  </si>
  <si>
    <t>Based on meeting with Newcom, CRETN and NDC, 9/28/09.</t>
  </si>
  <si>
    <t>Based on CDM price/kWh in Newcom's ERR model, 10/15/09.</t>
  </si>
  <si>
    <t>4.      It will employ 120 employees during the construction phase and employ 40 employees during its operation.</t>
  </si>
  <si>
    <t>$2.97 million</t>
  </si>
  <si>
    <t xml:space="preserve">MCC approved $2.97 million to address air pollution through the Energy and Environment Project. The project, consisting of four separate activities, was designed to increase economic growth by reducing urban air pollution in the capital city of Ulaanbaatar, decreasing related health costs, and lowering energy costs through more efficient fuel consumption. The project provided financial incentives for ger district residents to adopt energy-efficient and lower-emission technologies, and funded the upgrade of the electrical network. 
The Wind Park Activity addresses air pollution from the city's combined heat and power plants, providing funds for the upgrades necessary to incorporate wind power into the national grid. The activity also provides temporary tariff subsidies and allows for cost recovery until the gap is bridged between current consumer tariffs and planned consumer tariffs.
The Salkhit wind park is being developed by Newcom LLC to fulfill the energy shortage in Central Regional Electricity System, reduce the greenhouse gas emission, save utilization of non-renewable resources, such as coal and clean water.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</si>
</sst>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numFmt numFmtId="166" formatCode="_-* #,##0.00_-;_-* #,##0.00\-;_-* &quot;-&quot;??_-;_-@_-"/>
    <numFmt numFmtId="167" formatCode="_-* #,##0_-;_-* #,##0\-;_-* &quot;-&quot;??_-;_-@_-"/>
    <numFmt numFmtId="168" formatCode="_-* #,##0.0_-;_-* #,##0.0\-;_-* &quot;-&quot;??_-;_-@_-"/>
    <numFmt numFmtId="169" formatCode="#,##0.000"/>
    <numFmt numFmtId="170" formatCode="0.0"/>
    <numFmt numFmtId="171" formatCode="_(* #,##0_);_(* \(#,##0\);_(* &quot;-&quot;??_);_(@_)"/>
    <numFmt numFmtId="172" formatCode="0.000"/>
    <numFmt numFmtId="173" formatCode="0.0000"/>
    <numFmt numFmtId="174" formatCode="_(&quot;$&quot;* #,##0.000_);_(&quot;$&quot;* \(#,##0.000\);_(&quot;$&quot;* &quot;-&quot;??_);_(@_)"/>
    <numFmt numFmtId="175" formatCode="_(&quot;$&quot;* #,##0_);_(&quot;$&quot;* \(#,##0\);_(&quot;$&quot;* &quot;-&quot;??_);_(@_)"/>
    <numFmt numFmtId="176" formatCode="_-* #,##0.000_-;_-* #,##0.000\-;_-* &quot;-&quot;??_-;_-@_-"/>
    <numFmt numFmtId="177" formatCode="_-* #,##0.0000_-;_-* #,##0.0000\-;_-* &quot;-&quot;??_-;_-@_-"/>
    <numFmt numFmtId="178" formatCode="_-* #,##0.000000000_-;_-* #,##0.000000000\-;_-* &quot;-&quot;??_-;_-@_-"/>
    <numFmt numFmtId="179" formatCode="&quot;$&quot;#,##0.00"/>
    <numFmt numFmtId="180" formatCode="&quot;$&quot;#,##0"/>
    <numFmt numFmtId="181" formatCode="_(&quot;$&quot;* #,##0.0000_);_(&quot;$&quot;* \(#,##0.0000\);_(&quot;$&quot;* &quot;-&quot;??_);_(@_)"/>
    <numFmt numFmtId="182" formatCode="_(* #,##0.0000000_);_(* \(#,##0.0000000\);_(* &quot;-&quot;??_);_(@_)"/>
    <numFmt numFmtId="183" formatCode="0.000%"/>
  </numFmts>
  <fonts count="84">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Palatino"/>
      <family val="1"/>
    </font>
    <font>
      <sz val="8"/>
      <color indexed="81"/>
      <name val="Tahoma"/>
      <family val="2"/>
    </font>
    <font>
      <sz val="10"/>
      <name val="Arial"/>
      <family val="2"/>
    </font>
    <font>
      <sz val="11"/>
      <name val="Tahoma"/>
      <family val="2"/>
    </font>
    <font>
      <sz val="10"/>
      <name val="MS Sans Serif"/>
      <family val="2"/>
    </font>
    <font>
      <b/>
      <sz val="10"/>
      <name val="MS Sans Serif"/>
      <family val="2"/>
    </font>
    <font>
      <sz val="10"/>
      <name val="Tahoma"/>
      <family val="2"/>
    </font>
    <font>
      <sz val="10"/>
      <name val="Arial"/>
      <family val="2"/>
      <charset val="204"/>
    </font>
    <font>
      <b/>
      <sz val="16"/>
      <name val="Arial"/>
      <family val="2"/>
    </font>
    <font>
      <sz val="8"/>
      <color indexed="17"/>
      <name val="Arial"/>
      <family val="2"/>
      <charset val="204"/>
    </font>
    <font>
      <sz val="14"/>
      <name val="Arial"/>
      <family val="2"/>
      <charset val="204"/>
    </font>
    <font>
      <b/>
      <sz val="10"/>
      <name val="Arial"/>
      <family val="2"/>
    </font>
    <font>
      <b/>
      <sz val="10"/>
      <name val="Arial"/>
      <family val="2"/>
      <charset val="204"/>
    </font>
    <font>
      <b/>
      <i/>
      <sz val="10"/>
      <name val="Arial"/>
      <family val="2"/>
    </font>
    <font>
      <sz val="11"/>
      <color indexed="9"/>
      <name val="Calibri"/>
      <family val="2"/>
    </font>
    <font>
      <b/>
      <sz val="11"/>
      <color indexed="8"/>
      <name val="Calibri"/>
      <family val="2"/>
    </font>
    <font>
      <sz val="11"/>
      <name val="Calibri"/>
      <family val="2"/>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sz val="16"/>
      <name val="Calibri"/>
      <family val="2"/>
      <scheme val="minor"/>
    </font>
    <font>
      <b/>
      <sz val="8"/>
      <color indexed="81"/>
      <name val="Tahoma"/>
      <family val="2"/>
    </font>
    <font>
      <b/>
      <u/>
      <sz val="11"/>
      <color indexed="8"/>
      <name val="Calibri"/>
      <family val="2"/>
    </font>
    <font>
      <b/>
      <u/>
      <sz val="11"/>
      <color indexed="9"/>
      <name val="Calibri"/>
      <family val="2"/>
    </font>
    <font>
      <u/>
      <sz val="11"/>
      <color indexed="8"/>
      <name val="Calibri"/>
      <family val="2"/>
    </font>
    <font>
      <i/>
      <sz val="11"/>
      <color indexed="8"/>
      <name val="Calibri"/>
      <family val="2"/>
    </font>
    <font>
      <b/>
      <sz val="12"/>
      <name val="Helv"/>
    </font>
    <font>
      <u/>
      <sz val="11"/>
      <name val="Calibri"/>
      <family val="2"/>
      <scheme val="minor"/>
    </font>
    <font>
      <i/>
      <sz val="11"/>
      <color rgb="FF0070C0"/>
      <name val="Calibri"/>
      <family val="2"/>
      <scheme val="minor"/>
    </font>
    <font>
      <sz val="14"/>
      <name val="Calibri"/>
      <family val="2"/>
      <scheme val="minor"/>
    </font>
    <font>
      <u/>
      <sz val="11"/>
      <name val="Calibri"/>
      <family val="2"/>
    </font>
    <font>
      <u/>
      <vertAlign val="superscript"/>
      <sz val="11"/>
      <name val="Calibri"/>
      <family val="2"/>
    </font>
    <font>
      <vertAlign val="subscript"/>
      <sz val="11"/>
      <name val="Calibri"/>
      <family val="2"/>
      <scheme val="minor"/>
    </font>
    <font>
      <vertAlign val="superscript"/>
      <sz val="11"/>
      <name val="Calibri"/>
      <family val="2"/>
    </font>
    <font>
      <sz val="10"/>
      <color theme="0"/>
      <name val="Arial"/>
      <family val="2"/>
      <charset val="204"/>
    </font>
    <font>
      <vertAlign val="superscript"/>
      <sz val="11"/>
      <name val="Calibri"/>
      <family val="2"/>
      <scheme val="minor"/>
    </font>
    <font>
      <b/>
      <sz val="14"/>
      <name val="Calibri"/>
      <family val="2"/>
      <scheme val="minor"/>
    </font>
    <font>
      <u/>
      <sz val="12"/>
      <color theme="10"/>
      <name val="Helv"/>
    </font>
    <font>
      <i/>
      <sz val="10"/>
      <name val="Calibri"/>
      <family val="2"/>
      <scheme val="minor"/>
    </font>
    <font>
      <sz val="10"/>
      <name val="Calibri"/>
      <family val="2"/>
      <scheme val="minor"/>
    </font>
    <font>
      <u/>
      <sz val="10"/>
      <color theme="10"/>
      <name val="Helv"/>
    </font>
    <font>
      <i/>
      <u/>
      <sz val="10"/>
      <color theme="10"/>
      <name val="Calibri"/>
      <family val="2"/>
      <scheme val="minor"/>
    </font>
    <font>
      <sz val="12"/>
      <name val="Helv"/>
    </font>
    <font>
      <sz val="11"/>
      <color theme="4"/>
      <name val="Calibri"/>
      <family val="2"/>
      <scheme val="minor"/>
    </font>
    <font>
      <sz val="11"/>
      <color rgb="FFC00000"/>
      <name val="Calibri"/>
      <family val="2"/>
      <scheme val="minor"/>
    </font>
    <font>
      <b/>
      <u/>
      <sz val="11"/>
      <name val="Calibri"/>
      <family val="2"/>
      <scheme val="minor"/>
    </font>
    <font>
      <sz val="11"/>
      <color theme="6" tint="-0.249977111117893"/>
      <name val="Calibri"/>
      <family val="2"/>
      <scheme val="minor"/>
    </font>
    <font>
      <b/>
      <i/>
      <sz val="11"/>
      <name val="Calibri"/>
      <family val="2"/>
      <scheme val="minor"/>
    </font>
    <font>
      <sz val="11"/>
      <color theme="1" tint="0.499984740745262"/>
      <name val="Calibri"/>
      <family val="2"/>
      <scheme val="minor"/>
    </font>
    <font>
      <b/>
      <i/>
      <sz val="11"/>
      <color theme="0"/>
      <name val="Calibri"/>
      <family val="2"/>
      <scheme val="minor"/>
    </font>
    <font>
      <b/>
      <sz val="11"/>
      <color indexed="12"/>
      <name val="Calibri"/>
      <family val="2"/>
      <scheme val="minor"/>
    </font>
    <font>
      <sz val="9"/>
      <name val="Calibri"/>
      <family val="2"/>
      <scheme val="minor"/>
    </font>
    <font>
      <sz val="14"/>
      <name val="Arial"/>
      <family val="2"/>
    </font>
    <font>
      <u/>
      <sz val="10"/>
      <color indexed="12"/>
      <name val="Arial"/>
      <family val="2"/>
    </font>
    <font>
      <b/>
      <sz val="11"/>
      <color theme="0" tint="-0.499984740745262"/>
      <name val="Calibri"/>
      <family val="2"/>
      <scheme val="minor"/>
    </font>
    <font>
      <sz val="11"/>
      <color theme="0" tint="-0.499984740745262"/>
      <name val="Calibri"/>
      <family val="2"/>
      <scheme val="minor"/>
    </font>
    <font>
      <sz val="11"/>
      <color rgb="FFFF0000"/>
      <name val="Calibri"/>
      <family val="2"/>
      <scheme val="minor"/>
    </font>
    <font>
      <sz val="10"/>
      <color rgb="FFFF0000"/>
      <name val="Arial"/>
      <family val="2"/>
    </font>
    <font>
      <sz val="11"/>
      <color rgb="FFFF0000"/>
      <name val="Calibri"/>
      <family val="2"/>
    </font>
    <font>
      <vertAlign val="subscript"/>
      <sz val="11"/>
      <color rgb="FFFF0000"/>
      <name val="Calibri"/>
      <family val="2"/>
    </font>
    <font>
      <b/>
      <sz val="12"/>
      <color rgb="FFFF0000"/>
      <name val="Helv"/>
    </font>
    <font>
      <i/>
      <sz val="11"/>
      <color rgb="FFFF0000"/>
      <name val="Calibri"/>
      <family val="2"/>
      <scheme val="minor"/>
    </font>
    <font>
      <sz val="12"/>
      <color rgb="FFFF0000"/>
      <name val="Helv"/>
    </font>
    <font>
      <b/>
      <sz val="11"/>
      <color rgb="FFFF0000"/>
      <name val="Calibri"/>
      <family val="2"/>
      <scheme val="minor"/>
    </font>
    <font>
      <sz val="9"/>
      <color indexed="81"/>
      <name val="Tahoma"/>
      <family val="2"/>
    </font>
    <font>
      <b/>
      <sz val="9"/>
      <color indexed="81"/>
      <name val="Tahoma"/>
      <family val="2"/>
    </font>
    <font>
      <sz val="12"/>
      <name val="Calibri"/>
      <family val="2"/>
      <scheme val="minor"/>
    </font>
    <font>
      <sz val="14"/>
      <color rgb="FF000000"/>
      <name val="Arial"/>
      <family val="2"/>
    </font>
    <font>
      <i/>
      <sz val="9"/>
      <name val="Arial"/>
      <family val="2"/>
    </font>
    <font>
      <sz val="10"/>
      <color rgb="FFFF0000"/>
      <name val="Arial"/>
      <family val="2"/>
      <charset val="204"/>
    </font>
    <font>
      <b/>
      <sz val="11"/>
      <color theme="9" tint="-0.499984740745262"/>
      <name val="Calibri"/>
      <family val="2"/>
      <scheme val="minor"/>
    </font>
    <font>
      <sz val="10"/>
      <name val="Palatino"/>
    </font>
    <font>
      <sz val="8"/>
      <color rgb="FF008000"/>
      <name val="Arial"/>
      <family val="2"/>
    </font>
    <font>
      <sz val="10"/>
      <color theme="0" tint="-0.34998626667073579"/>
      <name val="Arial"/>
      <family val="2"/>
    </font>
    <font>
      <u/>
      <sz val="10"/>
      <color theme="10"/>
      <name val="Arial"/>
      <family val="2"/>
    </font>
    <font>
      <b/>
      <sz val="10"/>
      <name val="Calibri"/>
      <family val="2"/>
      <scheme val="minor"/>
    </font>
    <font>
      <b/>
      <sz val="12"/>
      <name val="Arial"/>
      <family val="2"/>
      <charset val="204"/>
    </font>
    <font>
      <sz val="11"/>
      <name val="Helv"/>
    </font>
  </fonts>
  <fills count="27">
    <fill>
      <patternFill patternType="none"/>
    </fill>
    <fill>
      <patternFill patternType="gray125"/>
    </fill>
    <fill>
      <patternFill patternType="mediumGray">
        <fgColor indexed="22"/>
      </patternFill>
    </fill>
    <fill>
      <patternFill patternType="solid">
        <fgColor theme="5" tint="-0.249977111117893"/>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s>
  <borders count="5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s>
  <cellStyleXfs count="34">
    <xf numFmtId="164" fontId="0" fillId="0" borderId="0"/>
    <xf numFmtId="0" fontId="7" fillId="0" borderId="0"/>
    <xf numFmtId="166" fontId="5" fillId="0" borderId="0" applyFont="0" applyFill="0" applyBorder="0" applyAlignment="0" applyProtection="0"/>
    <xf numFmtId="43" fontId="8"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12" fillId="0" borderId="0"/>
    <xf numFmtId="9" fontId="5"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1">
      <alignment horizontal="center"/>
    </xf>
    <xf numFmtId="3" fontId="9" fillId="0" borderId="0" applyFont="0" applyFill="0" applyBorder="0" applyAlignment="0" applyProtection="0"/>
    <xf numFmtId="0" fontId="9" fillId="2" borderId="0" applyNumberFormat="0" applyFont="0" applyBorder="0" applyAlignment="0" applyProtection="0"/>
    <xf numFmtId="0" fontId="11" fillId="0" borderId="0"/>
    <xf numFmtId="0" fontId="43" fillId="0" borderId="0" applyNumberFormat="0" applyFill="0" applyBorder="0" applyAlignment="0" applyProtection="0">
      <alignment vertical="top"/>
      <protection locked="0"/>
    </xf>
    <xf numFmtId="44" fontId="48" fillId="0" borderId="0" applyFont="0" applyFill="0" applyBorder="0" applyAlignment="0" applyProtection="0"/>
    <xf numFmtId="0" fontId="7" fillId="0" borderId="0" applyFont="0" applyFill="0" applyBorder="0" applyAlignment="0" applyProtection="0"/>
    <xf numFmtId="0" fontId="59" fillId="0" borderId="0" applyNumberFormat="0" applyFill="0" applyBorder="0" applyAlignment="0" applyProtection="0">
      <alignment vertical="top"/>
      <protection locked="0"/>
    </xf>
    <xf numFmtId="0" fontId="3" fillId="0" borderId="0"/>
    <xf numFmtId="164" fontId="48" fillId="0" borderId="0"/>
    <xf numFmtId="166" fontId="5" fillId="0" borderId="0" applyFont="0" applyFill="0" applyBorder="0" applyAlignment="0" applyProtection="0"/>
    <xf numFmtId="9" fontId="5" fillId="0" borderId="0" applyFont="0" applyFill="0" applyBorder="0" applyAlignment="0" applyProtection="0"/>
    <xf numFmtId="44" fontId="48" fillId="0" borderId="0" applyFont="0" applyFill="0" applyBorder="0" applyAlignment="0" applyProtection="0"/>
    <xf numFmtId="0" fontId="2" fillId="0" borderId="0"/>
    <xf numFmtId="43" fontId="2" fillId="0" borderId="0" applyFont="0" applyFill="0" applyBorder="0" applyAlignment="0" applyProtection="0"/>
    <xf numFmtId="166" fontId="77" fillId="0" borderId="0" applyFont="0" applyFill="0" applyBorder="0" applyAlignment="0" applyProtection="0"/>
    <xf numFmtId="9" fontId="77" fillId="0" borderId="0" applyFont="0" applyFill="0" applyBorder="0" applyAlignment="0" applyProtection="0"/>
    <xf numFmtId="0" fontId="7" fillId="0" borderId="0"/>
    <xf numFmtId="0" fontId="1" fillId="0" borderId="0"/>
    <xf numFmtId="9" fontId="7" fillId="0" borderId="0" applyFont="0" applyFill="0" applyBorder="0" applyAlignment="0" applyProtection="0"/>
    <xf numFmtId="43" fontId="7" fillId="0" borderId="0" applyFont="0" applyFill="0" applyBorder="0" applyAlignment="0" applyProtection="0"/>
  </cellStyleXfs>
  <cellXfs count="755">
    <xf numFmtId="164" fontId="0" fillId="0" borderId="0" xfId="0"/>
    <xf numFmtId="0" fontId="12" fillId="0" borderId="0" xfId="8"/>
    <xf numFmtId="0" fontId="13" fillId="0" borderId="0" xfId="8" applyFont="1"/>
    <xf numFmtId="14" fontId="14" fillId="0" borderId="0" xfId="8" applyNumberFormat="1" applyFont="1" applyAlignment="1">
      <alignment horizontal="left" vertical="top"/>
    </xf>
    <xf numFmtId="0" fontId="16" fillId="0" borderId="0" xfId="8" applyFont="1" applyBorder="1"/>
    <xf numFmtId="0" fontId="7" fillId="0" borderId="0" xfId="8" applyNumberFormat="1" applyFont="1" applyBorder="1" applyAlignment="1">
      <alignment wrapText="1"/>
    </xf>
    <xf numFmtId="0" fontId="12" fillId="0" borderId="0" xfId="8" applyBorder="1"/>
    <xf numFmtId="0" fontId="7" fillId="0" borderId="0" xfId="8" applyFont="1" applyBorder="1" applyAlignment="1">
      <alignment vertical="top" wrapText="1"/>
    </xf>
    <xf numFmtId="0" fontId="7" fillId="0" borderId="0" xfId="8" applyFont="1" applyBorder="1" applyAlignment="1">
      <alignment horizontal="left" vertical="top" wrapText="1"/>
    </xf>
    <xf numFmtId="0" fontId="17" fillId="0" borderId="0" xfId="8" applyFont="1"/>
    <xf numFmtId="0" fontId="7" fillId="0" borderId="0" xfId="8" applyFont="1" applyBorder="1" applyAlignment="1">
      <alignment horizontal="left" vertical="center" wrapText="1"/>
    </xf>
    <xf numFmtId="0" fontId="7" fillId="0" borderId="0" xfId="8" applyNumberFormat="1" applyFont="1" applyBorder="1" applyAlignment="1">
      <alignment vertical="center" wrapText="1"/>
    </xf>
    <xf numFmtId="0" fontId="12" fillId="0" borderId="0" xfId="8" applyAlignment="1">
      <alignment wrapText="1"/>
    </xf>
    <xf numFmtId="0" fontId="12" fillId="0" borderId="0" xfId="8" applyAlignment="1">
      <alignment vertical="center" wrapText="1"/>
    </xf>
    <xf numFmtId="0" fontId="12" fillId="0" borderId="0" xfId="8" applyAlignment="1">
      <alignment vertical="center"/>
    </xf>
    <xf numFmtId="0" fontId="12" fillId="0" borderId="0" xfId="8" applyAlignment="1">
      <alignment horizontal="center" vertical="center"/>
    </xf>
    <xf numFmtId="0" fontId="12" fillId="0" borderId="0" xfId="8" applyBorder="1" applyAlignment="1">
      <alignment horizontal="center" vertical="center"/>
    </xf>
    <xf numFmtId="167" fontId="12" fillId="0" borderId="0" xfId="2" applyNumberFormat="1" applyFont="1"/>
    <xf numFmtId="167" fontId="12" fillId="0" borderId="0" xfId="8" applyNumberFormat="1"/>
    <xf numFmtId="164" fontId="23" fillId="0" borderId="0" xfId="0" applyFont="1"/>
    <xf numFmtId="164" fontId="24" fillId="0" borderId="0" xfId="0" applyFont="1"/>
    <xf numFmtId="164" fontId="26" fillId="0" borderId="0" xfId="0" applyFont="1"/>
    <xf numFmtId="167" fontId="23" fillId="0" borderId="0" xfId="2" applyNumberFormat="1" applyFont="1"/>
    <xf numFmtId="166" fontId="23" fillId="0" borderId="0" xfId="2" applyFont="1"/>
    <xf numFmtId="168" fontId="23" fillId="0" borderId="0" xfId="2" applyNumberFormat="1" applyFont="1"/>
    <xf numFmtId="0" fontId="0" fillId="0" borderId="8" xfId="0" applyNumberFormat="1" applyBorder="1"/>
    <xf numFmtId="171" fontId="4" fillId="0" borderId="8" xfId="2" applyNumberFormat="1" applyFont="1" applyBorder="1"/>
    <xf numFmtId="9" fontId="4" fillId="0" borderId="8" xfId="9" applyFont="1" applyBorder="1"/>
    <xf numFmtId="0" fontId="0" fillId="0" borderId="0" xfId="0" applyNumberFormat="1"/>
    <xf numFmtId="0" fontId="28" fillId="0" borderId="8" xfId="0" applyNumberFormat="1" applyFont="1" applyBorder="1"/>
    <xf numFmtId="171" fontId="4" fillId="0" borderId="8" xfId="2" applyNumberFormat="1" applyFont="1" applyBorder="1" applyAlignment="1">
      <alignment horizontal="center" wrapText="1"/>
    </xf>
    <xf numFmtId="9" fontId="4" fillId="0" borderId="8" xfId="9" applyFont="1" applyBorder="1" applyAlignment="1">
      <alignment horizontal="center" wrapText="1"/>
    </xf>
    <xf numFmtId="171" fontId="28" fillId="0" borderId="8" xfId="2" applyNumberFormat="1" applyFont="1" applyBorder="1" applyAlignment="1">
      <alignment horizontal="center" wrapText="1"/>
    </xf>
    <xf numFmtId="0" fontId="19" fillId="4" borderId="8" xfId="0" applyNumberFormat="1" applyFont="1" applyFill="1" applyBorder="1"/>
    <xf numFmtId="0" fontId="29" fillId="4" borderId="8" xfId="0" applyNumberFormat="1" applyFont="1" applyFill="1" applyBorder="1"/>
    <xf numFmtId="171" fontId="19" fillId="4" borderId="8" xfId="2" applyNumberFormat="1" applyFont="1" applyFill="1" applyBorder="1" applyAlignment="1">
      <alignment horizontal="center" wrapText="1"/>
    </xf>
    <xf numFmtId="9" fontId="19" fillId="4" borderId="8" xfId="9" applyFont="1" applyFill="1" applyBorder="1" applyAlignment="1">
      <alignment horizontal="center" wrapText="1"/>
    </xf>
    <xf numFmtId="171" fontId="29" fillId="4" borderId="8" xfId="2" applyNumberFormat="1" applyFont="1" applyFill="1" applyBorder="1" applyAlignment="1">
      <alignment horizontal="center" wrapText="1"/>
    </xf>
    <xf numFmtId="171" fontId="4" fillId="5" borderId="8" xfId="2" applyNumberFormat="1" applyFont="1" applyFill="1" applyBorder="1"/>
    <xf numFmtId="9" fontId="4" fillId="5" borderId="8" xfId="9" applyFont="1" applyFill="1" applyBorder="1"/>
    <xf numFmtId="0" fontId="30" fillId="0" borderId="8" xfId="0" applyNumberFormat="1" applyFont="1" applyBorder="1"/>
    <xf numFmtId="171" fontId="4" fillId="0" borderId="8" xfId="2" applyNumberFormat="1" applyFont="1" applyFill="1" applyBorder="1"/>
    <xf numFmtId="9" fontId="4" fillId="0" borderId="8" xfId="9" applyFont="1" applyFill="1" applyBorder="1"/>
    <xf numFmtId="0" fontId="31" fillId="0" borderId="8" xfId="0" applyNumberFormat="1" applyFont="1" applyBorder="1"/>
    <xf numFmtId="171" fontId="4" fillId="0" borderId="0" xfId="2" applyNumberFormat="1" applyFont="1"/>
    <xf numFmtId="0" fontId="0" fillId="0" borderId="8" xfId="0" applyNumberFormat="1" applyBorder="1" applyAlignment="1">
      <alignment wrapText="1"/>
    </xf>
    <xf numFmtId="0" fontId="20" fillId="6" borderId="8" xfId="0" applyNumberFormat="1" applyFont="1" applyFill="1" applyBorder="1"/>
    <xf numFmtId="171" fontId="20" fillId="6" borderId="8" xfId="2" applyNumberFormat="1" applyFont="1" applyFill="1" applyBorder="1"/>
    <xf numFmtId="9" fontId="20" fillId="6" borderId="8" xfId="9" applyFont="1" applyFill="1" applyBorder="1"/>
    <xf numFmtId="0" fontId="20" fillId="0" borderId="0" xfId="0" applyNumberFormat="1" applyFont="1"/>
    <xf numFmtId="0" fontId="20" fillId="0" borderId="8" xfId="0" applyNumberFormat="1" applyFont="1" applyFill="1" applyBorder="1"/>
    <xf numFmtId="171" fontId="20" fillId="0" borderId="8" xfId="2" applyNumberFormat="1" applyFont="1" applyFill="1" applyBorder="1"/>
    <xf numFmtId="9" fontId="20" fillId="0" borderId="8" xfId="9" applyFont="1" applyFill="1" applyBorder="1"/>
    <xf numFmtId="0" fontId="4" fillId="0" borderId="8" xfId="0" applyNumberFormat="1" applyFont="1" applyFill="1" applyBorder="1"/>
    <xf numFmtId="0" fontId="20" fillId="0" borderId="8" xfId="0" applyNumberFormat="1" applyFont="1" applyBorder="1"/>
    <xf numFmtId="171" fontId="19" fillId="4" borderId="8" xfId="2" applyNumberFormat="1" applyFont="1" applyFill="1" applyBorder="1"/>
    <xf numFmtId="9" fontId="19" fillId="4" borderId="8" xfId="9" applyFont="1" applyFill="1" applyBorder="1"/>
    <xf numFmtId="0" fontId="0" fillId="7" borderId="8" xfId="0" applyNumberFormat="1" applyFill="1" applyBorder="1"/>
    <xf numFmtId="0" fontId="20" fillId="7" borderId="8" xfId="0" applyNumberFormat="1" applyFont="1" applyFill="1" applyBorder="1"/>
    <xf numFmtId="171" fontId="4" fillId="7" borderId="8" xfId="2" applyNumberFormat="1" applyFont="1" applyFill="1" applyBorder="1"/>
    <xf numFmtId="9" fontId="4" fillId="7" borderId="8" xfId="9" applyFont="1" applyFill="1" applyBorder="1"/>
    <xf numFmtId="171" fontId="20" fillId="7" borderId="8" xfId="2" applyNumberFormat="1" applyFont="1" applyFill="1" applyBorder="1"/>
    <xf numFmtId="9" fontId="4" fillId="0" borderId="0" xfId="9" applyFont="1"/>
    <xf numFmtId="0" fontId="32" fillId="0" borderId="0" xfId="0" applyNumberFormat="1" applyFont="1"/>
    <xf numFmtId="0" fontId="7" fillId="0" borderId="0" xfId="0" applyNumberFormat="1" applyFont="1"/>
    <xf numFmtId="9" fontId="7" fillId="0" borderId="0" xfId="9" applyFont="1"/>
    <xf numFmtId="171" fontId="7" fillId="0" borderId="0" xfId="0" applyNumberFormat="1" applyFont="1"/>
    <xf numFmtId="164" fontId="24" fillId="10" borderId="0" xfId="0" applyFont="1" applyFill="1"/>
    <xf numFmtId="164" fontId="23" fillId="10" borderId="0" xfId="0" applyFont="1" applyFill="1"/>
    <xf numFmtId="164" fontId="24" fillId="11" borderId="0" xfId="0" applyFont="1" applyFill="1"/>
    <xf numFmtId="164" fontId="23" fillId="11" borderId="0" xfId="0" applyFont="1" applyFill="1"/>
    <xf numFmtId="164" fontId="24" fillId="0" borderId="0" xfId="0" applyFont="1" applyFill="1"/>
    <xf numFmtId="164" fontId="23" fillId="0" borderId="0" xfId="0" applyFont="1" applyFill="1"/>
    <xf numFmtId="166" fontId="23" fillId="0" borderId="0" xfId="2" applyFont="1" applyFill="1"/>
    <xf numFmtId="167" fontId="23" fillId="0" borderId="0" xfId="2" applyNumberFormat="1" applyFont="1" applyFill="1"/>
    <xf numFmtId="3" fontId="23" fillId="0" borderId="0" xfId="2" applyNumberFormat="1" applyFont="1"/>
    <xf numFmtId="164" fontId="23" fillId="0" borderId="0" xfId="0" applyFont="1" applyAlignment="1">
      <alignment horizontal="right"/>
    </xf>
    <xf numFmtId="164" fontId="24" fillId="0" borderId="0" xfId="0" applyFont="1" applyAlignment="1">
      <alignment horizontal="right"/>
    </xf>
    <xf numFmtId="164" fontId="24" fillId="13" borderId="0" xfId="0" applyFont="1" applyFill="1"/>
    <xf numFmtId="164" fontId="24" fillId="14" borderId="0" xfId="0" applyFont="1" applyFill="1"/>
    <xf numFmtId="164" fontId="24" fillId="15" borderId="0" xfId="0" applyFont="1" applyFill="1"/>
    <xf numFmtId="41" fontId="23" fillId="0" borderId="0" xfId="2" applyNumberFormat="1" applyFont="1"/>
    <xf numFmtId="41" fontId="23" fillId="0" borderId="0" xfId="0" applyNumberFormat="1" applyFont="1"/>
    <xf numFmtId="41" fontId="23" fillId="10" borderId="0" xfId="0" applyNumberFormat="1" applyFont="1" applyFill="1"/>
    <xf numFmtId="41" fontId="23" fillId="0" borderId="0" xfId="2" applyNumberFormat="1" applyFont="1" applyFill="1"/>
    <xf numFmtId="164" fontId="26" fillId="0" borderId="0" xfId="0" applyFont="1" applyFill="1"/>
    <xf numFmtId="9" fontId="23" fillId="0" borderId="0" xfId="9" applyFont="1" applyFill="1"/>
    <xf numFmtId="164" fontId="33" fillId="0" borderId="0" xfId="0" applyFont="1" applyFill="1"/>
    <xf numFmtId="164" fontId="23" fillId="15" borderId="0" xfId="0" applyFont="1" applyFill="1"/>
    <xf numFmtId="9" fontId="23" fillId="15" borderId="0" xfId="9" applyFont="1" applyFill="1"/>
    <xf numFmtId="164" fontId="24" fillId="8" borderId="0" xfId="0" applyFont="1" applyFill="1"/>
    <xf numFmtId="164" fontId="23" fillId="8" borderId="0" xfId="0" applyFont="1" applyFill="1"/>
    <xf numFmtId="164" fontId="24" fillId="9" borderId="0" xfId="0" applyFont="1" applyFill="1"/>
    <xf numFmtId="167" fontId="23" fillId="9" borderId="0" xfId="2" applyNumberFormat="1" applyFont="1" applyFill="1"/>
    <xf numFmtId="164" fontId="23" fillId="9" borderId="0" xfId="0" applyFont="1" applyFill="1"/>
    <xf numFmtId="9" fontId="23" fillId="0" borderId="0" xfId="9" applyFont="1"/>
    <xf numFmtId="41" fontId="24" fillId="14" borderId="0" xfId="2" applyNumberFormat="1" applyFont="1" applyFill="1"/>
    <xf numFmtId="167" fontId="24" fillId="10" borderId="0" xfId="2" applyNumberFormat="1" applyFont="1" applyFill="1"/>
    <xf numFmtId="164" fontId="23" fillId="13" borderId="0" xfId="0" applyFont="1" applyFill="1"/>
    <xf numFmtId="167" fontId="23" fillId="13" borderId="0" xfId="2" applyNumberFormat="1" applyFont="1" applyFill="1"/>
    <xf numFmtId="0" fontId="23" fillId="13" borderId="0" xfId="8" applyFont="1" applyFill="1"/>
    <xf numFmtId="165" fontId="23" fillId="13" borderId="0" xfId="9" applyNumberFormat="1" applyFont="1" applyFill="1"/>
    <xf numFmtId="164" fontId="25" fillId="13" borderId="0" xfId="0" applyFont="1" applyFill="1"/>
    <xf numFmtId="167" fontId="24" fillId="0" borderId="0" xfId="2" applyNumberFormat="1" applyFont="1" applyFill="1"/>
    <xf numFmtId="164" fontId="35" fillId="0" borderId="0" xfId="0" applyFont="1"/>
    <xf numFmtId="164" fontId="33" fillId="0" borderId="0" xfId="0" applyFont="1"/>
    <xf numFmtId="164" fontId="23" fillId="0" borderId="0" xfId="0" applyFont="1" applyAlignment="1">
      <alignment horizontal="center" vertical="center" wrapText="1"/>
    </xf>
    <xf numFmtId="164" fontId="33" fillId="0" borderId="0" xfId="0" applyFont="1" applyAlignment="1">
      <alignment horizontal="left" vertical="center" wrapText="1"/>
    </xf>
    <xf numFmtId="2" fontId="23" fillId="0" borderId="0" xfId="9" applyNumberFormat="1" applyFont="1" applyFill="1"/>
    <xf numFmtId="166" fontId="23" fillId="0" borderId="0" xfId="2" applyNumberFormat="1" applyFont="1" applyFill="1"/>
    <xf numFmtId="166" fontId="23" fillId="0" borderId="0" xfId="2" applyNumberFormat="1" applyFont="1"/>
    <xf numFmtId="10" fontId="23" fillId="0" borderId="0" xfId="9" applyNumberFormat="1" applyFont="1"/>
    <xf numFmtId="1" fontId="23" fillId="0" borderId="0" xfId="2" applyNumberFormat="1" applyFont="1"/>
    <xf numFmtId="1" fontId="23" fillId="0" borderId="0" xfId="0" applyNumberFormat="1" applyFont="1"/>
    <xf numFmtId="164" fontId="23" fillId="16" borderId="0" xfId="0" applyFont="1" applyFill="1"/>
    <xf numFmtId="165" fontId="23" fillId="0" borderId="0" xfId="9" applyNumberFormat="1" applyFont="1" applyFill="1"/>
    <xf numFmtId="164" fontId="21" fillId="13" borderId="0" xfId="0" applyFont="1" applyFill="1"/>
    <xf numFmtId="164" fontId="23" fillId="0" borderId="9" xfId="0" applyFont="1" applyBorder="1"/>
    <xf numFmtId="164" fontId="23" fillId="0" borderId="5" xfId="0" applyFont="1" applyBorder="1"/>
    <xf numFmtId="164" fontId="24" fillId="0" borderId="10" xfId="0" applyFont="1" applyBorder="1"/>
    <xf numFmtId="164" fontId="24" fillId="0" borderId="8" xfId="0" applyFont="1" applyBorder="1"/>
    <xf numFmtId="174" fontId="23" fillId="0" borderId="12" xfId="0" applyNumberFormat="1" applyFont="1" applyBorder="1"/>
    <xf numFmtId="0" fontId="0" fillId="0" borderId="0" xfId="0" applyNumberFormat="1" applyFill="1" applyBorder="1"/>
    <xf numFmtId="0" fontId="20" fillId="0" borderId="0" xfId="0" applyNumberFormat="1" applyFont="1" applyFill="1" applyBorder="1"/>
    <xf numFmtId="171" fontId="4" fillId="0" borderId="0" xfId="2" applyNumberFormat="1" applyFont="1" applyFill="1" applyBorder="1"/>
    <xf numFmtId="9" fontId="4" fillId="0" borderId="0" xfId="9" applyFont="1" applyFill="1" applyBorder="1"/>
    <xf numFmtId="171" fontId="20" fillId="0" borderId="0" xfId="2" applyNumberFormat="1" applyFont="1" applyFill="1" applyBorder="1"/>
    <xf numFmtId="0" fontId="0" fillId="0" borderId="0" xfId="0" applyNumberFormat="1" applyFill="1"/>
    <xf numFmtId="0" fontId="0" fillId="0" borderId="10" xfId="0" applyNumberFormat="1" applyBorder="1"/>
    <xf numFmtId="171" fontId="4" fillId="0" borderId="5" xfId="2" applyNumberFormat="1" applyFont="1" applyBorder="1"/>
    <xf numFmtId="0" fontId="12" fillId="17" borderId="0" xfId="8" applyFill="1"/>
    <xf numFmtId="0" fontId="12" fillId="17" borderId="0" xfId="8" applyFill="1" applyAlignment="1">
      <alignment horizontal="right"/>
    </xf>
    <xf numFmtId="164" fontId="23" fillId="0" borderId="0" xfId="0" applyFont="1" applyAlignment="1">
      <alignment horizontal="center" vertical="center"/>
    </xf>
    <xf numFmtId="164" fontId="23" fillId="0" borderId="0" xfId="0" applyFont="1" applyAlignment="1">
      <alignment horizontal="center"/>
    </xf>
    <xf numFmtId="164" fontId="42" fillId="0" borderId="0" xfId="0" applyFont="1"/>
    <xf numFmtId="164" fontId="24" fillId="0" borderId="2" xfId="0" applyFont="1" applyBorder="1"/>
    <xf numFmtId="164" fontId="23" fillId="0" borderId="3" xfId="0" applyFont="1" applyBorder="1"/>
    <xf numFmtId="164" fontId="23" fillId="0" borderId="4" xfId="0" applyFont="1" applyBorder="1"/>
    <xf numFmtId="164" fontId="23" fillId="0" borderId="9" xfId="0" applyFont="1" applyBorder="1" applyAlignment="1">
      <alignment horizontal="left"/>
    </xf>
    <xf numFmtId="164" fontId="23" fillId="0" borderId="0" xfId="0" applyFont="1" applyBorder="1" applyAlignment="1">
      <alignment horizontal="center"/>
    </xf>
    <xf numFmtId="164" fontId="23" fillId="0" borderId="0" xfId="0" applyFont="1" applyBorder="1" applyAlignment="1">
      <alignment horizontal="left"/>
    </xf>
    <xf numFmtId="164" fontId="23" fillId="0" borderId="0" xfId="0" applyFont="1" applyBorder="1"/>
    <xf numFmtId="164" fontId="23" fillId="0" borderId="13" xfId="0" applyFont="1" applyBorder="1"/>
    <xf numFmtId="164" fontId="23" fillId="0" borderId="7" xfId="0" applyFont="1" applyBorder="1"/>
    <xf numFmtId="164" fontId="23" fillId="0" borderId="0" xfId="0" applyFont="1" applyBorder="1" applyAlignment="1">
      <alignment horizontal="right"/>
    </xf>
    <xf numFmtId="167" fontId="23" fillId="0" borderId="0" xfId="2" applyNumberFormat="1" applyFont="1" applyBorder="1"/>
    <xf numFmtId="164" fontId="23" fillId="0" borderId="13" xfId="0" applyFont="1" applyBorder="1" applyAlignment="1">
      <alignment horizontal="center"/>
    </xf>
    <xf numFmtId="165" fontId="23" fillId="0" borderId="0" xfId="9" applyNumberFormat="1" applyFont="1" applyBorder="1"/>
    <xf numFmtId="164" fontId="44" fillId="0" borderId="9" xfId="0" applyFont="1" applyBorder="1" applyAlignment="1">
      <alignment horizontal="left"/>
    </xf>
    <xf numFmtId="165" fontId="45" fillId="0" borderId="0" xfId="9" applyNumberFormat="1" applyFont="1" applyBorder="1"/>
    <xf numFmtId="164" fontId="45" fillId="0" borderId="0" xfId="0" applyFont="1" applyBorder="1"/>
    <xf numFmtId="164" fontId="45" fillId="0" borderId="13" xfId="0" applyFont="1" applyBorder="1"/>
    <xf numFmtId="164" fontId="46" fillId="0" borderId="6" xfId="17" applyNumberFormat="1" applyFont="1" applyBorder="1" applyAlignment="1" applyProtection="1"/>
    <xf numFmtId="164" fontId="46" fillId="0" borderId="7" xfId="17" applyNumberFormat="1" applyFont="1" applyBorder="1" applyAlignment="1" applyProtection="1"/>
    <xf numFmtId="164" fontId="47" fillId="0" borderId="5" xfId="17" applyNumberFormat="1" applyFont="1" applyBorder="1" applyAlignment="1" applyProtection="1"/>
    <xf numFmtId="164" fontId="44" fillId="0" borderId="0" xfId="0" applyFont="1"/>
    <xf numFmtId="167" fontId="23" fillId="0" borderId="3" xfId="2" applyNumberFormat="1" applyFont="1" applyBorder="1"/>
    <xf numFmtId="167" fontId="23" fillId="0" borderId="4" xfId="2" applyNumberFormat="1" applyFont="1" applyBorder="1"/>
    <xf numFmtId="167" fontId="23" fillId="0" borderId="13" xfId="2" applyNumberFormat="1" applyFont="1" applyBorder="1"/>
    <xf numFmtId="164" fontId="44" fillId="0" borderId="5" xfId="0" applyFont="1" applyBorder="1"/>
    <xf numFmtId="167" fontId="23" fillId="0" borderId="6" xfId="2" applyNumberFormat="1" applyFont="1" applyBorder="1"/>
    <xf numFmtId="167" fontId="23" fillId="0" borderId="7" xfId="2" applyNumberFormat="1" applyFont="1" applyBorder="1"/>
    <xf numFmtId="166" fontId="23" fillId="0" borderId="0" xfId="2" applyNumberFormat="1" applyFont="1" applyBorder="1"/>
    <xf numFmtId="164" fontId="47" fillId="0" borderId="0" xfId="17" applyNumberFormat="1" applyFont="1" applyAlignment="1" applyProtection="1"/>
    <xf numFmtId="164" fontId="24" fillId="18" borderId="2" xfId="0" applyFont="1" applyFill="1" applyBorder="1"/>
    <xf numFmtId="164" fontId="23" fillId="18" borderId="3" xfId="0" applyFont="1" applyFill="1" applyBorder="1"/>
    <xf numFmtId="164" fontId="23" fillId="18" borderId="4" xfId="0" applyFont="1" applyFill="1" applyBorder="1"/>
    <xf numFmtId="164" fontId="23" fillId="18" borderId="9" xfId="0" applyFont="1" applyFill="1" applyBorder="1" applyAlignment="1">
      <alignment horizontal="left"/>
    </xf>
    <xf numFmtId="164" fontId="23" fillId="18" borderId="0" xfId="0" applyFont="1" applyFill="1" applyBorder="1" applyAlignment="1">
      <alignment horizontal="left"/>
    </xf>
    <xf numFmtId="164" fontId="23" fillId="18" borderId="13" xfId="0" applyFont="1" applyFill="1" applyBorder="1"/>
    <xf numFmtId="164" fontId="23" fillId="18" borderId="5" xfId="0" applyFont="1" applyFill="1" applyBorder="1"/>
    <xf numFmtId="164" fontId="23" fillId="18" borderId="6" xfId="0" applyFont="1" applyFill="1" applyBorder="1"/>
    <xf numFmtId="164" fontId="23" fillId="18" borderId="7" xfId="0" applyFont="1" applyFill="1" applyBorder="1"/>
    <xf numFmtId="165" fontId="22" fillId="12" borderId="0" xfId="9" applyNumberFormat="1" applyFont="1" applyFill="1"/>
    <xf numFmtId="164" fontId="44" fillId="0" borderId="0" xfId="0" applyFont="1" applyAlignment="1">
      <alignment horizontal="left"/>
    </xf>
    <xf numFmtId="164" fontId="24" fillId="19" borderId="0" xfId="0" applyFont="1" applyFill="1" applyAlignment="1">
      <alignment horizontal="left" vertical="center"/>
    </xf>
    <xf numFmtId="3" fontId="24" fillId="19" borderId="0" xfId="2" applyNumberFormat="1" applyFont="1" applyFill="1"/>
    <xf numFmtId="164" fontId="24" fillId="19" borderId="0" xfId="0" applyFont="1" applyFill="1"/>
    <xf numFmtId="171" fontId="23" fillId="0" borderId="0" xfId="2" applyNumberFormat="1" applyFont="1"/>
    <xf numFmtId="164" fontId="50" fillId="0" borderId="0" xfId="0" applyFont="1" applyAlignment="1">
      <alignment horizontal="right"/>
    </xf>
    <xf numFmtId="165" fontId="50" fillId="0" borderId="0" xfId="9" applyNumberFormat="1" applyFont="1"/>
    <xf numFmtId="41" fontId="50" fillId="0" borderId="0" xfId="0" applyNumberFormat="1" applyFont="1"/>
    <xf numFmtId="164" fontId="24" fillId="0" borderId="0" xfId="0" applyFont="1" applyFill="1" applyAlignment="1">
      <alignment horizontal="left" vertical="center"/>
    </xf>
    <xf numFmtId="3" fontId="24" fillId="0" borderId="0" xfId="2" applyNumberFormat="1" applyFont="1" applyFill="1"/>
    <xf numFmtId="164" fontId="24" fillId="0" borderId="15" xfId="0" applyFont="1" applyFill="1" applyBorder="1" applyAlignment="1">
      <alignment horizontal="left" vertical="center"/>
    </xf>
    <xf numFmtId="164" fontId="24" fillId="0" borderId="18" xfId="0" applyFont="1" applyFill="1" applyBorder="1" applyAlignment="1">
      <alignment horizontal="left" vertical="center"/>
    </xf>
    <xf numFmtId="164" fontId="24" fillId="0" borderId="20" xfId="0" applyFont="1" applyFill="1" applyBorder="1" applyAlignment="1">
      <alignment horizontal="left" vertical="center"/>
    </xf>
    <xf numFmtId="164" fontId="24" fillId="0" borderId="15" xfId="0" applyFont="1" applyFill="1" applyBorder="1"/>
    <xf numFmtId="165" fontId="23" fillId="0" borderId="0" xfId="9" applyNumberFormat="1" applyFont="1" applyFill="1" applyBorder="1" applyAlignment="1">
      <alignment horizontal="center"/>
    </xf>
    <xf numFmtId="164" fontId="24" fillId="0" borderId="16" xfId="0" applyFont="1" applyFill="1" applyBorder="1" applyAlignment="1">
      <alignment horizontal="center"/>
    </xf>
    <xf numFmtId="3" fontId="24" fillId="0" borderId="16" xfId="2" applyNumberFormat="1" applyFont="1" applyFill="1" applyBorder="1" applyAlignment="1">
      <alignment horizontal="center"/>
    </xf>
    <xf numFmtId="164" fontId="24" fillId="0" borderId="17" xfId="0" applyFont="1" applyFill="1" applyBorder="1" applyAlignment="1">
      <alignment horizontal="center"/>
    </xf>
    <xf numFmtId="165" fontId="23" fillId="0" borderId="19" xfId="9" applyNumberFormat="1" applyFont="1" applyFill="1" applyBorder="1" applyAlignment="1">
      <alignment horizontal="center"/>
    </xf>
    <xf numFmtId="165" fontId="23" fillId="0" borderId="1" xfId="9" applyNumberFormat="1" applyFont="1" applyFill="1" applyBorder="1" applyAlignment="1">
      <alignment horizontal="center"/>
    </xf>
    <xf numFmtId="165" fontId="23" fillId="0" borderId="21" xfId="9" applyNumberFormat="1" applyFont="1" applyFill="1" applyBorder="1" applyAlignment="1">
      <alignment horizontal="center"/>
    </xf>
    <xf numFmtId="41" fontId="23" fillId="0" borderId="0" xfId="0" applyNumberFormat="1" applyFont="1" applyFill="1" applyBorder="1"/>
    <xf numFmtId="41" fontId="23" fillId="0" borderId="19" xfId="0" applyNumberFormat="1" applyFont="1" applyFill="1" applyBorder="1"/>
    <xf numFmtId="41" fontId="23" fillId="0" borderId="1" xfId="0" applyNumberFormat="1" applyFont="1" applyFill="1" applyBorder="1"/>
    <xf numFmtId="41" fontId="23" fillId="0" borderId="21" xfId="0" applyNumberFormat="1" applyFont="1" applyFill="1" applyBorder="1"/>
    <xf numFmtId="164" fontId="25" fillId="0" borderId="0" xfId="0" applyFont="1" applyFill="1"/>
    <xf numFmtId="164" fontId="0" fillId="0" borderId="0" xfId="0" applyFill="1"/>
    <xf numFmtId="164" fontId="34" fillId="0" borderId="0" xfId="0" applyFont="1" applyFill="1" applyAlignment="1">
      <alignment horizontal="center"/>
    </xf>
    <xf numFmtId="164" fontId="51" fillId="8" borderId="0" xfId="0" applyFont="1" applyFill="1"/>
    <xf numFmtId="164" fontId="33" fillId="8" borderId="0" xfId="0" applyFont="1" applyFill="1" applyAlignment="1">
      <alignment horizontal="center"/>
    </xf>
    <xf numFmtId="164" fontId="33" fillId="8" borderId="0" xfId="0" applyFont="1" applyFill="1" applyAlignment="1">
      <alignment horizontal="left"/>
    </xf>
    <xf numFmtId="164" fontId="33" fillId="8" borderId="0" xfId="0" applyFont="1" applyFill="1"/>
    <xf numFmtId="164" fontId="34" fillId="8" borderId="0" xfId="0" applyFont="1" applyFill="1" applyAlignment="1">
      <alignment horizontal="center"/>
    </xf>
    <xf numFmtId="164" fontId="25" fillId="8" borderId="0" xfId="0" applyFont="1" applyFill="1"/>
    <xf numFmtId="164" fontId="23" fillId="8" borderId="0" xfId="0" applyFont="1" applyFill="1" applyAlignment="1">
      <alignment horizontal="center"/>
    </xf>
    <xf numFmtId="164" fontId="51" fillId="10" borderId="0" xfId="0" applyFont="1" applyFill="1"/>
    <xf numFmtId="164" fontId="33" fillId="10" borderId="0" xfId="0" applyFont="1" applyFill="1" applyAlignment="1">
      <alignment horizontal="center"/>
    </xf>
    <xf numFmtId="164" fontId="33" fillId="10" borderId="0" xfId="0" applyFont="1" applyFill="1" applyAlignment="1">
      <alignment horizontal="left"/>
    </xf>
    <xf numFmtId="0" fontId="25" fillId="10" borderId="0" xfId="8" applyFont="1" applyFill="1"/>
    <xf numFmtId="167" fontId="23" fillId="10" borderId="0" xfId="2" applyNumberFormat="1" applyFont="1" applyFill="1"/>
    <xf numFmtId="9" fontId="23" fillId="10" borderId="0" xfId="9" applyFont="1" applyFill="1"/>
    <xf numFmtId="164" fontId="25" fillId="10" borderId="0" xfId="0" applyFont="1" applyFill="1"/>
    <xf numFmtId="165" fontId="23" fillId="10" borderId="0" xfId="9" applyNumberFormat="1" applyFont="1" applyFill="1"/>
    <xf numFmtId="164" fontId="51" fillId="11" borderId="0" xfId="0" applyFont="1" applyFill="1"/>
    <xf numFmtId="165" fontId="49" fillId="0" borderId="0" xfId="9" applyNumberFormat="1" applyFont="1" applyFill="1" applyBorder="1" applyAlignment="1">
      <alignment horizontal="center"/>
    </xf>
    <xf numFmtId="41" fontId="49" fillId="0" borderId="0" xfId="2" applyNumberFormat="1" applyFont="1" applyFill="1" applyBorder="1"/>
    <xf numFmtId="165" fontId="52" fillId="0" borderId="19" xfId="9" applyNumberFormat="1" applyFont="1" applyFill="1" applyBorder="1" applyAlignment="1">
      <alignment horizontal="center"/>
    </xf>
    <xf numFmtId="41" fontId="52" fillId="0" borderId="19" xfId="0" applyNumberFormat="1" applyFont="1" applyFill="1" applyBorder="1"/>
    <xf numFmtId="165" fontId="50" fillId="0" borderId="1" xfId="9" applyNumberFormat="1" applyFont="1" applyFill="1" applyBorder="1" applyAlignment="1">
      <alignment horizontal="center"/>
    </xf>
    <xf numFmtId="41" fontId="50" fillId="0" borderId="1" xfId="0" applyNumberFormat="1" applyFont="1" applyFill="1" applyBorder="1"/>
    <xf numFmtId="165" fontId="24" fillId="11" borderId="0" xfId="9" applyNumberFormat="1" applyFont="1" applyFill="1"/>
    <xf numFmtId="41" fontId="0" fillId="0" borderId="0" xfId="0" applyNumberFormat="1"/>
    <xf numFmtId="164" fontId="0" fillId="11" borderId="0" xfId="0" applyFont="1" applyFill="1"/>
    <xf numFmtId="41" fontId="23" fillId="11" borderId="0" xfId="0" applyNumberFormat="1" applyFont="1" applyFill="1"/>
    <xf numFmtId="167" fontId="23" fillId="10" borderId="0" xfId="2" applyNumberFormat="1" applyFont="1" applyFill="1" applyAlignment="1">
      <alignment horizontal="right"/>
    </xf>
    <xf numFmtId="168" fontId="23" fillId="10" borderId="0" xfId="2" applyNumberFormat="1" applyFont="1" applyFill="1" applyAlignment="1">
      <alignment horizontal="right"/>
    </xf>
    <xf numFmtId="165" fontId="23" fillId="10" borderId="0" xfId="9" applyNumberFormat="1" applyFont="1" applyFill="1" applyAlignment="1">
      <alignment horizontal="right"/>
    </xf>
    <xf numFmtId="164" fontId="33" fillId="10" borderId="0" xfId="0" applyFont="1" applyFill="1" applyAlignment="1">
      <alignment horizontal="right"/>
    </xf>
    <xf numFmtId="171" fontId="0" fillId="0" borderId="0" xfId="0" applyNumberFormat="1"/>
    <xf numFmtId="0" fontId="0" fillId="0" borderId="2" xfId="0" applyNumberFormat="1" applyBorder="1"/>
    <xf numFmtId="1" fontId="20" fillId="0" borderId="2" xfId="2" applyNumberFormat="1" applyFont="1" applyBorder="1"/>
    <xf numFmtId="1" fontId="20" fillId="0" borderId="3" xfId="2" applyNumberFormat="1" applyFont="1" applyBorder="1"/>
    <xf numFmtId="1" fontId="20" fillId="0" borderId="4" xfId="2" applyNumberFormat="1" applyFont="1" applyBorder="1"/>
    <xf numFmtId="171" fontId="20" fillId="0" borderId="4" xfId="2" applyNumberFormat="1" applyFont="1" applyBorder="1"/>
    <xf numFmtId="167" fontId="4" fillId="0" borderId="2" xfId="2" applyNumberFormat="1" applyFont="1" applyBorder="1"/>
    <xf numFmtId="171" fontId="4" fillId="0" borderId="0" xfId="9" applyNumberFormat="1" applyFont="1"/>
    <xf numFmtId="164" fontId="24" fillId="0" borderId="0" xfId="0" applyFont="1" applyFill="1" applyBorder="1"/>
    <xf numFmtId="164" fontId="23" fillId="0" borderId="0" xfId="0" applyFont="1" applyFill="1" applyBorder="1" applyAlignment="1">
      <alignment vertical="center"/>
    </xf>
    <xf numFmtId="164" fontId="23" fillId="0" borderId="0" xfId="0" applyFont="1" applyFill="1" applyBorder="1"/>
    <xf numFmtId="164" fontId="53" fillId="0" borderId="0" xfId="0" applyFont="1" applyFill="1" applyBorder="1"/>
    <xf numFmtId="164" fontId="23" fillId="0" borderId="0" xfId="0" applyFont="1" applyFill="1" applyBorder="1" applyAlignment="1">
      <alignment horizontal="left"/>
    </xf>
    <xf numFmtId="10" fontId="24" fillId="0" borderId="0" xfId="9" applyNumberFormat="1" applyFont="1" applyFill="1" applyBorder="1"/>
    <xf numFmtId="3" fontId="23" fillId="0" borderId="0" xfId="0" applyNumberFormat="1" applyFont="1" applyFill="1" applyBorder="1"/>
    <xf numFmtId="167" fontId="23" fillId="0" borderId="0" xfId="2" applyNumberFormat="1" applyFont="1" applyFill="1" applyBorder="1"/>
    <xf numFmtId="164" fontId="23" fillId="0" borderId="0" xfId="0" applyFont="1" applyFill="1" applyBorder="1" applyAlignment="1">
      <alignment horizontal="left" vertical="center"/>
    </xf>
    <xf numFmtId="172" fontId="23" fillId="0" borderId="0" xfId="9" applyNumberFormat="1" applyFont="1" applyFill="1" applyBorder="1" applyAlignment="1">
      <alignment vertical="center"/>
    </xf>
    <xf numFmtId="164" fontId="23" fillId="0" borderId="0" xfId="0" applyFont="1" applyFill="1" applyBorder="1" applyAlignment="1">
      <alignment horizontal="left" vertical="center" wrapText="1"/>
    </xf>
    <xf numFmtId="167" fontId="23" fillId="0" borderId="0" xfId="2" applyNumberFormat="1" applyFont="1" applyFill="1" applyBorder="1" applyAlignment="1">
      <alignment vertical="center"/>
    </xf>
    <xf numFmtId="164" fontId="26" fillId="0" borderId="0" xfId="0" applyFont="1" applyFill="1" applyBorder="1"/>
    <xf numFmtId="164" fontId="54" fillId="0" borderId="0" xfId="0" applyFont="1" applyFill="1" applyBorder="1"/>
    <xf numFmtId="164" fontId="24" fillId="0" borderId="0" xfId="0" applyFont="1" applyFill="1" applyBorder="1" applyAlignment="1">
      <alignment horizontal="left" vertical="center"/>
    </xf>
    <xf numFmtId="3" fontId="24" fillId="0" borderId="0" xfId="0" applyNumberFormat="1" applyFont="1" applyFill="1" applyBorder="1"/>
    <xf numFmtId="167" fontId="24" fillId="0" borderId="0" xfId="2" applyNumberFormat="1" applyFont="1" applyFill="1" applyBorder="1"/>
    <xf numFmtId="164" fontId="23" fillId="10" borderId="0" xfId="0" applyFont="1" applyFill="1" applyBorder="1"/>
    <xf numFmtId="164" fontId="24" fillId="10" borderId="0" xfId="0" applyFont="1" applyFill="1" applyBorder="1"/>
    <xf numFmtId="164" fontId="23" fillId="13" borderId="0" xfId="0" applyFont="1" applyFill="1" applyBorder="1" applyAlignment="1">
      <alignment horizontal="left" vertical="center" wrapText="1"/>
    </xf>
    <xf numFmtId="169" fontId="23" fillId="13" borderId="0" xfId="0" applyNumberFormat="1" applyFont="1" applyFill="1" applyBorder="1" applyAlignment="1">
      <alignment vertical="center"/>
    </xf>
    <xf numFmtId="164" fontId="24" fillId="15" borderId="0" xfId="0" applyFont="1" applyFill="1" applyBorder="1" applyAlignment="1">
      <alignment horizontal="left" vertical="center"/>
    </xf>
    <xf numFmtId="164" fontId="23" fillId="15" borderId="0" xfId="0" applyFont="1" applyFill="1" applyBorder="1" applyAlignment="1">
      <alignment horizontal="left" vertical="center" wrapText="1"/>
    </xf>
    <xf numFmtId="169" fontId="23" fillId="15" borderId="0" xfId="0" applyNumberFormat="1" applyFont="1" applyFill="1" applyBorder="1" applyAlignment="1">
      <alignment vertical="center"/>
    </xf>
    <xf numFmtId="164" fontId="23" fillId="15" borderId="0" xfId="0" applyFont="1" applyFill="1" applyBorder="1" applyAlignment="1">
      <alignment vertical="center"/>
    </xf>
    <xf numFmtId="164" fontId="24" fillId="13" borderId="0" xfId="0" applyFont="1" applyFill="1" applyBorder="1" applyAlignment="1">
      <alignment vertical="center"/>
    </xf>
    <xf numFmtId="164" fontId="25" fillId="13" borderId="0" xfId="0" applyFont="1" applyFill="1" applyBorder="1" applyAlignment="1">
      <alignment horizontal="right" vertical="center"/>
    </xf>
    <xf numFmtId="172" fontId="23" fillId="13" borderId="0" xfId="9" applyNumberFormat="1" applyFont="1" applyFill="1" applyBorder="1" applyAlignment="1">
      <alignment vertical="center"/>
    </xf>
    <xf numFmtId="164" fontId="53" fillId="13" borderId="0" xfId="0" applyFont="1" applyFill="1" applyBorder="1" applyAlignment="1">
      <alignment vertical="center"/>
    </xf>
    <xf numFmtId="164" fontId="23" fillId="13" borderId="0" xfId="0" applyFont="1" applyFill="1" applyBorder="1" applyAlignment="1">
      <alignment horizontal="left" vertical="center"/>
    </xf>
    <xf numFmtId="164" fontId="53" fillId="13" borderId="0" xfId="0" applyFont="1" applyFill="1" applyBorder="1" applyAlignment="1">
      <alignment horizontal="left" vertical="center"/>
    </xf>
    <xf numFmtId="169" fontId="25" fillId="13" borderId="0" xfId="0" applyNumberFormat="1" applyFont="1" applyFill="1" applyBorder="1" applyAlignment="1">
      <alignment vertical="center"/>
    </xf>
    <xf numFmtId="164" fontId="23" fillId="0" borderId="6" xfId="0" applyFont="1" applyFill="1" applyBorder="1" applyAlignment="1">
      <alignment horizontal="left"/>
    </xf>
    <xf numFmtId="3" fontId="23" fillId="0" borderId="6" xfId="0" applyNumberFormat="1" applyFont="1" applyFill="1" applyBorder="1"/>
    <xf numFmtId="164" fontId="23" fillId="0" borderId="6" xfId="0" applyFont="1" applyFill="1" applyBorder="1"/>
    <xf numFmtId="164" fontId="23" fillId="0" borderId="6" xfId="0" applyFont="1" applyBorder="1"/>
    <xf numFmtId="164" fontId="23" fillId="0" borderId="0" xfId="0" applyFont="1" applyFill="1" applyBorder="1" applyAlignment="1">
      <alignment horizontal="right"/>
    </xf>
    <xf numFmtId="164" fontId="51" fillId="0" borderId="0" xfId="0" applyFont="1" applyFill="1" applyBorder="1" applyAlignment="1">
      <alignment horizontal="right"/>
    </xf>
    <xf numFmtId="164" fontId="53" fillId="0" borderId="0" xfId="0" applyFont="1" applyFill="1" applyBorder="1" applyAlignment="1">
      <alignment horizontal="left"/>
    </xf>
    <xf numFmtId="164" fontId="24" fillId="0" borderId="0" xfId="0" applyFont="1" applyFill="1" applyBorder="1" applyAlignment="1">
      <alignment horizontal="left"/>
    </xf>
    <xf numFmtId="3" fontId="23" fillId="0" borderId="0" xfId="0" applyNumberFormat="1" applyFont="1" applyFill="1" applyBorder="1" applyAlignment="1">
      <alignment horizontal="right"/>
    </xf>
    <xf numFmtId="40" fontId="24" fillId="0" borderId="0" xfId="2" applyNumberFormat="1" applyFont="1" applyFill="1" applyBorder="1"/>
    <xf numFmtId="164" fontId="53" fillId="0" borderId="0" xfId="0" applyFont="1" applyFill="1" applyBorder="1" applyAlignment="1"/>
    <xf numFmtId="164" fontId="23" fillId="0" borderId="0" xfId="0" applyFont="1" applyFill="1" applyBorder="1" applyAlignment="1"/>
    <xf numFmtId="164" fontId="53" fillId="0" borderId="0" xfId="0" applyFont="1" applyFill="1" applyBorder="1" applyAlignment="1">
      <alignment horizontal="right" vertical="center"/>
    </xf>
    <xf numFmtId="10" fontId="23" fillId="0" borderId="0" xfId="9" applyNumberFormat="1" applyFont="1" applyFill="1" applyBorder="1"/>
    <xf numFmtId="164" fontId="55" fillId="3" borderId="0" xfId="0" applyFont="1" applyFill="1" applyBorder="1" applyAlignment="1">
      <alignment horizontal="right" vertical="center"/>
    </xf>
    <xf numFmtId="10" fontId="22" fillId="3" borderId="0" xfId="9" applyNumberFormat="1" applyFont="1" applyFill="1" applyBorder="1" applyAlignment="1">
      <alignment horizontal="right" vertical="center"/>
    </xf>
    <xf numFmtId="164" fontId="55" fillId="3" borderId="0" xfId="0" applyFont="1" applyFill="1" applyBorder="1" applyAlignment="1">
      <alignment horizontal="right"/>
    </xf>
    <xf numFmtId="165" fontId="23" fillId="0" borderId="0" xfId="9" applyNumberFormat="1" applyFont="1" applyFill="1" applyBorder="1"/>
    <xf numFmtId="164" fontId="23" fillId="0" borderId="0" xfId="0" quotePrefix="1" applyFont="1" applyFill="1" applyBorder="1" applyAlignment="1">
      <alignment horizontal="right"/>
    </xf>
    <xf numFmtId="3" fontId="24" fillId="0" borderId="0" xfId="9" applyNumberFormat="1" applyFont="1" applyFill="1" applyBorder="1"/>
    <xf numFmtId="3" fontId="23" fillId="0" borderId="0" xfId="9" applyNumberFormat="1" applyFont="1" applyFill="1" applyBorder="1"/>
    <xf numFmtId="164" fontId="56" fillId="0" borderId="0" xfId="0" applyFont="1" applyFill="1" applyBorder="1" applyAlignment="1">
      <alignment horizontal="right"/>
    </xf>
    <xf numFmtId="10" fontId="56" fillId="0" borderId="0" xfId="9" applyNumberFormat="1" applyFont="1" applyFill="1" applyBorder="1"/>
    <xf numFmtId="3" fontId="56" fillId="0" borderId="0" xfId="9" applyNumberFormat="1" applyFont="1" applyFill="1" applyBorder="1"/>
    <xf numFmtId="164" fontId="24" fillId="0" borderId="0" xfId="0" applyFont="1" applyFill="1" applyBorder="1" applyAlignment="1">
      <alignment horizontal="right"/>
    </xf>
    <xf numFmtId="164" fontId="26" fillId="0" borderId="0" xfId="0" applyFont="1" applyFill="1" applyBorder="1" applyAlignment="1">
      <alignment vertical="center"/>
    </xf>
    <xf numFmtId="164" fontId="25" fillId="0" borderId="0" xfId="0" applyFont="1" applyFill="1" applyBorder="1" applyAlignment="1">
      <alignment horizontal="left"/>
    </xf>
    <xf numFmtId="164" fontId="24" fillId="14" borderId="0" xfId="0" applyFont="1" applyFill="1" applyBorder="1" applyAlignment="1">
      <alignment horizontal="left" vertical="center"/>
    </xf>
    <xf numFmtId="3" fontId="24" fillId="14" borderId="0" xfId="0" applyNumberFormat="1" applyFont="1" applyFill="1" applyBorder="1"/>
    <xf numFmtId="164" fontId="23" fillId="0" borderId="2" xfId="0" applyFont="1" applyBorder="1"/>
    <xf numFmtId="176" fontId="23" fillId="0" borderId="0" xfId="2" applyNumberFormat="1" applyFont="1" applyFill="1" applyBorder="1" applyAlignment="1">
      <alignment vertical="center"/>
    </xf>
    <xf numFmtId="164" fontId="25" fillId="0" borderId="0" xfId="0" applyFont="1" applyAlignment="1">
      <alignment horizontal="right"/>
    </xf>
    <xf numFmtId="164" fontId="23" fillId="0" borderId="5" xfId="0" applyFont="1" applyBorder="1" applyAlignment="1">
      <alignment horizontal="right"/>
    </xf>
    <xf numFmtId="171" fontId="4" fillId="0" borderId="4" xfId="2" applyNumberFormat="1" applyFont="1" applyBorder="1"/>
    <xf numFmtId="0" fontId="0" fillId="0" borderId="5" xfId="0" applyNumberFormat="1" applyBorder="1"/>
    <xf numFmtId="171" fontId="4" fillId="0" borderId="7" xfId="2" applyNumberFormat="1" applyFont="1" applyBorder="1"/>
    <xf numFmtId="177" fontId="23" fillId="0" borderId="0" xfId="2" applyNumberFormat="1" applyFont="1"/>
    <xf numFmtId="166" fontId="23" fillId="10" borderId="0" xfId="2" applyFont="1" applyFill="1"/>
    <xf numFmtId="164" fontId="57" fillId="0" borderId="8" xfId="0" applyFont="1" applyBorder="1"/>
    <xf numFmtId="167" fontId="23" fillId="0" borderId="8" xfId="2" applyNumberFormat="1" applyFont="1" applyBorder="1"/>
    <xf numFmtId="168" fontId="23" fillId="0" borderId="0" xfId="2" applyNumberFormat="1" applyFont="1" applyFill="1"/>
    <xf numFmtId="11" fontId="23" fillId="0" borderId="0" xfId="2" applyNumberFormat="1" applyFont="1" applyFill="1"/>
    <xf numFmtId="11" fontId="23" fillId="0" borderId="0" xfId="0" applyNumberFormat="1" applyFont="1" applyFill="1"/>
    <xf numFmtId="164" fontId="47" fillId="0" borderId="0" xfId="17" applyNumberFormat="1" applyFont="1" applyAlignment="1" applyProtection="1">
      <alignment wrapText="1"/>
    </xf>
    <xf numFmtId="9" fontId="23" fillId="10" borderId="0" xfId="9" applyNumberFormat="1" applyFont="1" applyFill="1" applyAlignment="1">
      <alignment horizontal="right"/>
    </xf>
    <xf numFmtId="166" fontId="23" fillId="0" borderId="0" xfId="2" applyFont="1" applyFill="1" applyBorder="1"/>
    <xf numFmtId="164" fontId="23" fillId="0" borderId="0" xfId="0" quotePrefix="1" applyFont="1"/>
    <xf numFmtId="164" fontId="23" fillId="9" borderId="0" xfId="0" applyFont="1" applyFill="1" applyBorder="1"/>
    <xf numFmtId="164" fontId="24" fillId="9" borderId="0" xfId="0" applyFont="1" applyFill="1" applyBorder="1"/>
    <xf numFmtId="3" fontId="23" fillId="0" borderId="0" xfId="2" applyNumberFormat="1" applyFont="1" applyFill="1" applyBorder="1" applyAlignment="1">
      <alignment horizontal="left" vertical="center"/>
    </xf>
    <xf numFmtId="164" fontId="23" fillId="10" borderId="0" xfId="0" applyFont="1" applyFill="1" applyBorder="1" applyAlignment="1">
      <alignment horizontal="left" vertical="center" wrapText="1"/>
    </xf>
    <xf numFmtId="169" fontId="25" fillId="10" borderId="0" xfId="0" applyNumberFormat="1" applyFont="1" applyFill="1" applyBorder="1" applyAlignment="1">
      <alignment vertical="center"/>
    </xf>
    <xf numFmtId="41" fontId="23" fillId="0" borderId="0" xfId="2" applyNumberFormat="1" applyFont="1" applyFill="1" applyBorder="1"/>
    <xf numFmtId="41" fontId="23" fillId="11" borderId="0" xfId="2" applyNumberFormat="1" applyFont="1" applyFill="1"/>
    <xf numFmtId="41" fontId="24" fillId="0" borderId="0" xfId="2" applyNumberFormat="1" applyFont="1"/>
    <xf numFmtId="41" fontId="23" fillId="9" borderId="0" xfId="2" applyNumberFormat="1" applyFont="1" applyFill="1" applyBorder="1"/>
    <xf numFmtId="41" fontId="54" fillId="0" borderId="0" xfId="2" applyNumberFormat="1" applyFont="1" applyFill="1" applyBorder="1"/>
    <xf numFmtId="41" fontId="24" fillId="0" borderId="0" xfId="2" applyNumberFormat="1" applyFont="1" applyFill="1" applyBorder="1"/>
    <xf numFmtId="172" fontId="23" fillId="10" borderId="0" xfId="9" applyNumberFormat="1" applyFont="1" applyFill="1" applyAlignment="1">
      <alignment horizontal="right"/>
    </xf>
    <xf numFmtId="172" fontId="23" fillId="10" borderId="0" xfId="9" applyNumberFormat="1" applyFont="1" applyFill="1"/>
    <xf numFmtId="0" fontId="16" fillId="0" borderId="0" xfId="8" applyFont="1"/>
    <xf numFmtId="10" fontId="25" fillId="13" borderId="0" xfId="9" applyNumberFormat="1" applyFont="1" applyFill="1"/>
    <xf numFmtId="175" fontId="25" fillId="13" borderId="0" xfId="18" applyNumberFormat="1" applyFont="1" applyFill="1"/>
    <xf numFmtId="167" fontId="4" fillId="0" borderId="3" xfId="2" applyNumberFormat="1" applyFont="1" applyBorder="1"/>
    <xf numFmtId="167" fontId="4" fillId="0" borderId="4" xfId="2" applyNumberFormat="1" applyFont="1" applyBorder="1"/>
    <xf numFmtId="164" fontId="24" fillId="0" borderId="0" xfId="0" applyFont="1" applyAlignment="1">
      <alignment horizontal="center"/>
    </xf>
    <xf numFmtId="164" fontId="60" fillId="0" borderId="0" xfId="0" applyFont="1"/>
    <xf numFmtId="164" fontId="61" fillId="11" borderId="0" xfId="0" applyFont="1" applyFill="1"/>
    <xf numFmtId="164" fontId="61" fillId="0" borderId="0" xfId="0" applyFont="1" applyFill="1"/>
    <xf numFmtId="166" fontId="61" fillId="0" borderId="0" xfId="2" applyFont="1" applyFill="1"/>
    <xf numFmtId="41" fontId="61" fillId="0" borderId="0" xfId="2" applyNumberFormat="1" applyFont="1"/>
    <xf numFmtId="41" fontId="61" fillId="0" borderId="0" xfId="0" applyNumberFormat="1" applyFont="1"/>
    <xf numFmtId="41" fontId="61" fillId="10" borderId="0" xfId="0" applyNumberFormat="1" applyFont="1" applyFill="1"/>
    <xf numFmtId="41" fontId="61" fillId="0" borderId="0" xfId="2" applyNumberFormat="1" applyFont="1" applyFill="1"/>
    <xf numFmtId="41" fontId="60" fillId="14" borderId="0" xfId="2" applyNumberFormat="1" applyFont="1" applyFill="1"/>
    <xf numFmtId="164" fontId="61" fillId="0" borderId="0" xfId="0" applyFont="1"/>
    <xf numFmtId="164" fontId="60" fillId="19" borderId="0" xfId="0" applyFont="1" applyFill="1"/>
    <xf numFmtId="164" fontId="60" fillId="0" borderId="0" xfId="0" applyFont="1" applyFill="1"/>
    <xf numFmtId="171" fontId="61" fillId="0" borderId="0" xfId="2" applyNumberFormat="1" applyFont="1"/>
    <xf numFmtId="164" fontId="33" fillId="0" borderId="0" xfId="0" applyFont="1" applyAlignment="1">
      <alignment horizontal="center"/>
    </xf>
    <xf numFmtId="166" fontId="24" fillId="0" borderId="0" xfId="2" applyFont="1"/>
    <xf numFmtId="167" fontId="24" fillId="0" borderId="0" xfId="2" applyNumberFormat="1" applyFont="1"/>
    <xf numFmtId="164" fontId="23" fillId="0" borderId="0" xfId="0" applyFont="1" applyAlignment="1">
      <alignment vertical="center"/>
    </xf>
    <xf numFmtId="164" fontId="24" fillId="0" borderId="0" xfId="0" applyFont="1" applyAlignment="1">
      <alignment vertical="center"/>
    </xf>
    <xf numFmtId="164" fontId="0" fillId="11" borderId="0" xfId="0" applyFill="1"/>
    <xf numFmtId="0" fontId="40" fillId="0" borderId="0" xfId="8" applyFont="1" applyFill="1"/>
    <xf numFmtId="0" fontId="15" fillId="0" borderId="0" xfId="8" applyFont="1" applyBorder="1" applyAlignment="1">
      <alignment vertical="center"/>
    </xf>
    <xf numFmtId="41" fontId="24" fillId="0" borderId="0" xfId="2" applyNumberFormat="1" applyFont="1" applyFill="1"/>
    <xf numFmtId="41" fontId="23" fillId="0" borderId="0" xfId="0" applyNumberFormat="1" applyFont="1" applyFill="1"/>
    <xf numFmtId="165" fontId="22" fillId="0" borderId="0" xfId="9" applyNumberFormat="1" applyFont="1" applyFill="1"/>
    <xf numFmtId="41" fontId="60" fillId="0" borderId="0" xfId="2" applyNumberFormat="1" applyFont="1"/>
    <xf numFmtId="167" fontId="60" fillId="0" borderId="0" xfId="2" applyNumberFormat="1" applyFont="1"/>
    <xf numFmtId="164" fontId="60" fillId="14" borderId="0" xfId="0" applyFont="1" applyFill="1"/>
    <xf numFmtId="41" fontId="61" fillId="0" borderId="0" xfId="0" applyNumberFormat="1" applyFont="1" applyFill="1"/>
    <xf numFmtId="41" fontId="60" fillId="0" borderId="0" xfId="2" applyNumberFormat="1" applyFont="1" applyFill="1"/>
    <xf numFmtId="165" fontId="23" fillId="0" borderId="0" xfId="9" applyNumberFormat="1" applyFont="1"/>
    <xf numFmtId="167" fontId="23" fillId="0" borderId="8" xfId="2" applyNumberFormat="1" applyFont="1" applyBorder="1" applyAlignment="1">
      <alignment vertical="center"/>
    </xf>
    <xf numFmtId="164" fontId="24" fillId="0" borderId="8" xfId="0" applyFont="1" applyFill="1" applyBorder="1" applyAlignment="1">
      <alignment horizontal="left" vertical="center"/>
    </xf>
    <xf numFmtId="164" fontId="23" fillId="0" borderId="8" xfId="0" applyFont="1" applyFill="1" applyBorder="1" applyAlignment="1">
      <alignment horizontal="left" vertical="center"/>
    </xf>
    <xf numFmtId="164" fontId="23" fillId="0" borderId="8" xfId="0" applyFont="1" applyBorder="1" applyAlignment="1">
      <alignment horizontal="left" vertical="center"/>
    </xf>
    <xf numFmtId="164" fontId="24" fillId="0" borderId="8" xfId="0" applyFont="1" applyFill="1" applyBorder="1" applyAlignment="1">
      <alignment horizontal="center" vertical="center" wrapText="1"/>
    </xf>
    <xf numFmtId="165" fontId="23" fillId="0" borderId="8" xfId="9" applyNumberFormat="1" applyFont="1" applyFill="1" applyBorder="1" applyAlignment="1">
      <alignment horizontal="right" vertical="center"/>
    </xf>
    <xf numFmtId="8" fontId="24" fillId="0" borderId="0" xfId="2" applyNumberFormat="1" applyFont="1" applyFill="1"/>
    <xf numFmtId="164" fontId="62" fillId="13" borderId="0" xfId="0" applyFont="1" applyFill="1"/>
    <xf numFmtId="167" fontId="23" fillId="20" borderId="0" xfId="2" applyNumberFormat="1" applyFont="1" applyFill="1"/>
    <xf numFmtId="164" fontId="44" fillId="0" borderId="0" xfId="0" applyFont="1" applyAlignment="1">
      <alignment horizontal="left"/>
    </xf>
    <xf numFmtId="164" fontId="44" fillId="0" borderId="0" xfId="17" applyNumberFormat="1" applyFont="1" applyAlignment="1" applyProtection="1"/>
    <xf numFmtId="172" fontId="12" fillId="20" borderId="0" xfId="8" applyNumberFormat="1" applyFill="1"/>
    <xf numFmtId="41" fontId="23" fillId="20" borderId="0" xfId="2" applyNumberFormat="1" applyFont="1" applyFill="1"/>
    <xf numFmtId="167" fontId="23" fillId="20" borderId="0" xfId="2" applyNumberFormat="1" applyFont="1" applyFill="1" applyBorder="1"/>
    <xf numFmtId="164" fontId="23" fillId="20" borderId="0" xfId="0" applyFont="1" applyFill="1" applyBorder="1" applyAlignment="1">
      <alignment horizontal="center"/>
    </xf>
    <xf numFmtId="167" fontId="23" fillId="21" borderId="0" xfId="2" applyNumberFormat="1" applyFont="1" applyFill="1" applyBorder="1"/>
    <xf numFmtId="165" fontId="23" fillId="21" borderId="0" xfId="9" applyNumberFormat="1" applyFont="1" applyFill="1" applyBorder="1"/>
    <xf numFmtId="164" fontId="43" fillId="0" borderId="0" xfId="17" applyNumberFormat="1" applyAlignment="1" applyProtection="1"/>
    <xf numFmtId="164" fontId="23" fillId="21" borderId="9" xfId="0" applyFont="1" applyFill="1" applyBorder="1"/>
    <xf numFmtId="174" fontId="23" fillId="21" borderId="11" xfId="0" applyNumberFormat="1" applyFont="1" applyFill="1" applyBorder="1"/>
    <xf numFmtId="171" fontId="4" fillId="21" borderId="8" xfId="2" applyNumberFormat="1" applyFont="1" applyFill="1" applyBorder="1"/>
    <xf numFmtId="9" fontId="4" fillId="21" borderId="8" xfId="9" applyFont="1" applyFill="1" applyBorder="1"/>
    <xf numFmtId="171" fontId="4" fillId="20" borderId="8" xfId="2" applyNumberFormat="1" applyFont="1" applyFill="1" applyBorder="1"/>
    <xf numFmtId="171" fontId="21" fillId="20" borderId="8" xfId="2" applyNumberFormat="1" applyFont="1" applyFill="1" applyBorder="1"/>
    <xf numFmtId="0" fontId="66" fillId="0" borderId="8" xfId="0" applyNumberFormat="1" applyFont="1" applyBorder="1"/>
    <xf numFmtId="171" fontId="4" fillId="20" borderId="6" xfId="2" applyNumberFormat="1" applyFont="1" applyFill="1" applyBorder="1"/>
    <xf numFmtId="167" fontId="4" fillId="20" borderId="7" xfId="2" applyNumberFormat="1" applyFont="1" applyFill="1" applyBorder="1"/>
    <xf numFmtId="169" fontId="23" fillId="20" borderId="0" xfId="0" applyNumberFormat="1" applyFont="1" applyFill="1" applyBorder="1" applyAlignment="1">
      <alignment vertical="center"/>
    </xf>
    <xf numFmtId="3" fontId="23" fillId="20" borderId="0" xfId="0" applyNumberFormat="1" applyFont="1" applyFill="1" applyBorder="1"/>
    <xf numFmtId="164" fontId="23" fillId="20" borderId="0" xfId="0" applyFont="1" applyFill="1" applyBorder="1"/>
    <xf numFmtId="3" fontId="23" fillId="20" borderId="0" xfId="0" applyNumberFormat="1" applyFont="1" applyFill="1" applyBorder="1" applyAlignment="1">
      <alignment horizontal="right"/>
    </xf>
    <xf numFmtId="176" fontId="23" fillId="20" borderId="0" xfId="2" applyNumberFormat="1" applyFont="1" applyFill="1"/>
    <xf numFmtId="167" fontId="23" fillId="20" borderId="8" xfId="2" applyNumberFormat="1" applyFont="1" applyFill="1" applyBorder="1" applyAlignment="1">
      <alignment horizontal="justify" vertical="center"/>
    </xf>
    <xf numFmtId="173" fontId="23" fillId="20" borderId="0" xfId="0" applyNumberFormat="1" applyFont="1" applyFill="1"/>
    <xf numFmtId="173" fontId="23" fillId="21" borderId="0" xfId="0" applyNumberFormat="1" applyFont="1" applyFill="1"/>
    <xf numFmtId="10" fontId="23" fillId="21" borderId="0" xfId="9" applyNumberFormat="1" applyFont="1" applyFill="1"/>
    <xf numFmtId="167" fontId="23" fillId="21" borderId="11" xfId="2" applyNumberFormat="1" applyFont="1" applyFill="1" applyBorder="1"/>
    <xf numFmtId="2" fontId="23" fillId="20" borderId="0" xfId="9" applyNumberFormat="1" applyFont="1" applyFill="1"/>
    <xf numFmtId="164" fontId="34" fillId="21" borderId="0" xfId="0" applyFont="1" applyFill="1" applyAlignment="1">
      <alignment horizontal="center"/>
    </xf>
    <xf numFmtId="167" fontId="34" fillId="21" borderId="0" xfId="2" applyNumberFormat="1" applyFont="1" applyFill="1"/>
    <xf numFmtId="170" fontId="34" fillId="21" borderId="0" xfId="8" applyNumberFormat="1" applyFont="1" applyFill="1"/>
    <xf numFmtId="9" fontId="34" fillId="21" borderId="0" xfId="9" applyFont="1" applyFill="1"/>
    <xf numFmtId="169" fontId="34" fillId="21" borderId="0" xfId="0" applyNumberFormat="1" applyFont="1" applyFill="1" applyBorder="1" applyAlignment="1">
      <alignment vertical="center"/>
    </xf>
    <xf numFmtId="167" fontId="34" fillId="0" borderId="0" xfId="2" applyNumberFormat="1" applyFont="1" applyFill="1"/>
    <xf numFmtId="165" fontId="34" fillId="0" borderId="0" xfId="9" applyNumberFormat="1" applyFont="1" applyFill="1"/>
    <xf numFmtId="9" fontId="23" fillId="20" borderId="3" xfId="9" applyFont="1" applyFill="1" applyBorder="1"/>
    <xf numFmtId="164" fontId="43" fillId="0" borderId="0" xfId="17" applyNumberFormat="1" applyFill="1" applyAlignment="1" applyProtection="1"/>
    <xf numFmtId="38" fontId="23" fillId="0" borderId="0" xfId="2" applyNumberFormat="1" applyFont="1" applyFill="1"/>
    <xf numFmtId="38" fontId="23" fillId="0" borderId="0" xfId="2" applyNumberFormat="1" applyFont="1"/>
    <xf numFmtId="164" fontId="23" fillId="20" borderId="0" xfId="0" applyFont="1" applyFill="1"/>
    <xf numFmtId="10" fontId="62" fillId="0" borderId="0" xfId="9" applyNumberFormat="1" applyFont="1" applyFill="1" applyBorder="1"/>
    <xf numFmtId="164" fontId="67" fillId="0" borderId="0" xfId="0" applyFont="1" applyFill="1" applyBorder="1" applyAlignment="1">
      <alignment horizontal="left"/>
    </xf>
    <xf numFmtId="9" fontId="34" fillId="20" borderId="0" xfId="9" applyFont="1" applyFill="1"/>
    <xf numFmtId="164" fontId="67" fillId="10" borderId="0" xfId="0" applyFont="1" applyFill="1"/>
    <xf numFmtId="179" fontId="68" fillId="20" borderId="0" xfId="0" applyNumberFormat="1" applyFont="1" applyFill="1"/>
    <xf numFmtId="164" fontId="68" fillId="20" borderId="0" xfId="0" applyFont="1" applyFill="1"/>
    <xf numFmtId="3" fontId="62" fillId="0" borderId="0" xfId="0" applyNumberFormat="1" applyFont="1" applyFill="1" applyBorder="1"/>
    <xf numFmtId="164" fontId="61" fillId="0" borderId="9" xfId="0" applyFont="1" applyBorder="1"/>
    <xf numFmtId="167" fontId="61" fillId="20" borderId="0" xfId="2" applyNumberFormat="1" applyFont="1" applyFill="1" applyBorder="1"/>
    <xf numFmtId="164" fontId="61" fillId="0" borderId="13" xfId="0" applyFont="1" applyBorder="1"/>
    <xf numFmtId="164" fontId="61" fillId="0" borderId="5" xfId="0" applyFont="1" applyBorder="1"/>
    <xf numFmtId="165" fontId="61" fillId="0" borderId="6" xfId="9" applyNumberFormat="1" applyFont="1" applyFill="1" applyBorder="1"/>
    <xf numFmtId="164" fontId="69" fillId="0" borderId="0" xfId="0" applyFont="1"/>
    <xf numFmtId="180" fontId="69" fillId="0" borderId="0" xfId="0" applyNumberFormat="1" applyFont="1"/>
    <xf numFmtId="164" fontId="24" fillId="18" borderId="9" xfId="0" applyFont="1" applyFill="1" applyBorder="1" applyAlignment="1">
      <alignment horizontal="left"/>
    </xf>
    <xf numFmtId="164" fontId="24" fillId="20" borderId="0" xfId="0" applyFont="1" applyFill="1" applyBorder="1" applyAlignment="1">
      <alignment horizontal="center"/>
    </xf>
    <xf numFmtId="164" fontId="24" fillId="18" borderId="0" xfId="0" applyFont="1" applyFill="1" applyBorder="1" applyAlignment="1">
      <alignment horizontal="left"/>
    </xf>
    <xf numFmtId="165" fontId="67" fillId="0" borderId="0" xfId="9" applyNumberFormat="1" applyFont="1"/>
    <xf numFmtId="164" fontId="67" fillId="0" borderId="0" xfId="0" applyFont="1"/>
    <xf numFmtId="169" fontId="23" fillId="22" borderId="0" xfId="0" applyNumberFormat="1" applyFont="1" applyFill="1" applyBorder="1" applyAlignment="1">
      <alignment vertical="center"/>
    </xf>
    <xf numFmtId="3" fontId="23" fillId="21" borderId="0" xfId="0" applyNumberFormat="1" applyFont="1" applyFill="1" applyBorder="1"/>
    <xf numFmtId="9" fontId="23" fillId="21" borderId="6" xfId="9" applyFont="1" applyFill="1" applyBorder="1"/>
    <xf numFmtId="10" fontId="23" fillId="0" borderId="0" xfId="9" applyNumberFormat="1" applyFont="1" applyFill="1"/>
    <xf numFmtId="164" fontId="23" fillId="0" borderId="9" xfId="0" applyFont="1" applyFill="1" applyBorder="1"/>
    <xf numFmtId="9" fontId="23" fillId="15" borderId="9" xfId="9" applyFont="1" applyFill="1" applyBorder="1"/>
    <xf numFmtId="9" fontId="23" fillId="0" borderId="9" xfId="9" applyFont="1" applyFill="1" applyBorder="1"/>
    <xf numFmtId="167" fontId="23" fillId="0" borderId="9" xfId="2" applyNumberFormat="1" applyFont="1" applyFill="1" applyBorder="1"/>
    <xf numFmtId="167" fontId="23" fillId="9" borderId="9" xfId="2" applyNumberFormat="1" applyFont="1" applyFill="1" applyBorder="1"/>
    <xf numFmtId="166" fontId="23" fillId="0" borderId="9" xfId="2" applyNumberFormat="1" applyFont="1" applyFill="1" applyBorder="1"/>
    <xf numFmtId="164" fontId="23" fillId="10" borderId="9" xfId="0" applyFont="1" applyFill="1" applyBorder="1"/>
    <xf numFmtId="167" fontId="0" fillId="0" borderId="0" xfId="2" applyNumberFormat="1" applyFont="1"/>
    <xf numFmtId="167" fontId="48" fillId="0" borderId="0" xfId="2" applyNumberFormat="1" applyFont="1"/>
    <xf numFmtId="167" fontId="72" fillId="0" borderId="0" xfId="2" applyNumberFormat="1" applyFont="1" applyFill="1" applyBorder="1" applyAlignment="1">
      <alignment vertical="center"/>
    </xf>
    <xf numFmtId="164" fontId="32" fillId="0" borderId="0" xfId="0" applyFont="1"/>
    <xf numFmtId="164" fontId="32" fillId="15" borderId="0" xfId="0" applyFont="1" applyFill="1"/>
    <xf numFmtId="164" fontId="0" fillId="15" borderId="0" xfId="0" applyFill="1"/>
    <xf numFmtId="164" fontId="23" fillId="0" borderId="0" xfId="0" applyFont="1" applyFill="1" applyAlignment="1">
      <alignment wrapText="1"/>
    </xf>
    <xf numFmtId="167" fontId="23" fillId="0" borderId="0" xfId="2" applyNumberFormat="1" applyFont="1" applyFill="1" applyAlignment="1">
      <alignment wrapText="1"/>
    </xf>
    <xf numFmtId="171" fontId="23" fillId="0" borderId="0" xfId="2" applyNumberFormat="1" applyFont="1" applyFill="1"/>
    <xf numFmtId="177" fontId="23" fillId="0" borderId="0" xfId="2" applyNumberFormat="1" applyFont="1" applyFill="1"/>
    <xf numFmtId="164" fontId="23" fillId="0" borderId="35" xfId="22" applyFont="1" applyBorder="1"/>
    <xf numFmtId="164" fontId="23" fillId="0" borderId="19" xfId="22" applyFont="1" applyBorder="1"/>
    <xf numFmtId="172" fontId="23" fillId="13" borderId="33" xfId="9" applyNumberFormat="1" applyFont="1" applyFill="1" applyBorder="1" applyAlignment="1">
      <alignment vertical="center"/>
    </xf>
    <xf numFmtId="169" fontId="23" fillId="13" borderId="32" xfId="0" applyNumberFormat="1" applyFont="1" applyFill="1" applyBorder="1" applyAlignment="1">
      <alignment vertical="center"/>
    </xf>
    <xf numFmtId="177" fontId="23" fillId="0" borderId="0" xfId="23" applyNumberFormat="1" applyFont="1" applyFill="1"/>
    <xf numFmtId="177" fontId="23" fillId="21" borderId="21" xfId="23" applyNumberFormat="1" applyFont="1" applyFill="1" applyBorder="1"/>
    <xf numFmtId="168" fontId="23" fillId="0" borderId="1" xfId="23" applyNumberFormat="1" applyFont="1" applyBorder="1"/>
    <xf numFmtId="164" fontId="23" fillId="0" borderId="1" xfId="22" applyFont="1" applyBorder="1"/>
    <xf numFmtId="164" fontId="23" fillId="21" borderId="0" xfId="22" applyFont="1" applyFill="1" applyBorder="1"/>
    <xf numFmtId="164" fontId="23" fillId="0" borderId="0" xfId="22" applyFont="1" applyBorder="1"/>
    <xf numFmtId="164" fontId="23" fillId="0" borderId="34" xfId="22" applyFont="1" applyBorder="1"/>
    <xf numFmtId="164" fontId="48" fillId="0" borderId="33" xfId="22" applyBorder="1"/>
    <xf numFmtId="164" fontId="48" fillId="0" borderId="32" xfId="22" applyBorder="1"/>
    <xf numFmtId="164" fontId="24" fillId="0" borderId="31" xfId="22" applyFont="1" applyBorder="1"/>
    <xf numFmtId="4" fontId="73" fillId="15" borderId="0" xfId="21" applyNumberFormat="1" applyFont="1" applyFill="1"/>
    <xf numFmtId="0" fontId="43" fillId="15" borderId="0" xfId="17" applyFill="1" applyAlignment="1" applyProtection="1"/>
    <xf numFmtId="0" fontId="3" fillId="15" borderId="0" xfId="21" applyFill="1"/>
    <xf numFmtId="164" fontId="24" fillId="13" borderId="31" xfId="0" applyFont="1" applyFill="1" applyBorder="1" applyAlignment="1">
      <alignment vertical="center"/>
    </xf>
    <xf numFmtId="164" fontId="25" fillId="13" borderId="32" xfId="0" applyFont="1" applyFill="1" applyBorder="1" applyAlignment="1">
      <alignment horizontal="right" vertical="center"/>
    </xf>
    <xf numFmtId="164" fontId="23" fillId="0" borderId="0" xfId="22" applyFont="1"/>
    <xf numFmtId="168" fontId="23" fillId="0" borderId="0" xfId="23" applyNumberFormat="1" applyFont="1"/>
    <xf numFmtId="164" fontId="53" fillId="13" borderId="34" xfId="0" applyFont="1" applyFill="1" applyBorder="1" applyAlignment="1">
      <alignment vertical="center"/>
    </xf>
    <xf numFmtId="169" fontId="25" fillId="13" borderId="19" xfId="0" applyNumberFormat="1" applyFont="1" applyFill="1" applyBorder="1" applyAlignment="1">
      <alignment vertical="center"/>
    </xf>
    <xf numFmtId="164" fontId="53" fillId="13" borderId="34" xfId="0" applyFont="1" applyFill="1" applyBorder="1" applyAlignment="1">
      <alignment horizontal="left" vertical="center"/>
    </xf>
    <xf numFmtId="164" fontId="53" fillId="13" borderId="35" xfId="0" applyFont="1" applyFill="1" applyBorder="1" applyAlignment="1">
      <alignment horizontal="left" vertical="center"/>
    </xf>
    <xf numFmtId="164" fontId="23" fillId="13" borderId="1" xfId="0" applyFont="1" applyFill="1" applyBorder="1" applyAlignment="1">
      <alignment horizontal="left" vertical="center" wrapText="1"/>
    </xf>
    <xf numFmtId="169" fontId="23" fillId="20" borderId="1" xfId="0" applyNumberFormat="1" applyFont="1" applyFill="1" applyBorder="1" applyAlignment="1">
      <alignment vertical="center"/>
    </xf>
    <xf numFmtId="169" fontId="25" fillId="13" borderId="21" xfId="0" applyNumberFormat="1" applyFont="1" applyFill="1" applyBorder="1" applyAlignment="1">
      <alignment vertical="center"/>
    </xf>
    <xf numFmtId="164" fontId="23" fillId="13" borderId="37" xfId="0" applyFont="1" applyFill="1" applyBorder="1"/>
    <xf numFmtId="164" fontId="0" fillId="13" borderId="38" xfId="0" applyFill="1" applyBorder="1"/>
    <xf numFmtId="177" fontId="23" fillId="13" borderId="38" xfId="2" applyNumberFormat="1" applyFont="1" applyFill="1" applyBorder="1"/>
    <xf numFmtId="164" fontId="23" fillId="13" borderId="38" xfId="0" applyFont="1" applyFill="1" applyBorder="1"/>
    <xf numFmtId="164" fontId="0" fillId="13" borderId="37" xfId="0" applyFill="1" applyBorder="1"/>
    <xf numFmtId="167" fontId="0" fillId="13" borderId="38" xfId="2" applyNumberFormat="1" applyFont="1" applyFill="1" applyBorder="1"/>
    <xf numFmtId="177" fontId="23" fillId="13" borderId="36" xfId="2" applyNumberFormat="1" applyFont="1" applyFill="1" applyBorder="1"/>
    <xf numFmtId="171" fontId="0" fillId="13" borderId="38" xfId="2" applyNumberFormat="1" applyFont="1" applyFill="1" applyBorder="1"/>
    <xf numFmtId="181" fontId="0" fillId="0" borderId="0" xfId="18" applyNumberFormat="1" applyFont="1"/>
    <xf numFmtId="9" fontId="0" fillId="0" borderId="0" xfId="9" applyFont="1"/>
    <xf numFmtId="10" fontId="0" fillId="0" borderId="0" xfId="9" applyNumberFormat="1" applyFont="1"/>
    <xf numFmtId="164" fontId="0" fillId="0" borderId="0" xfId="0" applyFill="1" applyBorder="1"/>
    <xf numFmtId="167" fontId="12" fillId="20" borderId="0" xfId="2" applyNumberFormat="1" applyFont="1" applyFill="1" applyAlignment="1">
      <alignment vertical="top"/>
    </xf>
    <xf numFmtId="0" fontId="12" fillId="17" borderId="0" xfId="8" applyFill="1" applyAlignment="1">
      <alignment vertical="top"/>
    </xf>
    <xf numFmtId="0" fontId="12" fillId="20" borderId="0" xfId="8" applyFill="1" applyAlignment="1">
      <alignment vertical="top"/>
    </xf>
    <xf numFmtId="9" fontId="12" fillId="20" borderId="0" xfId="8" applyNumberFormat="1" applyFill="1" applyAlignment="1">
      <alignment vertical="top"/>
    </xf>
    <xf numFmtId="165" fontId="12" fillId="20" borderId="0" xfId="8" applyNumberFormat="1" applyFill="1" applyAlignment="1">
      <alignment vertical="top"/>
    </xf>
    <xf numFmtId="167" fontId="75" fillId="24" borderId="0" xfId="2" applyNumberFormat="1" applyFont="1" applyFill="1" applyAlignment="1">
      <alignment vertical="top"/>
    </xf>
    <xf numFmtId="167" fontId="62" fillId="24" borderId="0" xfId="2" applyNumberFormat="1" applyFont="1" applyFill="1"/>
    <xf numFmtId="41" fontId="23" fillId="24" borderId="0" xfId="2" applyNumberFormat="1" applyFont="1" applyFill="1"/>
    <xf numFmtId="165" fontId="23" fillId="24" borderId="0" xfId="9" applyNumberFormat="1" applyFont="1" applyFill="1" applyBorder="1"/>
    <xf numFmtId="164" fontId="23" fillId="24" borderId="0" xfId="0" applyFont="1" applyFill="1"/>
    <xf numFmtId="164" fontId="26" fillId="0" borderId="6" xfId="0" applyFont="1" applyFill="1" applyBorder="1"/>
    <xf numFmtId="164" fontId="23" fillId="24" borderId="0" xfId="0" applyFont="1" applyFill="1" applyBorder="1"/>
    <xf numFmtId="164" fontId="23" fillId="24" borderId="0" xfId="0" applyFont="1" applyFill="1" applyBorder="1" applyAlignment="1">
      <alignment horizontal="left"/>
    </xf>
    <xf numFmtId="3" fontId="23" fillId="24" borderId="0" xfId="0" applyNumberFormat="1" applyFont="1" applyFill="1" applyBorder="1"/>
    <xf numFmtId="167" fontId="23" fillId="24" borderId="0" xfId="2" applyNumberFormat="1" applyFont="1" applyFill="1" applyBorder="1"/>
    <xf numFmtId="0" fontId="12" fillId="23" borderId="0" xfId="8" applyFill="1"/>
    <xf numFmtId="0" fontId="16" fillId="0" borderId="0" xfId="8" applyFont="1" applyFill="1"/>
    <xf numFmtId="0" fontId="12" fillId="0" borderId="0" xfId="8" applyFill="1"/>
    <xf numFmtId="0" fontId="12" fillId="24" borderId="0" xfId="8" applyFill="1" applyAlignment="1">
      <alignment vertical="center"/>
    </xf>
    <xf numFmtId="0" fontId="12" fillId="24" borderId="0" xfId="8" applyFill="1"/>
    <xf numFmtId="0" fontId="12" fillId="24" borderId="0" xfId="8" applyFill="1" applyAlignment="1">
      <alignment vertical="top"/>
    </xf>
    <xf numFmtId="164" fontId="72" fillId="0" borderId="0" xfId="0" applyFont="1"/>
    <xf numFmtId="165" fontId="23" fillId="24" borderId="0" xfId="9" applyNumberFormat="1" applyFont="1" applyFill="1" applyAlignment="1">
      <alignment horizontal="right"/>
    </xf>
    <xf numFmtId="165" fontId="23" fillId="24" borderId="0" xfId="9" applyNumberFormat="1" applyFont="1" applyFill="1"/>
    <xf numFmtId="165" fontId="34" fillId="24" borderId="0" xfId="9" applyNumberFormat="1" applyFont="1" applyFill="1"/>
    <xf numFmtId="167" fontId="23" fillId="24" borderId="0" xfId="2" applyNumberFormat="1" applyFont="1" applyFill="1"/>
    <xf numFmtId="167" fontId="23" fillId="24" borderId="9" xfId="2" applyNumberFormat="1" applyFont="1" applyFill="1" applyBorder="1"/>
    <xf numFmtId="10" fontId="23" fillId="24" borderId="0" xfId="9" applyNumberFormat="1" applyFont="1" applyFill="1"/>
    <xf numFmtId="9" fontId="23" fillId="24" borderId="9" xfId="9" applyFont="1" applyFill="1" applyBorder="1"/>
    <xf numFmtId="9" fontId="23" fillId="24" borderId="0" xfId="9" applyFont="1" applyFill="1"/>
    <xf numFmtId="164" fontId="23" fillId="24" borderId="31" xfId="0" applyFont="1" applyFill="1" applyBorder="1"/>
    <xf numFmtId="164" fontId="23" fillId="24" borderId="32" xfId="0" applyFont="1" applyFill="1" applyBorder="1"/>
    <xf numFmtId="164" fontId="23" fillId="24" borderId="33" xfId="0" applyFont="1" applyFill="1" applyBorder="1"/>
    <xf numFmtId="164" fontId="23" fillId="24" borderId="34" xfId="0" applyFont="1" applyFill="1" applyBorder="1"/>
    <xf numFmtId="164" fontId="23" fillId="24" borderId="19" xfId="0" applyFont="1" applyFill="1" applyBorder="1"/>
    <xf numFmtId="164" fontId="23" fillId="24" borderId="35" xfId="0" applyFont="1" applyFill="1" applyBorder="1"/>
    <xf numFmtId="164" fontId="23" fillId="24" borderId="1" xfId="0" applyFont="1" applyFill="1" applyBorder="1"/>
    <xf numFmtId="164" fontId="23" fillId="24" borderId="21" xfId="0" applyFont="1" applyFill="1" applyBorder="1"/>
    <xf numFmtId="164" fontId="23" fillId="24" borderId="37" xfId="0" applyFont="1" applyFill="1" applyBorder="1"/>
    <xf numFmtId="164" fontId="23" fillId="24" borderId="38" xfId="0" applyFont="1" applyFill="1" applyBorder="1"/>
    <xf numFmtId="164" fontId="24" fillId="24" borderId="39" xfId="0" applyFont="1" applyFill="1" applyBorder="1"/>
    <xf numFmtId="166" fontId="23" fillId="24" borderId="32" xfId="2" applyFont="1" applyFill="1" applyBorder="1"/>
    <xf numFmtId="166" fontId="24" fillId="24" borderId="33" xfId="2" applyFont="1" applyFill="1" applyBorder="1"/>
    <xf numFmtId="166" fontId="23" fillId="24" borderId="0" xfId="2" applyFont="1" applyFill="1" applyBorder="1"/>
    <xf numFmtId="166" fontId="24" fillId="24" borderId="19" xfId="2" applyFont="1" applyFill="1" applyBorder="1"/>
    <xf numFmtId="166" fontId="23" fillId="24" borderId="1" xfId="2" applyFont="1" applyFill="1" applyBorder="1"/>
    <xf numFmtId="166" fontId="24" fillId="24" borderId="21" xfId="2" applyFont="1" applyFill="1" applyBorder="1"/>
    <xf numFmtId="164" fontId="62" fillId="24" borderId="0" xfId="0" applyFont="1" applyFill="1"/>
    <xf numFmtId="41" fontId="61" fillId="24" borderId="0" xfId="2" applyNumberFormat="1" applyFont="1" applyFill="1"/>
    <xf numFmtId="171" fontId="20" fillId="24" borderId="8" xfId="2" applyNumberFormat="1" applyFont="1" applyFill="1" applyBorder="1"/>
    <xf numFmtId="171" fontId="4" fillId="24" borderId="8" xfId="2" applyNumberFormat="1" applyFont="1" applyFill="1" applyBorder="1"/>
    <xf numFmtId="0" fontId="20" fillId="25" borderId="8" xfId="0" applyNumberFormat="1" applyFont="1" applyFill="1" applyBorder="1"/>
    <xf numFmtId="171" fontId="20" fillId="25" borderId="8" xfId="2" applyNumberFormat="1" applyFont="1" applyFill="1" applyBorder="1"/>
    <xf numFmtId="9" fontId="20" fillId="25" borderId="8" xfId="9" applyFont="1" applyFill="1" applyBorder="1"/>
    <xf numFmtId="0" fontId="0" fillId="25" borderId="8" xfId="0" applyNumberFormat="1" applyFill="1" applyBorder="1"/>
    <xf numFmtId="171" fontId="4" fillId="25" borderId="8" xfId="2" applyNumberFormat="1" applyFont="1" applyFill="1" applyBorder="1"/>
    <xf numFmtId="9" fontId="4" fillId="25" borderId="8" xfId="9" applyFont="1" applyFill="1" applyBorder="1"/>
    <xf numFmtId="171" fontId="4" fillId="24" borderId="6" xfId="2" applyNumberFormat="1" applyFont="1" applyFill="1" applyBorder="1"/>
    <xf numFmtId="43" fontId="4" fillId="24" borderId="6" xfId="2" applyNumberFormat="1" applyFont="1" applyFill="1" applyBorder="1"/>
    <xf numFmtId="167" fontId="4" fillId="24" borderId="7" xfId="2" applyNumberFormat="1" applyFont="1" applyFill="1" applyBorder="1"/>
    <xf numFmtId="171" fontId="4" fillId="24" borderId="7" xfId="2" applyNumberFormat="1" applyFont="1" applyFill="1" applyBorder="1"/>
    <xf numFmtId="171" fontId="4" fillId="24" borderId="14" xfId="2" applyNumberFormat="1" applyFont="1" applyFill="1" applyBorder="1"/>
    <xf numFmtId="164" fontId="23" fillId="15" borderId="9" xfId="0" applyFont="1" applyFill="1" applyBorder="1"/>
    <xf numFmtId="2" fontId="23" fillId="0" borderId="9" xfId="9" applyNumberFormat="1" applyFont="1" applyFill="1" applyBorder="1"/>
    <xf numFmtId="164" fontId="24" fillId="0" borderId="9" xfId="0" applyFont="1" applyFill="1" applyBorder="1"/>
    <xf numFmtId="164" fontId="23" fillId="24" borderId="9" xfId="0" applyFont="1" applyFill="1" applyBorder="1"/>
    <xf numFmtId="164" fontId="23" fillId="0" borderId="8" xfId="0" applyFont="1" applyBorder="1"/>
    <xf numFmtId="164" fontId="23" fillId="21" borderId="8" xfId="0" applyFont="1" applyFill="1" applyBorder="1"/>
    <xf numFmtId="168" fontId="23" fillId="0" borderId="8" xfId="2" applyNumberFormat="1" applyFont="1" applyBorder="1"/>
    <xf numFmtId="177" fontId="23" fillId="21" borderId="8" xfId="2" applyNumberFormat="1" applyFont="1" applyFill="1" applyBorder="1"/>
    <xf numFmtId="8" fontId="50" fillId="0" borderId="0" xfId="0" applyNumberFormat="1" applyFont="1"/>
    <xf numFmtId="164" fontId="0" fillId="24" borderId="31" xfId="0" applyFill="1" applyBorder="1"/>
    <xf numFmtId="164" fontId="0" fillId="24" borderId="32" xfId="0" applyFill="1" applyBorder="1"/>
    <xf numFmtId="164" fontId="0" fillId="24" borderId="33" xfId="0" applyFill="1" applyBorder="1"/>
    <xf numFmtId="164" fontId="23" fillId="24" borderId="34" xfId="22" applyFont="1" applyFill="1" applyBorder="1"/>
    <xf numFmtId="164" fontId="0" fillId="24" borderId="0" xfId="0" applyFill="1" applyBorder="1"/>
    <xf numFmtId="164" fontId="0" fillId="24" borderId="19" xfId="0" applyFill="1" applyBorder="1"/>
    <xf numFmtId="164" fontId="0" fillId="24" borderId="35" xfId="0" applyFill="1" applyBorder="1"/>
    <xf numFmtId="166" fontId="0" fillId="24" borderId="1" xfId="2" applyFont="1" applyFill="1" applyBorder="1"/>
    <xf numFmtId="166" fontId="0" fillId="24" borderId="21" xfId="2" applyFont="1" applyFill="1" applyBorder="1"/>
    <xf numFmtId="183" fontId="23" fillId="0" borderId="0" xfId="9" applyNumberFormat="1" applyFont="1" applyFill="1"/>
    <xf numFmtId="168" fontId="23" fillId="0" borderId="9" xfId="2" applyNumberFormat="1" applyFont="1" applyFill="1" applyBorder="1"/>
    <xf numFmtId="10" fontId="23" fillId="0" borderId="9" xfId="9" applyNumberFormat="1" applyFont="1" applyFill="1" applyBorder="1"/>
    <xf numFmtId="167" fontId="23" fillId="0" borderId="9" xfId="2" applyNumberFormat="1" applyFont="1" applyBorder="1"/>
    <xf numFmtId="168" fontId="23" fillId="0" borderId="9" xfId="2" applyNumberFormat="1" applyFont="1" applyBorder="1"/>
    <xf numFmtId="164" fontId="24" fillId="9" borderId="9" xfId="0" applyFont="1" applyFill="1" applyBorder="1"/>
    <xf numFmtId="167" fontId="24" fillId="10" borderId="9" xfId="2" applyNumberFormat="1" applyFont="1" applyFill="1" applyBorder="1"/>
    <xf numFmtId="164" fontId="23" fillId="13" borderId="9" xfId="0" applyFont="1" applyFill="1" applyBorder="1"/>
    <xf numFmtId="3" fontId="23" fillId="24" borderId="9" xfId="0" applyNumberFormat="1" applyFont="1" applyFill="1" applyBorder="1"/>
    <xf numFmtId="3" fontId="23" fillId="0" borderId="5" xfId="0" applyNumberFormat="1" applyFont="1" applyFill="1" applyBorder="1"/>
    <xf numFmtId="3" fontId="23" fillId="0" borderId="9" xfId="0" applyNumberFormat="1" applyFont="1" applyFill="1" applyBorder="1"/>
    <xf numFmtId="164" fontId="23" fillId="13" borderId="0" xfId="0" applyFont="1" applyFill="1" applyBorder="1"/>
    <xf numFmtId="166" fontId="23" fillId="21" borderId="0" xfId="2" applyFont="1" applyFill="1" applyBorder="1"/>
    <xf numFmtId="9" fontId="23" fillId="21" borderId="0" xfId="9" applyFont="1" applyFill="1" applyBorder="1"/>
    <xf numFmtId="9" fontId="62" fillId="20" borderId="0" xfId="9" applyFont="1" applyFill="1" applyBorder="1"/>
    <xf numFmtId="9" fontId="23" fillId="13" borderId="0" xfId="9" applyFont="1" applyFill="1" applyBorder="1"/>
    <xf numFmtId="9" fontId="23" fillId="24" borderId="0" xfId="9" applyNumberFormat="1" applyFont="1" applyFill="1" applyBorder="1"/>
    <xf numFmtId="168" fontId="23" fillId="0" borderId="0" xfId="2" applyNumberFormat="1" applyFont="1" applyFill="1" applyBorder="1"/>
    <xf numFmtId="164" fontId="0" fillId="24" borderId="8" xfId="0" applyFill="1" applyBorder="1"/>
    <xf numFmtId="167" fontId="0" fillId="24" borderId="8" xfId="2" applyNumberFormat="1" applyFont="1" applyFill="1" applyBorder="1"/>
    <xf numFmtId="164" fontId="23" fillId="24" borderId="8" xfId="0" applyFont="1" applyFill="1" applyBorder="1"/>
    <xf numFmtId="167" fontId="23" fillId="24" borderId="8" xfId="2" applyNumberFormat="1" applyFont="1" applyFill="1" applyBorder="1"/>
    <xf numFmtId="164" fontId="23" fillId="0" borderId="0" xfId="0" applyFont="1" applyAlignment="1">
      <alignment horizontal="left"/>
    </xf>
    <xf numFmtId="10" fontId="23" fillId="0" borderId="15" xfId="9" applyNumberFormat="1" applyFont="1" applyBorder="1"/>
    <xf numFmtId="10" fontId="23" fillId="0" borderId="40" xfId="9" applyNumberFormat="1" applyFont="1" applyBorder="1"/>
    <xf numFmtId="10" fontId="23" fillId="0" borderId="41" xfId="9" applyNumberFormat="1" applyFont="1" applyBorder="1"/>
    <xf numFmtId="10" fontId="23" fillId="0" borderId="42" xfId="9" applyNumberFormat="1" applyFont="1" applyBorder="1"/>
    <xf numFmtId="164" fontId="23" fillId="0" borderId="41" xfId="0" applyFont="1" applyBorder="1"/>
    <xf numFmtId="10" fontId="23" fillId="0" borderId="44" xfId="9" applyNumberFormat="1" applyFont="1" applyBorder="1"/>
    <xf numFmtId="164" fontId="23" fillId="24" borderId="15" xfId="0" applyFont="1" applyFill="1" applyBorder="1"/>
    <xf numFmtId="164" fontId="23" fillId="24" borderId="45" xfId="0" applyFont="1" applyFill="1" applyBorder="1"/>
    <xf numFmtId="167" fontId="23" fillId="24" borderId="45" xfId="2" applyNumberFormat="1" applyFont="1" applyFill="1" applyBorder="1"/>
    <xf numFmtId="167" fontId="23" fillId="24" borderId="40" xfId="2" applyNumberFormat="1" applyFont="1" applyFill="1" applyBorder="1"/>
    <xf numFmtId="164" fontId="23" fillId="24" borderId="41" xfId="0" applyFont="1" applyFill="1" applyBorder="1"/>
    <xf numFmtId="167" fontId="23" fillId="24" borderId="42" xfId="2" applyNumberFormat="1" applyFont="1" applyFill="1" applyBorder="1"/>
    <xf numFmtId="164" fontId="23" fillId="24" borderId="43" xfId="0" applyFont="1" applyFill="1" applyBorder="1"/>
    <xf numFmtId="167" fontId="23" fillId="24" borderId="46" xfId="2" applyNumberFormat="1" applyFont="1" applyFill="1" applyBorder="1"/>
    <xf numFmtId="167" fontId="23" fillId="24" borderId="44" xfId="2" applyNumberFormat="1" applyFont="1" applyFill="1" applyBorder="1"/>
    <xf numFmtId="164" fontId="23" fillId="26" borderId="45" xfId="0" applyFont="1" applyFill="1" applyBorder="1"/>
    <xf numFmtId="164" fontId="23" fillId="26" borderId="40" xfId="0" applyFont="1" applyFill="1" applyBorder="1"/>
    <xf numFmtId="164" fontId="23" fillId="26" borderId="41" xfId="0" applyFont="1" applyFill="1" applyBorder="1"/>
    <xf numFmtId="164" fontId="23" fillId="26" borderId="8" xfId="0" applyFont="1" applyFill="1" applyBorder="1"/>
    <xf numFmtId="164" fontId="23" fillId="26" borderId="42" xfId="0" applyFont="1" applyFill="1" applyBorder="1"/>
    <xf numFmtId="3" fontId="23" fillId="26" borderId="8" xfId="26" applyNumberFormat="1" applyFont="1" applyFill="1" applyBorder="1"/>
    <xf numFmtId="3" fontId="23" fillId="26" borderId="42" xfId="26" applyNumberFormat="1" applyFont="1" applyFill="1" applyBorder="1"/>
    <xf numFmtId="164" fontId="23" fillId="26" borderId="44" xfId="0" applyFont="1" applyFill="1" applyBorder="1"/>
    <xf numFmtId="10" fontId="23" fillId="0" borderId="43" xfId="9" applyNumberFormat="1" applyFont="1" applyBorder="1"/>
    <xf numFmtId="167" fontId="23" fillId="26" borderId="0" xfId="2" applyNumberFormat="1" applyFont="1" applyFill="1"/>
    <xf numFmtId="167" fontId="24" fillId="24" borderId="45" xfId="2" applyNumberFormat="1" applyFont="1" applyFill="1" applyBorder="1"/>
    <xf numFmtId="167" fontId="24" fillId="24" borderId="8" xfId="2" applyNumberFormat="1" applyFont="1" applyFill="1" applyBorder="1"/>
    <xf numFmtId="164" fontId="24" fillId="26" borderId="15" xfId="0" applyFont="1" applyFill="1" applyBorder="1"/>
    <xf numFmtId="164" fontId="24" fillId="26" borderId="41" xfId="0" applyFont="1" applyFill="1" applyBorder="1"/>
    <xf numFmtId="164" fontId="24" fillId="26" borderId="43" xfId="0" applyFont="1" applyFill="1" applyBorder="1"/>
    <xf numFmtId="167" fontId="24" fillId="26" borderId="8" xfId="2" applyNumberFormat="1" applyFont="1" applyFill="1" applyBorder="1"/>
    <xf numFmtId="164" fontId="24" fillId="26" borderId="46" xfId="0" applyFont="1" applyFill="1" applyBorder="1"/>
    <xf numFmtId="167" fontId="24" fillId="24" borderId="0" xfId="2" applyNumberFormat="1" applyFont="1" applyFill="1"/>
    <xf numFmtId="3" fontId="24" fillId="26" borderId="8" xfId="26" applyNumberFormat="1" applyFont="1" applyFill="1" applyBorder="1"/>
    <xf numFmtId="3" fontId="24" fillId="26" borderId="42" xfId="26" applyNumberFormat="1" applyFont="1" applyFill="1" applyBorder="1"/>
    <xf numFmtId="3" fontId="24" fillId="24" borderId="41" xfId="26" applyNumberFormat="1" applyFont="1" applyFill="1" applyBorder="1"/>
    <xf numFmtId="3" fontId="24" fillId="24" borderId="8" xfId="26" applyNumberFormat="1" applyFont="1" applyFill="1" applyBorder="1"/>
    <xf numFmtId="3" fontId="24" fillId="24" borderId="42" xfId="26" applyNumberFormat="1" applyFont="1" applyFill="1" applyBorder="1"/>
    <xf numFmtId="164" fontId="24" fillId="24" borderId="41" xfId="0" applyFont="1" applyFill="1" applyBorder="1"/>
    <xf numFmtId="167" fontId="24" fillId="26" borderId="41" xfId="2" applyNumberFormat="1" applyFont="1" applyFill="1" applyBorder="1"/>
    <xf numFmtId="9" fontId="34" fillId="24" borderId="0" xfId="9" applyFont="1" applyFill="1" applyBorder="1" applyAlignment="1">
      <alignment vertical="center"/>
    </xf>
    <xf numFmtId="182" fontId="12" fillId="24" borderId="0" xfId="8" applyNumberFormat="1" applyFill="1"/>
    <xf numFmtId="9" fontId="23" fillId="24" borderId="8" xfId="9" applyFont="1" applyFill="1" applyBorder="1"/>
    <xf numFmtId="44" fontId="0" fillId="24" borderId="8" xfId="18" applyFont="1" applyFill="1" applyBorder="1"/>
    <xf numFmtId="0" fontId="67" fillId="10" borderId="0" xfId="8" applyFont="1" applyFill="1"/>
    <xf numFmtId="167" fontId="76" fillId="0" borderId="0" xfId="2" applyNumberFormat="1" applyFont="1" applyFill="1"/>
    <xf numFmtId="164" fontId="33" fillId="0" borderId="0" xfId="0" applyFont="1" applyFill="1"/>
    <xf numFmtId="41" fontId="23" fillId="0" borderId="0" xfId="0" applyNumberFormat="1" applyFont="1" applyFill="1" applyBorder="1"/>
    <xf numFmtId="164" fontId="0" fillId="0" borderId="0" xfId="0" applyFill="1"/>
    <xf numFmtId="0" fontId="25" fillId="10" borderId="0" xfId="8" applyFont="1" applyFill="1"/>
    <xf numFmtId="164" fontId="23" fillId="0" borderId="0" xfId="0" applyFont="1" applyFill="1" applyBorder="1"/>
    <xf numFmtId="164" fontId="51" fillId="0" borderId="0" xfId="0" applyFont="1" applyFill="1"/>
    <xf numFmtId="164" fontId="33" fillId="0" borderId="0" xfId="0" applyFont="1" applyFill="1" applyBorder="1"/>
    <xf numFmtId="164" fontId="24" fillId="0" borderId="0" xfId="0" applyFont="1" applyFill="1" applyBorder="1" applyAlignment="1">
      <alignment horizontal="center"/>
    </xf>
    <xf numFmtId="165" fontId="23" fillId="0" borderId="0" xfId="9" applyNumberFormat="1" applyFont="1" applyFill="1" applyBorder="1" applyAlignment="1">
      <alignment horizontal="right"/>
    </xf>
    <xf numFmtId="9" fontId="23" fillId="0" borderId="0" xfId="9" applyFont="1" applyFill="1" applyAlignment="1">
      <alignment horizontal="right"/>
    </xf>
    <xf numFmtId="164" fontId="24" fillId="0" borderId="10" xfId="0" applyFont="1" applyFill="1" applyBorder="1" applyAlignment="1">
      <alignment horizontal="center" vertical="center"/>
    </xf>
    <xf numFmtId="167" fontId="23" fillId="0" borderId="10" xfId="2" applyNumberFormat="1" applyFont="1" applyFill="1" applyBorder="1" applyAlignment="1">
      <alignment horizontal="justify" vertical="center"/>
    </xf>
    <xf numFmtId="167" fontId="23" fillId="0" borderId="10" xfId="2" applyNumberFormat="1" applyFont="1" applyBorder="1" applyAlignment="1">
      <alignment vertical="center"/>
    </xf>
    <xf numFmtId="166" fontId="23" fillId="0" borderId="9" xfId="2" applyNumberFormat="1" applyFont="1" applyBorder="1"/>
    <xf numFmtId="11" fontId="23" fillId="0" borderId="9" xfId="2" applyNumberFormat="1" applyFont="1" applyFill="1" applyBorder="1"/>
    <xf numFmtId="166" fontId="23" fillId="0" borderId="9" xfId="2" applyFont="1" applyBorder="1"/>
    <xf numFmtId="164" fontId="23" fillId="8" borderId="9" xfId="0" applyFont="1" applyFill="1" applyBorder="1"/>
    <xf numFmtId="9" fontId="23" fillId="0" borderId="9" xfId="9" applyFont="1" applyBorder="1"/>
    <xf numFmtId="11" fontId="23" fillId="0" borderId="9" xfId="0" applyNumberFormat="1" applyFont="1" applyFill="1" applyBorder="1"/>
    <xf numFmtId="167" fontId="23" fillId="20" borderId="9" xfId="2" applyNumberFormat="1" applyFont="1" applyFill="1" applyBorder="1"/>
    <xf numFmtId="166" fontId="23" fillId="10" borderId="9" xfId="2" applyFont="1" applyFill="1" applyBorder="1"/>
    <xf numFmtId="167" fontId="24" fillId="0" borderId="9" xfId="2" applyNumberFormat="1" applyFont="1" applyFill="1" applyBorder="1"/>
    <xf numFmtId="164" fontId="23" fillId="16" borderId="9" xfId="0" applyFont="1" applyFill="1" applyBorder="1"/>
    <xf numFmtId="164" fontId="23" fillId="0" borderId="9" xfId="0" applyFont="1" applyBorder="1" applyAlignment="1">
      <alignment horizontal="center" vertical="center" wrapText="1"/>
    </xf>
    <xf numFmtId="167" fontId="23" fillId="21" borderId="9" xfId="2" applyNumberFormat="1" applyFont="1" applyFill="1" applyBorder="1"/>
    <xf numFmtId="178" fontId="23" fillId="0" borderId="9" xfId="2" applyNumberFormat="1" applyFont="1" applyBorder="1"/>
    <xf numFmtId="1" fontId="23" fillId="0" borderId="9" xfId="2" applyNumberFormat="1" applyFont="1" applyBorder="1"/>
    <xf numFmtId="1" fontId="23" fillId="0" borderId="9" xfId="0" applyNumberFormat="1" applyFont="1" applyBorder="1"/>
    <xf numFmtId="164" fontId="33" fillId="0" borderId="9" xfId="0" applyFont="1" applyBorder="1"/>
    <xf numFmtId="176" fontId="23" fillId="20" borderId="9" xfId="2" applyNumberFormat="1" applyFont="1" applyFill="1" applyBorder="1"/>
    <xf numFmtId="2" fontId="23" fillId="18" borderId="0" xfId="0" applyNumberFormat="1" applyFont="1" applyFill="1"/>
    <xf numFmtId="166" fontId="23" fillId="24" borderId="0" xfId="2" applyNumberFormat="1" applyFont="1" applyFill="1"/>
    <xf numFmtId="164" fontId="23" fillId="0" borderId="0" xfId="0" applyFont="1" applyFill="1" applyAlignment="1">
      <alignment horizontal="left" vertical="top"/>
    </xf>
    <xf numFmtId="0" fontId="12" fillId="0" borderId="0" xfId="8" applyAlignment="1">
      <alignment horizontal="center"/>
    </xf>
    <xf numFmtId="0" fontId="7" fillId="0" borderId="0" xfId="30"/>
    <xf numFmtId="0" fontId="13" fillId="0" borderId="0" xfId="30" applyFont="1" applyAlignment="1">
      <alignment horizontal="center" vertical="center"/>
    </xf>
    <xf numFmtId="0" fontId="78" fillId="0" borderId="0" xfId="30" applyFont="1" applyAlignment="1">
      <alignment horizontal="left"/>
    </xf>
    <xf numFmtId="0" fontId="7" fillId="0" borderId="0" xfId="30" applyAlignment="1">
      <alignment vertical="center"/>
    </xf>
    <xf numFmtId="0" fontId="16" fillId="0" borderId="48" xfId="30" applyFont="1" applyBorder="1" applyAlignment="1">
      <alignment horizontal="left" vertical="center" wrapText="1"/>
    </xf>
    <xf numFmtId="0" fontId="16" fillId="0" borderId="22" xfId="19" applyFont="1" applyFill="1" applyBorder="1" applyAlignment="1">
      <alignment horizontal="left" vertical="center" wrapText="1"/>
    </xf>
    <xf numFmtId="0" fontId="16" fillId="0" borderId="50" xfId="30" applyFont="1" applyBorder="1" applyAlignment="1">
      <alignment horizontal="left" vertical="center" wrapText="1"/>
    </xf>
    <xf numFmtId="164" fontId="16" fillId="0" borderId="27" xfId="0" applyFont="1" applyBorder="1" applyAlignment="1">
      <alignment vertical="center"/>
    </xf>
    <xf numFmtId="164" fontId="16" fillId="0" borderId="51" xfId="0" applyFont="1" applyBorder="1"/>
    <xf numFmtId="164" fontId="16" fillId="0" borderId="0" xfId="0" applyFont="1"/>
    <xf numFmtId="0" fontId="7" fillId="0" borderId="0" xfId="8" applyFont="1" applyAlignment="1">
      <alignment vertical="center" wrapText="1"/>
    </xf>
    <xf numFmtId="167" fontId="12" fillId="24" borderId="0" xfId="2" applyNumberFormat="1" applyFont="1" applyFill="1" applyAlignment="1">
      <alignment vertical="top"/>
    </xf>
    <xf numFmtId="0" fontId="12" fillId="24" borderId="0" xfId="8" applyFont="1" applyFill="1" applyAlignment="1">
      <alignment vertical="top"/>
    </xf>
    <xf numFmtId="0" fontId="17" fillId="0" borderId="6" xfId="8" applyFont="1" applyBorder="1"/>
    <xf numFmtId="0" fontId="74" fillId="0" borderId="0" xfId="8" applyFont="1" applyAlignment="1">
      <alignment horizontal="left" wrapText="1"/>
    </xf>
    <xf numFmtId="164" fontId="81" fillId="0" borderId="0" xfId="0" applyFont="1" applyAlignment="1">
      <alignment vertical="top"/>
    </xf>
    <xf numFmtId="164" fontId="47" fillId="0" borderId="0" xfId="17" applyNumberFormat="1" applyFont="1" applyFill="1" applyAlignment="1" applyProtection="1">
      <alignment wrapText="1"/>
    </xf>
    <xf numFmtId="6" fontId="79" fillId="0" borderId="8" xfId="30" applyNumberFormat="1" applyFont="1" applyFill="1" applyBorder="1" applyAlignment="1">
      <alignment horizontal="left" vertical="center" wrapText="1"/>
    </xf>
    <xf numFmtId="0" fontId="79" fillId="0" borderId="8" xfId="30" applyFont="1" applyFill="1" applyBorder="1" applyAlignment="1">
      <alignment horizontal="justify" vertical="center" wrapText="1"/>
    </xf>
    <xf numFmtId="0" fontId="79" fillId="0" borderId="8" xfId="30" applyFont="1" applyFill="1" applyBorder="1" applyAlignment="1">
      <alignment vertical="center" wrapText="1"/>
    </xf>
    <xf numFmtId="0" fontId="79" fillId="0" borderId="52" xfId="30" applyFont="1" applyFill="1" applyBorder="1" applyAlignment="1">
      <alignment horizontal="left" vertical="center" wrapText="1"/>
    </xf>
    <xf numFmtId="0" fontId="82" fillId="0" borderId="0" xfId="8" applyFont="1"/>
    <xf numFmtId="164" fontId="81" fillId="0" borderId="0" xfId="0" applyFont="1" applyBorder="1" applyAlignment="1">
      <alignment vertical="top" wrapText="1"/>
    </xf>
    <xf numFmtId="164" fontId="45" fillId="0" borderId="0" xfId="0" applyFont="1" applyFill="1" applyBorder="1" applyAlignment="1">
      <alignment vertical="top" wrapText="1"/>
    </xf>
    <xf numFmtId="164" fontId="45" fillId="20" borderId="10" xfId="0" applyFont="1" applyFill="1" applyBorder="1" applyAlignment="1">
      <alignment vertical="top"/>
    </xf>
    <xf numFmtId="164" fontId="45" fillId="21" borderId="10" xfId="0" applyFont="1" applyFill="1" applyBorder="1" applyAlignment="1">
      <alignment vertical="top"/>
    </xf>
    <xf numFmtId="164" fontId="45" fillId="24" borderId="10" xfId="0" applyFont="1" applyFill="1" applyBorder="1" applyAlignment="1">
      <alignment vertical="top"/>
    </xf>
    <xf numFmtId="164" fontId="0" fillId="0" borderId="0" xfId="0" applyAlignment="1">
      <alignment horizontal="right"/>
    </xf>
    <xf numFmtId="164" fontId="83" fillId="0" borderId="0" xfId="0" applyFont="1" applyFill="1"/>
    <xf numFmtId="164" fontId="83" fillId="0" borderId="0" xfId="0" applyFont="1" applyFill="1" applyAlignment="1">
      <alignment horizontal="right"/>
    </xf>
    <xf numFmtId="164" fontId="0" fillId="0" borderId="13" xfId="0" applyBorder="1"/>
    <xf numFmtId="164" fontId="83" fillId="0" borderId="13" xfId="0" applyFont="1" applyBorder="1" applyAlignment="1">
      <alignment horizontal="right"/>
    </xf>
    <xf numFmtId="164" fontId="16" fillId="0" borderId="49" xfId="0" applyFont="1" applyBorder="1"/>
    <xf numFmtId="6" fontId="7" fillId="0" borderId="28" xfId="30" applyNumberFormat="1" applyFont="1" applyFill="1" applyBorder="1" applyAlignment="1">
      <alignment horizontal="left" vertical="center" wrapText="1"/>
    </xf>
    <xf numFmtId="0" fontId="7" fillId="0" borderId="28" xfId="30" applyFont="1" applyFill="1" applyBorder="1" applyAlignment="1">
      <alignment horizontal="justify" vertical="center" wrapText="1"/>
    </xf>
    <xf numFmtId="0" fontId="7" fillId="0" borderId="28" xfId="30" applyFont="1" applyFill="1" applyBorder="1" applyAlignment="1">
      <alignment vertical="center" wrapText="1"/>
    </xf>
    <xf numFmtId="0" fontId="7" fillId="0" borderId="53" xfId="30" applyFont="1" applyFill="1" applyBorder="1" applyAlignment="1">
      <alignment horizontal="left" vertical="center" wrapText="1"/>
    </xf>
    <xf numFmtId="164" fontId="80" fillId="0" borderId="29" xfId="17" applyNumberFormat="1" applyFont="1" applyBorder="1" applyAlignment="1" applyProtection="1">
      <alignment horizontal="left"/>
    </xf>
    <xf numFmtId="164" fontId="80" fillId="0" borderId="25" xfId="17" applyNumberFormat="1" applyFont="1" applyBorder="1" applyAlignment="1" applyProtection="1">
      <alignment horizontal="left"/>
    </xf>
    <xf numFmtId="164" fontId="80" fillId="0" borderId="30" xfId="17" applyNumberFormat="1" applyFont="1" applyBorder="1" applyAlignment="1" applyProtection="1">
      <alignment horizontal="left"/>
    </xf>
    <xf numFmtId="164" fontId="80" fillId="0" borderId="23" xfId="17" applyNumberFormat="1" applyFont="1" applyBorder="1" applyAlignment="1" applyProtection="1">
      <alignment horizontal="left"/>
    </xf>
    <xf numFmtId="0" fontId="7" fillId="0" borderId="29" xfId="19" applyFont="1" applyBorder="1" applyAlignment="1">
      <alignment horizontal="left" vertical="center" wrapText="1"/>
    </xf>
    <xf numFmtId="0" fontId="7" fillId="0" borderId="25" xfId="19" applyFont="1" applyBorder="1" applyAlignment="1">
      <alignment horizontal="left" vertical="center" wrapText="1"/>
    </xf>
    <xf numFmtId="0" fontId="80" fillId="0" borderId="29" xfId="17" applyFont="1" applyBorder="1" applyAlignment="1" applyProtection="1">
      <alignment vertical="center" wrapText="1"/>
    </xf>
    <xf numFmtId="0" fontId="80" fillId="0" borderId="25" xfId="17" applyFont="1" applyBorder="1" applyAlignment="1" applyProtection="1">
      <alignment vertical="center" wrapText="1"/>
    </xf>
    <xf numFmtId="0" fontId="80" fillId="0" borderId="29" xfId="17" applyFont="1" applyBorder="1" applyAlignment="1" applyProtection="1">
      <alignment horizontal="left" vertical="center" wrapText="1"/>
    </xf>
    <xf numFmtId="0" fontId="80" fillId="0" borderId="25" xfId="17" applyFont="1" applyBorder="1" applyAlignment="1" applyProtection="1">
      <alignment horizontal="left" vertical="center" wrapText="1"/>
    </xf>
    <xf numFmtId="0" fontId="7" fillId="0" borderId="29" xfId="17" applyFont="1" applyBorder="1" applyAlignment="1" applyProtection="1">
      <alignment horizontal="left" vertical="center" wrapText="1"/>
    </xf>
    <xf numFmtId="0" fontId="7" fillId="0" borderId="29" xfId="20" applyFont="1" applyBorder="1" applyAlignment="1" applyProtection="1">
      <alignment horizontal="left" vertical="center" wrapText="1"/>
    </xf>
    <xf numFmtId="0" fontId="7" fillId="0" borderId="25" xfId="20" applyFont="1" applyBorder="1" applyAlignment="1" applyProtection="1">
      <alignment horizontal="left" vertical="center" wrapText="1"/>
    </xf>
    <xf numFmtId="0" fontId="13" fillId="0" borderId="0" xfId="30" applyFont="1" applyAlignment="1">
      <alignment horizontal="center" vertical="center"/>
    </xf>
    <xf numFmtId="0" fontId="58" fillId="0" borderId="47" xfId="30" applyFont="1" applyBorder="1" applyAlignment="1">
      <alignment horizontal="center" vertical="center"/>
    </xf>
    <xf numFmtId="0" fontId="16" fillId="0" borderId="27" xfId="30" applyFont="1" applyBorder="1" applyAlignment="1">
      <alignment horizontal="left" vertical="center" wrapText="1"/>
    </xf>
    <xf numFmtId="0" fontId="16" fillId="0" borderId="24" xfId="30" applyFont="1" applyBorder="1" applyAlignment="1">
      <alignment horizontal="left" vertical="center" wrapText="1"/>
    </xf>
    <xf numFmtId="0" fontId="16" fillId="0" borderId="26" xfId="30" applyFont="1" applyBorder="1" applyAlignment="1">
      <alignment horizontal="left" vertical="center" wrapText="1"/>
    </xf>
    <xf numFmtId="0" fontId="59" fillId="0" borderId="54" xfId="20" applyFont="1" applyBorder="1" applyAlignment="1" applyProtection="1">
      <alignment horizontal="left" vertical="center" wrapText="1"/>
    </xf>
    <xf numFmtId="0" fontId="59" fillId="0" borderId="22" xfId="20" applyFont="1" applyBorder="1" applyAlignment="1" applyProtection="1">
      <alignment horizontal="left" vertical="center" wrapText="1"/>
    </xf>
    <xf numFmtId="164" fontId="44" fillId="0" borderId="55" xfId="0" applyFont="1" applyBorder="1" applyAlignment="1">
      <alignment horizontal="center"/>
    </xf>
    <xf numFmtId="164" fontId="72" fillId="0" borderId="55" xfId="0" applyFont="1" applyBorder="1" applyAlignment="1">
      <alignment horizontal="center"/>
    </xf>
    <xf numFmtId="0" fontId="12" fillId="0" borderId="0" xfId="8" applyBorder="1" applyAlignment="1">
      <alignment horizontal="center" vertical="center"/>
    </xf>
    <xf numFmtId="0" fontId="74" fillId="0" borderId="0" xfId="8" applyFont="1" applyAlignment="1">
      <alignment horizontal="left" wrapText="1"/>
    </xf>
    <xf numFmtId="164" fontId="23" fillId="0" borderId="0" xfId="0" applyFont="1" applyAlignment="1">
      <alignment horizontal="left" vertical="center" wrapText="1"/>
    </xf>
    <xf numFmtId="14" fontId="32" fillId="0" borderId="6" xfId="0" applyNumberFormat="1" applyFont="1" applyBorder="1" applyAlignment="1">
      <alignment horizontal="left"/>
    </xf>
    <xf numFmtId="164" fontId="23" fillId="0" borderId="10" xfId="0" applyFont="1" applyBorder="1" applyAlignment="1">
      <alignment horizontal="left"/>
    </xf>
    <xf numFmtId="164" fontId="23" fillId="0" borderId="14" xfId="0" applyFont="1" applyBorder="1" applyAlignment="1">
      <alignment horizontal="left"/>
    </xf>
    <xf numFmtId="164" fontId="23" fillId="0" borderId="9" xfId="0" applyFont="1" applyBorder="1" applyAlignment="1">
      <alignment horizontal="left"/>
    </xf>
    <xf numFmtId="164" fontId="23" fillId="0" borderId="13" xfId="0" applyFont="1" applyBorder="1" applyAlignment="1">
      <alignment horizontal="left"/>
    </xf>
    <xf numFmtId="164" fontId="23" fillId="0" borderId="2" xfId="0" applyFont="1" applyBorder="1" applyAlignment="1">
      <alignment horizontal="left"/>
    </xf>
    <xf numFmtId="164" fontId="23" fillId="0" borderId="4" xfId="0" applyFont="1" applyBorder="1" applyAlignment="1">
      <alignment horizontal="left"/>
    </xf>
    <xf numFmtId="164" fontId="44" fillId="0" borderId="0" xfId="0" applyFont="1" applyAlignment="1">
      <alignment horizontal="left"/>
    </xf>
    <xf numFmtId="164" fontId="44" fillId="0" borderId="0" xfId="17" applyNumberFormat="1" applyFont="1" applyAlignment="1" applyProtection="1"/>
    <xf numFmtId="164" fontId="47" fillId="0" borderId="0" xfId="17" applyNumberFormat="1" applyFont="1" applyAlignment="1" applyProtection="1">
      <alignment horizontal="left" wrapText="1"/>
    </xf>
    <xf numFmtId="164" fontId="44" fillId="0" borderId="0" xfId="0" applyFont="1" applyAlignment="1">
      <alignment horizontal="left" vertical="center"/>
    </xf>
    <xf numFmtId="0" fontId="7" fillId="0" borderId="0" xfId="8" applyNumberFormat="1" applyFont="1" applyFill="1" applyBorder="1" applyAlignment="1">
      <alignment vertical="top" wrapText="1"/>
    </xf>
  </cellXfs>
  <cellStyles count="34">
    <cellStyle name="=C:\WINNT35\SYSTEM32\COMMAND.COM" xfId="1"/>
    <cellStyle name="Comma" xfId="2" builtinId="3"/>
    <cellStyle name="Comma 2" xfId="23"/>
    <cellStyle name="Comma 2 2" xfId="33"/>
    <cellStyle name="Comma 3" xfId="27"/>
    <cellStyle name="Comma 4" xfId="28"/>
    <cellStyle name="Currency" xfId="18" builtinId="4"/>
    <cellStyle name="Currency 2" xfId="25"/>
    <cellStyle name="Hyperlink" xfId="17" builtinId="8"/>
    <cellStyle name="Hyperlink_mcc-err-namibia_mkt" xfId="20"/>
    <cellStyle name="Komma_Data book Typical windpark" xfId="3"/>
    <cellStyle name="Milliers [0]_Budget 2000" xfId="4"/>
    <cellStyle name="Milliers_Budget 2000" xfId="5"/>
    <cellStyle name="Monétaire [0]_Budget 2000" xfId="6"/>
    <cellStyle name="Monétaire_Budget 2000" xfId="7"/>
    <cellStyle name="Normal" xfId="0" builtinId="0"/>
    <cellStyle name="Normal 2" xfId="8"/>
    <cellStyle name="Normal 2 2" xfId="31"/>
    <cellStyle name="Normal 3" xfId="22"/>
    <cellStyle name="Normal 4" xfId="21"/>
    <cellStyle name="Normal 5" xfId="26"/>
    <cellStyle name="Normal_ConsolidatedAg_IM_Clean" xfId="30"/>
    <cellStyle name="Normal_mcc-err-namibia_mkt" xfId="19"/>
    <cellStyle name="Percent" xfId="9" builtinId="5"/>
    <cellStyle name="Percent 2" xfId="24"/>
    <cellStyle name="Percent 2 2" xfId="32"/>
    <cellStyle name="Percent 3" xfId="29"/>
    <cellStyle name="PSChar" xfId="10"/>
    <cellStyle name="PSDate" xfId="11"/>
    <cellStyle name="PSDec" xfId="12"/>
    <cellStyle name="PSHeading" xfId="13"/>
    <cellStyle name="PSInt" xfId="14"/>
    <cellStyle name="PSSpacer" xfId="15"/>
    <cellStyle name="Standaard_Data book Typical windpark" xfId="16"/>
  </cellStyles>
  <dxfs count="0"/>
  <tableStyles count="0" defaultTableStyle="TableStyleMedium9" defaultPivotStyle="PivotStyleLight16"/>
  <colors>
    <mruColors>
      <color rgb="FFFFFFCC"/>
      <color rgb="FFD3F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sz="1100"/>
              <a:t>Average cost</a:t>
            </a:r>
            <a:r>
              <a:rPr lang="en-US" sz="1100" baseline="0"/>
              <a:t> of power for ~50 MW wind farms</a:t>
            </a:r>
            <a:endParaRPr lang="en-US" sz="11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'Power Gen'!$B$38</c:f>
              <c:strCache>
                <c:ptCount val="1"/>
                <c:pt idx="0">
                  <c:v>Cost/kWh</c:v>
                </c:pt>
              </c:strCache>
            </c:strRef>
          </c:tx>
          <c:invertIfNegative val="0"/>
          <c:cat>
            <c:strRef>
              <c:f>'Power Gen'!$A$39:$A$42</c:f>
              <c:strCache>
                <c:ptCount val="4"/>
                <c:pt idx="0">
                  <c:v>7.15 </c:v>
                </c:pt>
                <c:pt idx="1">
                  <c:v>8.08 </c:v>
                </c:pt>
                <c:pt idx="2">
                  <c:v>9.32 </c:v>
                </c:pt>
                <c:pt idx="3">
                  <c:v>Salkhit Wind Park</c:v>
                </c:pt>
              </c:strCache>
            </c:strRef>
          </c:cat>
          <c:val>
            <c:numRef>
              <c:f>'Power Gen'!$B$39:$B$42</c:f>
              <c:numCache>
                <c:formatCode>_("$"* #,##0.000_);_("$"* \(#,##0.000\);_("$"* "-"??_);_(@_)</c:formatCode>
                <c:ptCount val="4"/>
                <c:pt idx="0">
                  <c:v>4.8000000000000001E-2</c:v>
                </c:pt>
                <c:pt idx="1">
                  <c:v>3.5999999999999997E-2</c:v>
                </c:pt>
                <c:pt idx="2">
                  <c:v>2.5999999999999999E-2</c:v>
                </c:pt>
                <c:pt idx="3">
                  <c:v>0.127</c:v>
                </c:pt>
              </c:numCache>
            </c:numRef>
          </c:val>
        </c:ser>
        <c:dLbls>
          <c:showLegendKey val="0"/>
          <c:showVal val="0"/>
          <c:showCatName val="0"/>
          <c:showSerName val="0"/>
          <c:showPercent val="0"/>
          <c:showBubbleSize val="0"/>
        </c:dLbls>
        <c:gapWidth val="150"/>
        <c:shape val="box"/>
        <c:axId val="526030176"/>
        <c:axId val="526030568"/>
        <c:axId val="0"/>
      </c:bar3DChart>
      <c:catAx>
        <c:axId val="526030176"/>
        <c:scaling>
          <c:orientation val="minMax"/>
        </c:scaling>
        <c:delete val="0"/>
        <c:axPos val="b"/>
        <c:title>
          <c:tx>
            <c:rich>
              <a:bodyPr/>
              <a:lstStyle/>
              <a:p>
                <a:pPr>
                  <a:defRPr/>
                </a:pPr>
                <a:r>
                  <a:rPr lang="en-US" sz="1100"/>
                  <a:t>Average</a:t>
                </a:r>
                <a:r>
                  <a:rPr lang="en-US" sz="1100" baseline="0"/>
                  <a:t> wind speed (m/s)</a:t>
                </a:r>
                <a:endParaRPr lang="en-US" sz="1100"/>
              </a:p>
            </c:rich>
          </c:tx>
          <c:overlay val="0"/>
        </c:title>
        <c:numFmt formatCode="General" sourceLinked="0"/>
        <c:majorTickMark val="out"/>
        <c:minorTickMark val="none"/>
        <c:tickLblPos val="nextTo"/>
        <c:crossAx val="526030568"/>
        <c:crosses val="autoZero"/>
        <c:auto val="1"/>
        <c:lblAlgn val="ctr"/>
        <c:lblOffset val="100"/>
        <c:noMultiLvlLbl val="0"/>
      </c:catAx>
      <c:valAx>
        <c:axId val="526030568"/>
        <c:scaling>
          <c:orientation val="minMax"/>
        </c:scaling>
        <c:delete val="0"/>
        <c:axPos val="l"/>
        <c:majorGridlines/>
        <c:title>
          <c:tx>
            <c:rich>
              <a:bodyPr rot="-5400000" vert="horz"/>
              <a:lstStyle/>
              <a:p>
                <a:pPr>
                  <a:defRPr/>
                </a:pPr>
                <a:r>
                  <a:rPr lang="en-US" sz="1100"/>
                  <a:t>Cost</a:t>
                </a:r>
                <a:r>
                  <a:rPr lang="en-US" sz="1100" baseline="0"/>
                  <a:t> (US$/kWh)</a:t>
                </a:r>
                <a:endParaRPr lang="en-US" sz="1100"/>
              </a:p>
            </c:rich>
          </c:tx>
          <c:overlay val="0"/>
        </c:title>
        <c:numFmt formatCode="_(&quot;$&quot;* #,##0.000_);_(&quot;$&quot;* \(#,##0.000\);_(&quot;$&quot;* &quot;-&quot;??_);_(@_)" sourceLinked="1"/>
        <c:majorTickMark val="out"/>
        <c:minorTickMark val="none"/>
        <c:tickLblPos val="nextTo"/>
        <c:crossAx val="526030176"/>
        <c:crosses val="autoZero"/>
        <c:crossBetween val="between"/>
      </c:valAx>
    </c:plotArea>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sz="1100"/>
              <a:t>Salkhit</a:t>
            </a:r>
            <a:r>
              <a:rPr lang="en-US" sz="1100" baseline="0"/>
              <a:t> Wind Park vs. Traditional Power Plants</a:t>
            </a:r>
            <a:endParaRPr lang="en-US" sz="11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'Power Gen'!$A$56</c:f>
              <c:strCache>
                <c:ptCount val="1"/>
                <c:pt idx="0">
                  <c:v>Cost of Power at Traditional Plants in Mongolia</c:v>
                </c:pt>
              </c:strCache>
            </c:strRef>
          </c:tx>
          <c:invertIfNegative val="0"/>
          <c:cat>
            <c:strRef>
              <c:f>'Power Gen'!$A$58:$A$63</c:f>
              <c:strCache>
                <c:ptCount val="6"/>
                <c:pt idx="0">
                  <c:v>Power Plant #2</c:v>
                </c:pt>
                <c:pt idx="1">
                  <c:v>Power Plant #3</c:v>
                </c:pt>
                <c:pt idx="2">
                  <c:v>Power Plant #4</c:v>
                </c:pt>
                <c:pt idx="3">
                  <c:v>Darkhan</c:v>
                </c:pt>
                <c:pt idx="4">
                  <c:v>Erdenet</c:v>
                </c:pt>
                <c:pt idx="5">
                  <c:v>Salkhit Wind Park</c:v>
                </c:pt>
              </c:strCache>
            </c:strRef>
          </c:cat>
          <c:val>
            <c:numRef>
              <c:f>'Power Gen'!$D$58:$D$63</c:f>
              <c:numCache>
                <c:formatCode>General_)</c:formatCode>
                <c:ptCount val="6"/>
                <c:pt idx="0">
                  <c:v>2.7600000000000003E-2</c:v>
                </c:pt>
                <c:pt idx="1">
                  <c:v>1.6300000000000002E-2</c:v>
                </c:pt>
                <c:pt idx="2">
                  <c:v>1.5900000000000001E-2</c:v>
                </c:pt>
                <c:pt idx="3">
                  <c:v>1.8200000000000001E-2</c:v>
                </c:pt>
                <c:pt idx="4">
                  <c:v>2.0899999999999998E-2</c:v>
                </c:pt>
                <c:pt idx="5" formatCode="_-* #,##0.0000_-;_-* #,##0.0000\-;_-* &quot;-&quot;??_-;_-@_-">
                  <c:v>9.5000000000000001E-2</c:v>
                </c:pt>
              </c:numCache>
            </c:numRef>
          </c:val>
        </c:ser>
        <c:dLbls>
          <c:showLegendKey val="0"/>
          <c:showVal val="0"/>
          <c:showCatName val="0"/>
          <c:showSerName val="0"/>
          <c:showPercent val="0"/>
          <c:showBubbleSize val="0"/>
        </c:dLbls>
        <c:gapWidth val="150"/>
        <c:shape val="box"/>
        <c:axId val="558076616"/>
        <c:axId val="558077008"/>
        <c:axId val="0"/>
      </c:bar3DChart>
      <c:catAx>
        <c:axId val="558076616"/>
        <c:scaling>
          <c:orientation val="minMax"/>
        </c:scaling>
        <c:delete val="0"/>
        <c:axPos val="b"/>
        <c:title>
          <c:tx>
            <c:rich>
              <a:bodyPr/>
              <a:lstStyle/>
              <a:p>
                <a:pPr>
                  <a:defRPr/>
                </a:pPr>
                <a:r>
                  <a:rPr lang="en-US" sz="1100"/>
                  <a:t>Average</a:t>
                </a:r>
                <a:r>
                  <a:rPr lang="en-US" sz="1100" baseline="0"/>
                  <a:t> wind speed (m/s)</a:t>
                </a:r>
                <a:endParaRPr lang="en-US" sz="1100"/>
              </a:p>
            </c:rich>
          </c:tx>
          <c:overlay val="0"/>
        </c:title>
        <c:numFmt formatCode="General" sourceLinked="0"/>
        <c:majorTickMark val="out"/>
        <c:minorTickMark val="none"/>
        <c:tickLblPos val="nextTo"/>
        <c:crossAx val="558077008"/>
        <c:crosses val="autoZero"/>
        <c:auto val="1"/>
        <c:lblAlgn val="ctr"/>
        <c:lblOffset val="100"/>
        <c:noMultiLvlLbl val="0"/>
      </c:catAx>
      <c:valAx>
        <c:axId val="558077008"/>
        <c:scaling>
          <c:orientation val="minMax"/>
        </c:scaling>
        <c:delete val="0"/>
        <c:axPos val="l"/>
        <c:majorGridlines/>
        <c:title>
          <c:tx>
            <c:rich>
              <a:bodyPr rot="-5400000" vert="horz"/>
              <a:lstStyle/>
              <a:p>
                <a:pPr>
                  <a:defRPr/>
                </a:pPr>
                <a:r>
                  <a:rPr lang="en-US" sz="1100"/>
                  <a:t>Cost</a:t>
                </a:r>
                <a:r>
                  <a:rPr lang="en-US" sz="1100" baseline="0"/>
                  <a:t> (US$/kWh)</a:t>
                </a:r>
                <a:endParaRPr lang="en-US" sz="1100"/>
              </a:p>
            </c:rich>
          </c:tx>
          <c:overlay val="0"/>
        </c:title>
        <c:numFmt formatCode="General_)" sourceLinked="1"/>
        <c:majorTickMark val="out"/>
        <c:minorTickMark val="none"/>
        <c:tickLblPos val="nextTo"/>
        <c:crossAx val="558076616"/>
        <c:crosses val="autoZero"/>
        <c:crossBetween val="between"/>
      </c:valAx>
    </c:plotArea>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sz="1400"/>
              <a:t>Salkhit Wind Park Benefits</a:t>
            </a:r>
            <a:r>
              <a:rPr lang="en-US" sz="1400" baseline="0"/>
              <a:t> by Source</a:t>
            </a:r>
            <a:endParaRPr lang="en-US" sz="1400"/>
          </a:p>
        </c:rich>
      </c:tx>
      <c:overlay val="1"/>
    </c:title>
    <c:autoTitleDeleted val="0"/>
    <c:view3D>
      <c:rotX val="30"/>
      <c:rotY val="210"/>
      <c:rAngAx val="0"/>
    </c:view3D>
    <c:floor>
      <c:thickness val="0"/>
    </c:floor>
    <c:sideWall>
      <c:thickness val="0"/>
    </c:sideWall>
    <c:backWall>
      <c:thickness val="0"/>
    </c:backWall>
    <c:plotArea>
      <c:layout>
        <c:manualLayout>
          <c:layoutTarget val="inner"/>
          <c:xMode val="edge"/>
          <c:yMode val="edge"/>
          <c:x val="0.14852150537634409"/>
          <c:y val="0.18544529759867096"/>
          <c:w val="0.66801075268817867"/>
          <c:h val="0.64186531031447669"/>
        </c:manualLayout>
      </c:layout>
      <c:pie3DChart>
        <c:varyColors val="1"/>
        <c:ser>
          <c:idx val="0"/>
          <c:order val="0"/>
          <c:dLbls>
            <c:dLbl>
              <c:idx val="0"/>
              <c:layout>
                <c:manualLayout>
                  <c:x val="-5.5201930403860809E-2"/>
                  <c:y val="3.9275525341941142E-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2899381047518313"/>
                  <c:y val="5.3075122366460946E-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0829269325205369"/>
                  <c:y val="-1.3921520679480399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9.2805647277961215E-2"/>
                  <c:y val="2.2121908674459342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2.6493712539663886E-2"/>
                  <c:y val="4.3178548627367391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Charts!$A$6:$A$10</c:f>
              <c:strCache>
                <c:ptCount val="5"/>
                <c:pt idx="0">
                  <c:v>Avoided Fuel Costs</c:v>
                </c:pt>
                <c:pt idx="1">
                  <c:v>Newcom CDM credit sales</c:v>
                </c:pt>
                <c:pt idx="2">
                  <c:v>Water Savings</c:v>
                </c:pt>
                <c:pt idx="3">
                  <c:v>Health cost savings</c:v>
                </c:pt>
                <c:pt idx="4">
                  <c:v>Power quality &amp; reliability benefits</c:v>
                </c:pt>
              </c:strCache>
            </c:strRef>
          </c:cat>
          <c:val>
            <c:numRef>
              <c:f>Charts!$C$6:$C$10</c:f>
              <c:numCache>
                <c:formatCode>0%</c:formatCode>
                <c:ptCount val="5"/>
                <c:pt idx="0">
                  <c:v>0.15573416870455259</c:v>
                </c:pt>
                <c:pt idx="1">
                  <c:v>0.19327267368297885</c:v>
                </c:pt>
                <c:pt idx="2">
                  <c:v>5.8482112544993095E-4</c:v>
                </c:pt>
                <c:pt idx="3">
                  <c:v>0.53374464514666398</c:v>
                </c:pt>
                <c:pt idx="4">
                  <c:v>0.11666369134035479</c:v>
                </c:pt>
              </c:numCache>
            </c:numRef>
          </c:val>
        </c:ser>
        <c:dLbls>
          <c:showLegendKey val="0"/>
          <c:showVal val="0"/>
          <c:showCatName val="0"/>
          <c:showSerName val="0"/>
          <c:showPercent val="0"/>
          <c:showBubbleSize val="0"/>
          <c:showLeaderLines val="1"/>
        </c:dLbls>
      </c:pie3DChart>
    </c:plotArea>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251810</xdr:colOff>
      <xdr:row>1</xdr:row>
      <xdr:rowOff>58135</xdr:rowOff>
    </xdr:from>
    <xdr:to>
      <xdr:col>1</xdr:col>
      <xdr:colOff>2145534</xdr:colOff>
      <xdr:row>5</xdr:row>
      <xdr:rowOff>141743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810" y="258160"/>
          <a:ext cx="2655724" cy="8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314324</xdr:colOff>
      <xdr:row>35</xdr:row>
      <xdr:rowOff>190500</xdr:rowOff>
    </xdr:from>
    <xdr:to>
      <xdr:col>9</xdr:col>
      <xdr:colOff>85725</xdr:colOff>
      <xdr:row>49</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53</xdr:row>
      <xdr:rowOff>152400</xdr:rowOff>
    </xdr:from>
    <xdr:to>
      <xdr:col>12</xdr:col>
      <xdr:colOff>485776</xdr:colOff>
      <xdr:row>67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47</xdr:row>
      <xdr:rowOff>95250</xdr:rowOff>
    </xdr:from>
    <xdr:to>
      <xdr:col>6</xdr:col>
      <xdr:colOff>314326</xdr:colOff>
      <xdr:row>66</xdr:row>
      <xdr:rowOff>133887</xdr:rowOff>
    </xdr:to>
    <xdr:pic>
      <xdr:nvPicPr>
        <xdr:cNvPr id="3" name="Picture 2" descr="Funds flow 10.16.09.png"/>
        <xdr:cNvPicPr>
          <a:picLocks noChangeAspect="1"/>
        </xdr:cNvPicPr>
      </xdr:nvPicPr>
      <xdr:blipFill>
        <a:blip xmlns:r="http://schemas.openxmlformats.org/officeDocument/2006/relationships" r:embed="rId1" cstate="print"/>
        <a:stretch>
          <a:fillRect/>
        </a:stretch>
      </xdr:blipFill>
      <xdr:spPr>
        <a:xfrm>
          <a:off x="419100" y="9639300"/>
          <a:ext cx="7591426" cy="383911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361950</xdr:colOff>
      <xdr:row>4</xdr:row>
      <xdr:rowOff>76200</xdr:rowOff>
    </xdr:from>
    <xdr:to>
      <xdr:col>10</xdr:col>
      <xdr:colOff>133350</xdr:colOff>
      <xdr:row>22</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cnpnasfs01\Office_Shares\Documents%20and%20Settings\breitbarthtj\Local%20Settings\Temporary%20Internet%20Files\Content.Outlook\GAT7JALD\Investment%20model%20200905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alkhit%20Project\MCC\MCC_20090720\Investment%20model%20200905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_divisions\Economic%20Analysis\ERR%20Spreadsheets\Web%20Dissemination\Ongoing%20Work\Mongolia\Mongolia%20Health%20ERR.IM%20Clean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alkhit%20Project\MCC\MCC_20090720\ERR\mcc-err-mongolia-ra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cnpnasfs01\Office_Shares\_divisions\Economic%20Analysis\Country%20Work\Mongolia\ERR\Revised%20ERRs\GDP\GDP_IMF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change"/>
      <sheetName val="Cover"/>
      <sheetName val="Versions"/>
      <sheetName val="WACC"/>
      <sheetName val="Hidden"/>
      <sheetName val="EQ IRR 0"/>
      <sheetName val="information"/>
      <sheetName val="investment change "/>
      <sheetName val="Data book"/>
      <sheetName val="General&amp;Opex"/>
      <sheetName val="Energy yield"/>
      <sheetName val="Investment"/>
      <sheetName val="Financing"/>
      <sheetName val="Finance"/>
      <sheetName val="Depreciation"/>
      <sheetName val="PPA"/>
      <sheetName val="Taxes"/>
      <sheetName val="P&amp;L"/>
      <sheetName val="BS"/>
      <sheetName val="CF"/>
      <sheetName val="Results"/>
      <sheetName val="Graphs"/>
      <sheetName val="Presentation"/>
      <sheetName val="Civil work"/>
      <sheetName val="base"/>
      <sheetName val="Sheet1"/>
    </sheetNames>
    <sheetDataSet>
      <sheetData sheetId="0" refreshError="1"/>
      <sheetData sheetId="1" refreshError="1"/>
      <sheetData sheetId="2">
        <row r="2">
          <cell r="B2" t="str">
            <v>Salkhit Uul</v>
          </cell>
        </row>
      </sheetData>
      <sheetData sheetId="3" refreshError="1"/>
      <sheetData sheetId="4">
        <row r="5">
          <cell r="C5">
            <v>3</v>
          </cell>
        </row>
        <row r="46">
          <cell r="B46">
            <v>1</v>
          </cell>
        </row>
        <row r="47">
          <cell r="B47">
            <v>0</v>
          </cell>
        </row>
      </sheetData>
      <sheetData sheetId="5" refreshError="1"/>
      <sheetData sheetId="6" refreshError="1"/>
      <sheetData sheetId="7" refreshError="1"/>
      <sheetData sheetId="8" refreshError="1"/>
      <sheetData sheetId="9">
        <row r="2">
          <cell r="A2" t="str">
            <v>Model</v>
          </cell>
        </row>
        <row r="10">
          <cell r="D10" t="str">
            <v>US$</v>
          </cell>
        </row>
      </sheetData>
      <sheetData sheetId="10">
        <row r="46">
          <cell r="D46">
            <v>2645.694</v>
          </cell>
        </row>
      </sheetData>
      <sheetData sheetId="11">
        <row r="8">
          <cell r="F8">
            <v>1.36</v>
          </cell>
        </row>
      </sheetData>
      <sheetData sheetId="12">
        <row r="9">
          <cell r="D9">
            <v>2045853.8734547209</v>
          </cell>
        </row>
      </sheetData>
      <sheetData sheetId="13">
        <row r="64">
          <cell r="U64">
            <v>0</v>
          </cell>
        </row>
      </sheetData>
      <sheetData sheetId="14">
        <row r="54">
          <cell r="D54">
            <v>5818407.572497596</v>
          </cell>
        </row>
      </sheetData>
      <sheetData sheetId="15">
        <row r="19">
          <cell r="D19">
            <v>9.5000000000000001E-2</v>
          </cell>
        </row>
      </sheetData>
      <sheetData sheetId="16">
        <row r="16">
          <cell r="D16">
            <v>181258.76036389262</v>
          </cell>
        </row>
      </sheetData>
      <sheetData sheetId="17">
        <row r="22">
          <cell r="D22">
            <v>16215564.35376</v>
          </cell>
        </row>
      </sheetData>
      <sheetData sheetId="18">
        <row r="15">
          <cell r="C15">
            <v>87276113.587463945</v>
          </cell>
        </row>
      </sheetData>
      <sheetData sheetId="19">
        <row r="61">
          <cell r="D61">
            <v>0</v>
          </cell>
        </row>
      </sheetData>
      <sheetData sheetId="20">
        <row r="17">
          <cell r="D17">
            <v>32870283.978105828</v>
          </cell>
        </row>
      </sheetData>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change"/>
      <sheetName val="Cover"/>
      <sheetName val="Versions"/>
      <sheetName val="WACC"/>
      <sheetName val="Hidden"/>
      <sheetName val="EQ IRR 0"/>
      <sheetName val="information"/>
      <sheetName val="investment change "/>
      <sheetName val="Data book"/>
      <sheetName val="General&amp;Opex"/>
      <sheetName val="Energy yield"/>
      <sheetName val="Investment"/>
      <sheetName val="Financing"/>
      <sheetName val="Finance"/>
      <sheetName val="Depreciation"/>
      <sheetName val="PPA"/>
      <sheetName val="Taxes"/>
      <sheetName val="P&amp;L"/>
      <sheetName val="BS"/>
      <sheetName val="CF"/>
      <sheetName val="Results"/>
      <sheetName val="Graphs"/>
      <sheetName val="Presentation"/>
      <sheetName val="Civil work"/>
      <sheetName val="base"/>
      <sheetName val="Sheet1"/>
    </sheetNames>
    <sheetDataSet>
      <sheetData sheetId="0" refreshError="1"/>
      <sheetData sheetId="1" refreshError="1"/>
      <sheetData sheetId="2" refreshError="1"/>
      <sheetData sheetId="3" refreshError="1"/>
      <sheetData sheetId="4" refreshError="1">
        <row r="46">
          <cell r="B46">
            <v>1</v>
          </cell>
        </row>
        <row r="47">
          <cell r="B47">
            <v>0</v>
          </cell>
        </row>
      </sheetData>
      <sheetData sheetId="5" refreshError="1"/>
      <sheetData sheetId="6" refreshError="1"/>
      <sheetData sheetId="7" refreshError="1"/>
      <sheetData sheetId="8" refreshError="1"/>
      <sheetData sheetId="9" refreshError="1">
        <row r="10">
          <cell r="D10" t="str">
            <v>US$</v>
          </cell>
        </row>
      </sheetData>
      <sheetData sheetId="10" refreshError="1"/>
      <sheetData sheetId="11" refreshError="1">
        <row r="8">
          <cell r="F8">
            <v>1.36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 &amp; Sensitivity analysis"/>
      <sheetName val="Overview of worksheets"/>
      <sheetName val="ERR Summary"/>
      <sheetName val="Data &amp; Assumptions"/>
      <sheetName val="Hypertension"/>
      <sheetName val="Diabetes"/>
      <sheetName val="Cancer"/>
      <sheetName val="Indicators"/>
    </sheetNames>
    <sheetDataSet>
      <sheetData sheetId="0"/>
      <sheetData sheetId="1"/>
      <sheetData sheetId="2"/>
      <sheetData sheetId="3"/>
      <sheetData sheetId="4">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5">
        <row r="25">
          <cell r="C25">
            <v>0.2</v>
          </cell>
        </row>
        <row r="26">
          <cell r="C26">
            <v>0.1</v>
          </cell>
        </row>
        <row r="31">
          <cell r="E31">
            <v>0.25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Income Statements &amp; GDP Impact"/>
      <sheetName val="Operating Costs"/>
    </sheetNames>
    <sheetDataSet>
      <sheetData sheetId="0"/>
      <sheetData sheetId="1" refreshError="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IMF_051512"/>
      <sheetName val="Sheet1"/>
    </sheetNames>
    <sheetDataSet>
      <sheetData sheetId="0"/>
      <sheetData sheetId="1">
        <row r="13">
          <cell r="J13">
            <v>4574</v>
          </cell>
          <cell r="K13">
            <v>5201.8917956227497</v>
          </cell>
          <cell r="L13">
            <v>6456.428886945705</v>
          </cell>
          <cell r="M13">
            <v>7261.4009247888416</v>
          </cell>
          <cell r="N13">
            <v>8620.852792091262</v>
          </cell>
          <cell r="O13">
            <v>9815.963419051066</v>
          </cell>
          <cell r="P13">
            <v>10456.749852623303</v>
          </cell>
          <cell r="Q13">
            <v>12169.06748525436</v>
          </cell>
          <cell r="R13">
            <v>13575.4442050135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1.bin"/><Relationship Id="rId1" Type="http://schemas.openxmlformats.org/officeDocument/2006/relationships/hyperlink" Target="http://siteresources.worldbank.org/INTMONGOLIA/Resources/Air_pollution_final_report.pdf" TargetMode="External"/><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hyperlink" Target="http://www.who.int/healthinfo/global_burden_disease/estimates_country/en/index.html" TargetMode="Externa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pennymotion.com/penny-stock-news/prophecy-coal-corp-prpcf-otc-link-prophecy-receives-a-positive-feasibility-study-for-the-chandgana-mine-mouth-power-plant-project-in-central-mongolia-diagrams-included/"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pdf.usaid.gov/pdf_docs/PNADW473.pdf" TargetMode="External"/><Relationship Id="rId2" Type="http://schemas.openxmlformats.org/officeDocument/2006/relationships/hyperlink" Target="http://ubpost.mongolnews.mn/index.php?option=com_content&amp;task=view&amp;id=5643&amp;Itemid=36" TargetMode="External"/><Relationship Id="rId1" Type="http://schemas.openxmlformats.org/officeDocument/2006/relationships/hyperlink" Target="http://www.indexmundi.com/mongolia/economy_profile.html" TargetMode="External"/><Relationship Id="rId5" Type="http://schemas.openxmlformats.org/officeDocument/2006/relationships/printerSettings" Target="../printerSettings/printerSettings14.bin"/><Relationship Id="rId4" Type="http://schemas.openxmlformats.org/officeDocument/2006/relationships/hyperlink" Target="http://www.indexmundi.com/mongolia/economy_profile.html"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awea.org/pubs/factsheets/EconomicsOfWind-Feb2005.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tabSelected="1" topLeftCell="A8" zoomScale="86" zoomScaleNormal="86" workbookViewId="0">
      <selection activeCell="D21" sqref="D21"/>
    </sheetView>
  </sheetViews>
  <sheetFormatPr defaultRowHeight="15.75"/>
  <cols>
    <col min="2" max="2" width="27.5546875" customWidth="1"/>
    <col min="3" max="3" width="34" customWidth="1"/>
    <col min="4" max="4" width="32.88671875" customWidth="1"/>
  </cols>
  <sheetData>
    <row r="1" spans="1:4" ht="15.75" customHeight="1">
      <c r="A1" s="681"/>
      <c r="B1" s="681"/>
      <c r="C1" s="682"/>
      <c r="D1" s="683"/>
    </row>
    <row r="2" spans="1:4" ht="15.75" customHeight="1">
      <c r="A2" s="681"/>
      <c r="B2" s="681"/>
      <c r="C2" s="682"/>
      <c r="D2" s="682"/>
    </row>
    <row r="3" spans="1:4" ht="15.75" customHeight="1">
      <c r="A3" s="681"/>
      <c r="B3" s="681"/>
      <c r="C3" s="731" t="s">
        <v>576</v>
      </c>
      <c r="D3" s="731"/>
    </row>
    <row r="4" spans="1:4" ht="15.75" customHeight="1">
      <c r="A4" s="681"/>
      <c r="B4" s="681"/>
      <c r="C4" s="731"/>
      <c r="D4" s="731"/>
    </row>
    <row r="5" spans="1:4" ht="15.75" customHeight="1">
      <c r="A5" s="681"/>
      <c r="B5" s="681"/>
      <c r="C5" s="731"/>
      <c r="D5" s="731"/>
    </row>
    <row r="6" spans="1:4" ht="15.75" customHeight="1">
      <c r="A6" s="681"/>
      <c r="B6" s="681"/>
      <c r="C6" s="731"/>
      <c r="D6" s="731"/>
    </row>
    <row r="7" spans="1:4" ht="15.75" customHeight="1">
      <c r="A7" s="681"/>
      <c r="B7" s="681"/>
      <c r="C7" s="731"/>
      <c r="D7" s="731"/>
    </row>
    <row r="8" spans="1:4" ht="16.5" customHeight="1" thickBot="1">
      <c r="A8" s="681"/>
      <c r="B8" s="681"/>
      <c r="C8" s="732" t="s">
        <v>325</v>
      </c>
      <c r="D8" s="732"/>
    </row>
    <row r="9" spans="1:4" ht="16.5" thickTop="1">
      <c r="A9" s="684"/>
      <c r="B9" s="685" t="s">
        <v>577</v>
      </c>
      <c r="C9" s="686" t="s">
        <v>378</v>
      </c>
      <c r="D9" s="713" t="s">
        <v>578</v>
      </c>
    </row>
    <row r="10" spans="1:4">
      <c r="A10" s="684"/>
      <c r="B10" s="687" t="s">
        <v>579</v>
      </c>
      <c r="C10" s="698" t="s">
        <v>380</v>
      </c>
      <c r="D10" s="714" t="s">
        <v>609</v>
      </c>
    </row>
    <row r="11" spans="1:4" ht="113.25" customHeight="1">
      <c r="A11" s="681"/>
      <c r="B11" s="688" t="s">
        <v>11</v>
      </c>
      <c r="C11" s="699" t="s">
        <v>387</v>
      </c>
      <c r="D11" s="715" t="s">
        <v>387</v>
      </c>
    </row>
    <row r="12" spans="1:4" ht="25.5">
      <c r="A12" s="681"/>
      <c r="B12" s="733" t="s">
        <v>580</v>
      </c>
      <c r="C12" s="699" t="s">
        <v>581</v>
      </c>
      <c r="D12" s="715" t="s">
        <v>581</v>
      </c>
    </row>
    <row r="13" spans="1:4" ht="28.5" customHeight="1">
      <c r="A13" s="681"/>
      <c r="B13" s="734"/>
      <c r="C13" s="699" t="s">
        <v>243</v>
      </c>
      <c r="D13" s="715" t="s">
        <v>243</v>
      </c>
    </row>
    <row r="14" spans="1:4">
      <c r="A14" s="681"/>
      <c r="B14" s="735"/>
      <c r="C14" s="699" t="s">
        <v>133</v>
      </c>
      <c r="D14" s="715" t="s">
        <v>133</v>
      </c>
    </row>
    <row r="15" spans="1:4" ht="25.5">
      <c r="A15" s="681"/>
      <c r="B15" s="687" t="s">
        <v>582</v>
      </c>
      <c r="C15" s="700" t="s">
        <v>583</v>
      </c>
      <c r="D15" s="716" t="s">
        <v>583</v>
      </c>
    </row>
    <row r="16" spans="1:4" ht="16.5" thickBot="1">
      <c r="A16" s="681"/>
      <c r="B16" s="689" t="s">
        <v>584</v>
      </c>
      <c r="C16" s="701" t="s">
        <v>585</v>
      </c>
      <c r="D16" s="717" t="s">
        <v>586</v>
      </c>
    </row>
    <row r="17" spans="2:4" ht="16.5" thickTop="1">
      <c r="C17" s="738" t="s">
        <v>597</v>
      </c>
      <c r="D17" s="739"/>
    </row>
    <row r="18" spans="2:4" ht="16.5" thickBot="1">
      <c r="B18" s="690" t="s">
        <v>587</v>
      </c>
    </row>
    <row r="19" spans="2:4" ht="16.5" thickTop="1">
      <c r="B19" s="736" t="s">
        <v>379</v>
      </c>
      <c r="C19" s="737"/>
    </row>
    <row r="20" spans="2:4" ht="24.75" customHeight="1">
      <c r="B20" s="722" t="s">
        <v>588</v>
      </c>
      <c r="C20" s="723"/>
    </row>
    <row r="21" spans="2:4">
      <c r="B21" s="724" t="s">
        <v>21</v>
      </c>
      <c r="C21" s="725"/>
    </row>
    <row r="22" spans="2:4" ht="28.5" customHeight="1">
      <c r="B22" s="722" t="s">
        <v>401</v>
      </c>
      <c r="C22" s="723"/>
    </row>
    <row r="23" spans="2:4">
      <c r="B23" s="724" t="s">
        <v>402</v>
      </c>
      <c r="C23" s="725"/>
    </row>
    <row r="24" spans="2:4" ht="28.5" customHeight="1">
      <c r="B24" s="722" t="s">
        <v>403</v>
      </c>
      <c r="C24" s="723"/>
    </row>
    <row r="25" spans="2:4">
      <c r="B25" s="724" t="s">
        <v>420</v>
      </c>
      <c r="C25" s="725"/>
    </row>
    <row r="26" spans="2:4" ht="28.5" customHeight="1">
      <c r="B26" s="722" t="s">
        <v>421</v>
      </c>
      <c r="C26" s="723"/>
    </row>
    <row r="27" spans="2:4" ht="15.75" customHeight="1">
      <c r="B27" s="726" t="s">
        <v>589</v>
      </c>
      <c r="C27" s="727"/>
    </row>
    <row r="28" spans="2:4" ht="15.75" customHeight="1">
      <c r="B28" s="728" t="s">
        <v>598</v>
      </c>
      <c r="C28" s="727"/>
    </row>
    <row r="29" spans="2:4">
      <c r="B29" s="724" t="s">
        <v>381</v>
      </c>
      <c r="C29" s="725"/>
    </row>
    <row r="30" spans="2:4">
      <c r="B30" s="722" t="s">
        <v>404</v>
      </c>
      <c r="C30" s="723"/>
    </row>
    <row r="31" spans="2:4">
      <c r="B31" s="724" t="s">
        <v>382</v>
      </c>
      <c r="C31" s="725"/>
    </row>
    <row r="32" spans="2:4">
      <c r="B32" s="722" t="s">
        <v>405</v>
      </c>
      <c r="C32" s="723"/>
    </row>
    <row r="33" spans="2:3">
      <c r="B33" s="724" t="s">
        <v>383</v>
      </c>
      <c r="C33" s="725"/>
    </row>
    <row r="34" spans="2:3" ht="13.5" customHeight="1">
      <c r="B34" s="722" t="s">
        <v>406</v>
      </c>
      <c r="C34" s="723"/>
    </row>
    <row r="35" spans="2:3">
      <c r="B35" s="724" t="s">
        <v>225</v>
      </c>
      <c r="C35" s="725"/>
    </row>
    <row r="36" spans="2:3">
      <c r="B36" s="729" t="s">
        <v>407</v>
      </c>
      <c r="C36" s="730"/>
    </row>
    <row r="37" spans="2:3">
      <c r="B37" s="724" t="s">
        <v>384</v>
      </c>
      <c r="C37" s="725"/>
    </row>
    <row r="38" spans="2:3" ht="26.25" customHeight="1">
      <c r="B38" s="722" t="s">
        <v>408</v>
      </c>
      <c r="C38" s="723"/>
    </row>
    <row r="39" spans="2:3">
      <c r="B39" s="724" t="s">
        <v>385</v>
      </c>
      <c r="C39" s="725"/>
    </row>
    <row r="40" spans="2:3">
      <c r="B40" s="722" t="s">
        <v>409</v>
      </c>
      <c r="C40" s="723"/>
    </row>
    <row r="41" spans="2:3">
      <c r="B41" s="724" t="s">
        <v>386</v>
      </c>
      <c r="C41" s="725"/>
    </row>
    <row r="42" spans="2:3">
      <c r="B42" s="722" t="s">
        <v>412</v>
      </c>
      <c r="C42" s="723"/>
    </row>
    <row r="43" spans="2:3">
      <c r="B43" s="726" t="s">
        <v>410</v>
      </c>
      <c r="C43" s="727"/>
    </row>
    <row r="44" spans="2:3" ht="15" customHeight="1">
      <c r="B44" s="722" t="s">
        <v>411</v>
      </c>
      <c r="C44" s="723"/>
    </row>
    <row r="45" spans="2:3">
      <c r="B45" s="718" t="s">
        <v>504</v>
      </c>
      <c r="C45" s="719"/>
    </row>
    <row r="46" spans="2:3">
      <c r="B46" s="718" t="s">
        <v>590</v>
      </c>
      <c r="C46" s="719"/>
    </row>
    <row r="47" spans="2:3" ht="17.25" customHeight="1" thickBot="1">
      <c r="B47" s="720" t="s">
        <v>591</v>
      </c>
      <c r="C47" s="721"/>
    </row>
    <row r="48" spans="2:3" ht="16.5" thickTop="1"/>
  </sheetData>
  <mergeCells count="33">
    <mergeCell ref="B26:C26"/>
    <mergeCell ref="C3:D7"/>
    <mergeCell ref="C8:D8"/>
    <mergeCell ref="B12:B14"/>
    <mergeCell ref="B19:C19"/>
    <mergeCell ref="B20:C20"/>
    <mergeCell ref="B21:C21"/>
    <mergeCell ref="B22:C22"/>
    <mergeCell ref="B23:C23"/>
    <mergeCell ref="B24:C24"/>
    <mergeCell ref="B25:C25"/>
    <mergeCell ref="C17:D17"/>
    <mergeCell ref="B38:C38"/>
    <mergeCell ref="B39:C39"/>
    <mergeCell ref="B29:C29"/>
    <mergeCell ref="B30:C30"/>
    <mergeCell ref="B31:C31"/>
    <mergeCell ref="B32:C32"/>
    <mergeCell ref="B33:C33"/>
    <mergeCell ref="B34:C34"/>
    <mergeCell ref="B27:C27"/>
    <mergeCell ref="B28:C28"/>
    <mergeCell ref="B35:C35"/>
    <mergeCell ref="B36:C36"/>
    <mergeCell ref="B37:C37"/>
    <mergeCell ref="B45:C45"/>
    <mergeCell ref="B46:C46"/>
    <mergeCell ref="B47:C47"/>
    <mergeCell ref="B40:C40"/>
    <mergeCell ref="B41:C41"/>
    <mergeCell ref="B42:C42"/>
    <mergeCell ref="B43:C43"/>
    <mergeCell ref="B44:C44"/>
  </mergeCells>
  <hyperlinks>
    <hyperlink ref="B19" location="'Activity Description'!A1" display="Activity Description"/>
    <hyperlink ref="B21:C21" location="Assumptions!A1" display="Assumptions"/>
    <hyperlink ref="B23:C23" location="'Project ERR'!A1" display="Project ERR"/>
    <hyperlink ref="B25:C25" location="'MCC ERRs'!A1" display="MCC ERRs"/>
    <hyperlink ref="B29:C29" location="'Power Gen'!A1" display="Power Gen"/>
    <hyperlink ref="B31:C31" location="'MCC Costs'!A1" display="MCC Costs"/>
    <hyperlink ref="B33:C33" location="CRETN!A1" display="CRETN"/>
    <hyperlink ref="B35:C35" location="Newcom!A1" display="Newcom"/>
    <hyperlink ref="B37:C37" location="Pollution!A1" display="Pollution"/>
    <hyperlink ref="B39:C39" location="Health!A1" display="Health"/>
    <hyperlink ref="B41:C41" location="'Power Quality'!A1" display="Power Quality"/>
    <hyperlink ref="B43" location="Charts!A1" display="Charts"/>
    <hyperlink ref="B27:C27" location="'Newcomm ERR'!A1" display="Newcomm ERR"/>
    <hyperlink ref="B45" location="'Coal O&amp;M'!A1" display="Coal O&amp;M"/>
    <hyperlink ref="B46" location="Subsidy!A1" display="Subsidy"/>
    <hyperlink ref="B47" location="Population!A1" display="Populatio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39997558519241921"/>
    <pageSetUpPr fitToPage="1"/>
  </sheetPr>
  <dimension ref="A1:Y99"/>
  <sheetViews>
    <sheetView showGridLines="0" zoomScale="80" zoomScaleNormal="80" workbookViewId="0">
      <pane xSplit="2" ySplit="5" topLeftCell="C6" activePane="bottomRight" state="frozen"/>
      <selection pane="topRight" activeCell="C1" sqref="C1"/>
      <selection pane="bottomLeft" activeCell="A3" sqref="A3"/>
      <selection pane="bottomRight" sqref="A1:XFD2"/>
    </sheetView>
  </sheetViews>
  <sheetFormatPr defaultColWidth="8.88671875" defaultRowHeight="15"/>
  <cols>
    <col min="1" max="1" width="4" style="242" customWidth="1"/>
    <col min="2" max="2" width="26.6640625" style="242" bestFit="1" customWidth="1"/>
    <col min="3" max="3" width="11" style="242" bestFit="1" customWidth="1"/>
    <col min="4" max="15" width="9.6640625" style="242" bestFit="1" customWidth="1"/>
    <col min="16" max="22" width="10.44140625" style="242" bestFit="1" customWidth="1"/>
    <col min="23" max="24" width="9.6640625" style="242" bestFit="1" customWidth="1"/>
    <col min="25" max="25" width="10.21875" style="242" bestFit="1" customWidth="1"/>
    <col min="26" max="251" width="9" style="242" customWidth="1"/>
    <col min="252" max="16384" width="8.88671875" style="242"/>
  </cols>
  <sheetData>
    <row r="1" spans="1:25" s="1" customFormat="1" ht="20.25">
      <c r="A1" s="2" t="s">
        <v>576</v>
      </c>
      <c r="B1" s="2"/>
      <c r="C1" s="3"/>
    </row>
    <row r="2" spans="1:25" s="1" customFormat="1" ht="15.75">
      <c r="A2" s="702" t="s">
        <v>595</v>
      </c>
      <c r="B2" s="9"/>
    </row>
    <row r="3" spans="1:25" s="1" customFormat="1" ht="15.75">
      <c r="A3" s="702"/>
      <c r="B3" s="9"/>
    </row>
    <row r="4" spans="1:25" ht="21">
      <c r="A4" s="297" t="s">
        <v>296</v>
      </c>
      <c r="B4" s="240"/>
      <c r="D4" s="242">
        <v>1</v>
      </c>
      <c r="E4" s="242">
        <v>2</v>
      </c>
      <c r="F4" s="242">
        <v>3</v>
      </c>
      <c r="G4" s="242">
        <v>4</v>
      </c>
      <c r="H4" s="242">
        <v>5</v>
      </c>
      <c r="I4" s="242">
        <v>6</v>
      </c>
      <c r="J4" s="242">
        <v>7</v>
      </c>
      <c r="K4" s="242">
        <v>8</v>
      </c>
      <c r="L4" s="242">
        <v>9</v>
      </c>
      <c r="M4" s="242">
        <v>10</v>
      </c>
      <c r="N4" s="242">
        <v>11</v>
      </c>
      <c r="O4" s="242">
        <v>12</v>
      </c>
      <c r="P4" s="242">
        <v>13</v>
      </c>
      <c r="Q4" s="242">
        <v>14</v>
      </c>
      <c r="R4" s="242">
        <v>15</v>
      </c>
      <c r="S4" s="242">
        <v>16</v>
      </c>
      <c r="T4" s="242">
        <v>17</v>
      </c>
      <c r="U4" s="242">
        <v>18</v>
      </c>
      <c r="V4" s="242">
        <v>19</v>
      </c>
      <c r="W4" s="242">
        <v>20</v>
      </c>
    </row>
    <row r="5" spans="1:25">
      <c r="A5" s="279"/>
      <c r="B5" s="279"/>
      <c r="C5" s="240">
        <v>2012</v>
      </c>
      <c r="D5" s="240">
        <v>2013</v>
      </c>
      <c r="E5" s="240">
        <v>2014</v>
      </c>
      <c r="F5" s="240">
        <v>2015</v>
      </c>
      <c r="G5" s="240">
        <v>2016</v>
      </c>
      <c r="H5" s="240">
        <v>2017</v>
      </c>
      <c r="I5" s="240">
        <v>2018</v>
      </c>
      <c r="J5" s="240">
        <v>2019</v>
      </c>
      <c r="K5" s="240">
        <v>2020</v>
      </c>
      <c r="L5" s="240">
        <v>2021</v>
      </c>
      <c r="M5" s="240">
        <v>2022</v>
      </c>
      <c r="N5" s="240">
        <v>2023</v>
      </c>
      <c r="O5" s="240">
        <v>2024</v>
      </c>
      <c r="P5" s="240">
        <v>2025</v>
      </c>
      <c r="Q5" s="240">
        <v>2026</v>
      </c>
      <c r="R5" s="240">
        <v>2027</v>
      </c>
      <c r="S5" s="240">
        <v>2028</v>
      </c>
      <c r="T5" s="240">
        <v>2029</v>
      </c>
      <c r="U5" s="240">
        <v>2030</v>
      </c>
      <c r="V5" s="240">
        <v>2031</v>
      </c>
      <c r="W5" s="240">
        <v>2032</v>
      </c>
      <c r="X5" s="240">
        <v>2033</v>
      </c>
    </row>
    <row r="6" spans="1:25" s="264" customFormat="1">
      <c r="A6" s="261" t="s">
        <v>292</v>
      </c>
      <c r="B6" s="262"/>
      <c r="C6" s="263"/>
      <c r="D6" s="263"/>
      <c r="E6" s="263"/>
      <c r="F6" s="263"/>
      <c r="G6" s="263"/>
      <c r="H6" s="263"/>
      <c r="I6" s="263"/>
      <c r="J6" s="263"/>
      <c r="K6" s="263"/>
      <c r="L6" s="263"/>
      <c r="M6" s="263"/>
      <c r="N6" s="263"/>
      <c r="O6" s="263"/>
      <c r="P6" s="263"/>
      <c r="Q6" s="263"/>
      <c r="R6" s="263"/>
      <c r="S6" s="263"/>
      <c r="T6" s="263"/>
      <c r="U6" s="263"/>
      <c r="V6" s="263"/>
      <c r="W6" s="263"/>
      <c r="X6" s="263"/>
    </row>
    <row r="7" spans="1:25">
      <c r="B7" s="244" t="s">
        <v>131</v>
      </c>
      <c r="C7" s="246">
        <v>0</v>
      </c>
      <c r="D7" s="424">
        <f>Assumptions!$C$26*'Power Gen'!$B$8/4</f>
        <v>29017500</v>
      </c>
      <c r="E7" s="246">
        <f>Assumptions!$C$26*'Power Gen'!$B$8</f>
        <v>116070000</v>
      </c>
      <c r="F7" s="246">
        <f>Assumptions!$C$26*'Power Gen'!$B$8</f>
        <v>116070000</v>
      </c>
      <c r="G7" s="246">
        <f>Assumptions!$C$26*'Power Gen'!$B$8</f>
        <v>116070000</v>
      </c>
      <c r="H7" s="246">
        <f>Assumptions!$C$26*'Power Gen'!$B$8</f>
        <v>116070000</v>
      </c>
      <c r="I7" s="246">
        <f>Assumptions!$C$26*'Power Gen'!$B$8</f>
        <v>116070000</v>
      </c>
      <c r="J7" s="246">
        <f>Assumptions!$C$26*'Power Gen'!$B$8</f>
        <v>116070000</v>
      </c>
      <c r="K7" s="246">
        <f>Assumptions!$C$26*'Power Gen'!$B$8</f>
        <v>116070000</v>
      </c>
      <c r="L7" s="246">
        <f>Assumptions!$C$26*'Power Gen'!$B$8</f>
        <v>116070000</v>
      </c>
      <c r="M7" s="246">
        <f>Assumptions!$C$26*'Power Gen'!$B$8</f>
        <v>116070000</v>
      </c>
      <c r="N7" s="246">
        <f>Assumptions!$C$26*'Power Gen'!$B$8</f>
        <v>116070000</v>
      </c>
      <c r="O7" s="246">
        <f>Assumptions!$C$26*'Power Gen'!$B$8</f>
        <v>116070000</v>
      </c>
      <c r="P7" s="246">
        <f>Assumptions!$C$26*'Power Gen'!$B$8</f>
        <v>116070000</v>
      </c>
      <c r="Q7" s="246">
        <f>Assumptions!$C$26*'Power Gen'!$B$8</f>
        <v>116070000</v>
      </c>
      <c r="R7" s="246">
        <f>Assumptions!$C$26*'Power Gen'!$B$8</f>
        <v>116070000</v>
      </c>
      <c r="S7" s="246">
        <f>Assumptions!$C$26*'Power Gen'!$B$8</f>
        <v>116070000</v>
      </c>
      <c r="T7" s="246">
        <f>Assumptions!$C$26*'Power Gen'!$B$8</f>
        <v>116070000</v>
      </c>
      <c r="U7" s="246">
        <f>Assumptions!$C$26*'Power Gen'!$B$8</f>
        <v>116070000</v>
      </c>
      <c r="V7" s="246">
        <f>Assumptions!$C$26*'Power Gen'!$B$8</f>
        <v>116070000</v>
      </c>
      <c r="W7" s="246">
        <f>Assumptions!$C$26*'Power Gen'!$B$8</f>
        <v>116070000</v>
      </c>
      <c r="X7" s="246">
        <f>Assumptions!$C$26*'Power Gen'!$B$8*3/4</f>
        <v>87052500</v>
      </c>
    </row>
    <row r="8" spans="1:25">
      <c r="A8" s="279"/>
      <c r="B8" s="279"/>
      <c r="C8" s="240"/>
      <c r="D8" s="240"/>
      <c r="E8" s="240"/>
      <c r="F8" s="240"/>
      <c r="G8" s="240"/>
      <c r="H8" s="240"/>
      <c r="I8" s="240"/>
      <c r="J8" s="240"/>
      <c r="K8" s="240"/>
      <c r="L8" s="240"/>
      <c r="M8" s="240"/>
      <c r="N8" s="240"/>
      <c r="O8" s="240"/>
      <c r="P8" s="240"/>
      <c r="Q8" s="240"/>
      <c r="R8" s="240"/>
      <c r="S8" s="240"/>
      <c r="T8" s="240"/>
      <c r="U8" s="240"/>
      <c r="V8" s="240"/>
      <c r="W8" s="240"/>
      <c r="X8" s="240"/>
    </row>
    <row r="9" spans="1:25" s="257" customFormat="1">
      <c r="A9" s="258" t="s">
        <v>0</v>
      </c>
    </row>
    <row r="10" spans="1:25">
      <c r="B10" s="244" t="s">
        <v>304</v>
      </c>
      <c r="C10" s="246">
        <f>CRETN!$C$30*C7</f>
        <v>0</v>
      </c>
      <c r="D10" s="246">
        <f>CRETN!$C$30*D7</f>
        <v>2756662.5</v>
      </c>
      <c r="E10" s="246">
        <f>CRETN!$C$30*E7</f>
        <v>11026650</v>
      </c>
      <c r="F10" s="246">
        <f>CRETN!$C$30*F7</f>
        <v>11026650</v>
      </c>
      <c r="G10" s="246">
        <f>CRETN!$C$30*G7</f>
        <v>11026650</v>
      </c>
      <c r="H10" s="246">
        <f>CRETN!$C$30*H7</f>
        <v>11026650</v>
      </c>
      <c r="I10" s="246">
        <f>CRETN!$C$30*I7</f>
        <v>11026650</v>
      </c>
      <c r="J10" s="246">
        <f>CRETN!$C$30*J7</f>
        <v>11026650</v>
      </c>
      <c r="K10" s="246">
        <f>CRETN!$C$30*K7</f>
        <v>11026650</v>
      </c>
      <c r="L10" s="246">
        <f>CRETN!$C$30*L7</f>
        <v>11026650</v>
      </c>
      <c r="M10" s="246">
        <f>CRETN!$C$30*M7</f>
        <v>11026650</v>
      </c>
      <c r="N10" s="246">
        <f>CRETN!$C$30*N7</f>
        <v>11026650</v>
      </c>
      <c r="O10" s="246">
        <f>CRETN!$C$30*O7</f>
        <v>11026650</v>
      </c>
      <c r="P10" s="246">
        <f>CRETN!$C$30*P7</f>
        <v>11026650</v>
      </c>
      <c r="Q10" s="246">
        <f>CRETN!$C$30*Q7</f>
        <v>11026650</v>
      </c>
      <c r="R10" s="246">
        <f>CRETN!$C$30*R7</f>
        <v>11026650</v>
      </c>
      <c r="S10" s="246">
        <f>CRETN!$C$30*S7</f>
        <v>11026650</v>
      </c>
      <c r="T10" s="246">
        <f>CRETN!$C$30*T7</f>
        <v>11026650</v>
      </c>
      <c r="U10" s="246">
        <f>CRETN!$C$30*U7</f>
        <v>11026650</v>
      </c>
      <c r="V10" s="246">
        <f>CRETN!$C$30*V7</f>
        <v>11026650</v>
      </c>
      <c r="W10" s="246">
        <f>CRETN!$C$30*W7</f>
        <v>11026650</v>
      </c>
      <c r="X10" s="246">
        <f>CRETN!$C$30*X7</f>
        <v>8269987.5</v>
      </c>
    </row>
    <row r="11" spans="1:25">
      <c r="A11" s="243"/>
      <c r="B11" s="242" t="s">
        <v>369</v>
      </c>
      <c r="C11" s="324">
        <f>Newcom!$C$57*CRETN!C7</f>
        <v>0</v>
      </c>
      <c r="D11" s="324">
        <f>Newcom!$C$57*CRETN!D7</f>
        <v>594867.04137391225</v>
      </c>
      <c r="E11" s="324">
        <f>Newcom!$C$57*CRETN!E7</f>
        <v>2379468.165495649</v>
      </c>
      <c r="F11" s="324">
        <f>Newcom!$C$57*CRETN!F7</f>
        <v>2379468.165495649</v>
      </c>
      <c r="G11" s="324">
        <f>Newcom!$C$57*CRETN!G7</f>
        <v>2379468.165495649</v>
      </c>
      <c r="H11" s="324">
        <f>Newcom!$C$57*CRETN!H7</f>
        <v>2379468.165495649</v>
      </c>
      <c r="I11" s="324">
        <f>Newcom!$C$57*CRETN!I7</f>
        <v>2379468.165495649</v>
      </c>
      <c r="J11" s="324">
        <f>Newcom!$C$57*CRETN!J7</f>
        <v>2379468.165495649</v>
      </c>
      <c r="K11" s="324">
        <f>Newcom!$C$57*CRETN!K7</f>
        <v>2379468.165495649</v>
      </c>
      <c r="L11" s="324">
        <f>Newcom!$C$57*CRETN!L7</f>
        <v>2379468.165495649</v>
      </c>
      <c r="M11" s="324">
        <f>Newcom!$C$57*CRETN!M7</f>
        <v>2379468.165495649</v>
      </c>
      <c r="N11" s="324">
        <f>Newcom!$C$57*CRETN!N7</f>
        <v>2379468.165495649</v>
      </c>
      <c r="O11" s="324">
        <f>Newcom!$C$57*CRETN!O7</f>
        <v>2379468.165495649</v>
      </c>
      <c r="P11" s="324">
        <f>Newcom!$C$57*CRETN!P7</f>
        <v>2379468.165495649</v>
      </c>
      <c r="Q11" s="324">
        <f>Newcom!$C$57*CRETN!Q7</f>
        <v>2379468.165495649</v>
      </c>
      <c r="R11" s="324">
        <f>Newcom!$C$57*CRETN!R7</f>
        <v>2379468.165495649</v>
      </c>
      <c r="S11" s="324">
        <f>Newcom!$C$57*CRETN!S7</f>
        <v>2379468.165495649</v>
      </c>
      <c r="T11" s="324">
        <f>Newcom!$C$57*CRETN!T7</f>
        <v>2379468.165495649</v>
      </c>
      <c r="U11" s="324">
        <f>Newcom!$C$57*CRETN!U7</f>
        <v>2379468.165495649</v>
      </c>
      <c r="V11" s="324">
        <f>Newcom!$C$57*CRETN!V7</f>
        <v>2379468.165495649</v>
      </c>
      <c r="W11" s="324">
        <f>Newcom!$C$57*CRETN!W7</f>
        <v>2379468.165495649</v>
      </c>
      <c r="X11" s="324">
        <f>Newcom!$C$57*CRETN!X7</f>
        <v>1784601.1241217367</v>
      </c>
    </row>
    <row r="12" spans="1:25">
      <c r="B12" s="244" t="s">
        <v>7</v>
      </c>
      <c r="C12" s="246"/>
      <c r="D12" s="396">
        <f>209222.994941752/4</f>
        <v>52305.748735437999</v>
      </c>
      <c r="E12" s="396">
        <v>209222.99494175179</v>
      </c>
      <c r="F12" s="396">
        <v>209222.99494175179</v>
      </c>
      <c r="G12" s="396">
        <v>209222.99494175179</v>
      </c>
      <c r="H12" s="396">
        <v>209222.99494175179</v>
      </c>
      <c r="I12" s="396">
        <v>209222.99494175179</v>
      </c>
      <c r="J12" s="396">
        <v>209222.99494175179</v>
      </c>
      <c r="K12" s="396">
        <v>209222.99494175179</v>
      </c>
      <c r="L12" s="396">
        <v>209222.99494175179</v>
      </c>
      <c r="M12" s="396">
        <v>209222.99494175179</v>
      </c>
      <c r="N12" s="396">
        <v>209222.99494175179</v>
      </c>
      <c r="O12" s="396"/>
      <c r="P12" s="396"/>
      <c r="Q12" s="396"/>
      <c r="R12" s="396"/>
      <c r="S12" s="396"/>
      <c r="T12" s="396"/>
      <c r="U12" s="396"/>
      <c r="V12" s="396"/>
      <c r="W12" s="396"/>
      <c r="X12" s="381">
        <f>W12*3/4</f>
        <v>0</v>
      </c>
    </row>
    <row r="13" spans="1:25">
      <c r="B13" s="244" t="s">
        <v>8</v>
      </c>
      <c r="C13" s="246"/>
      <c r="D13" s="396">
        <f>79310.2908655685/4</f>
        <v>19827.572716392126</v>
      </c>
      <c r="E13" s="396">
        <v>208677.15882381605</v>
      </c>
      <c r="F13" s="396">
        <v>295350.32372779079</v>
      </c>
      <c r="G13" s="396">
        <v>356942.93820257968</v>
      </c>
      <c r="H13" s="396">
        <v>401690.21258548234</v>
      </c>
      <c r="I13" s="396">
        <v>429593.37350200216</v>
      </c>
      <c r="J13" s="396">
        <v>445912.52044764248</v>
      </c>
      <c r="K13" s="396">
        <v>455900.23270840128</v>
      </c>
      <c r="L13" s="396">
        <v>452530.90733777283</v>
      </c>
      <c r="M13" s="396">
        <v>434663.35930462112</v>
      </c>
      <c r="N13" s="396">
        <v>401138.51617624401</v>
      </c>
      <c r="O13" s="396">
        <v>415147.1064339297</v>
      </c>
      <c r="P13" s="396">
        <v>545274.15871977364</v>
      </c>
      <c r="Q13" s="396">
        <v>729087.76261496404</v>
      </c>
      <c r="R13" s="396">
        <v>906021.2980918223</v>
      </c>
      <c r="S13" s="396">
        <v>1066842.3732101691</v>
      </c>
      <c r="T13" s="396">
        <v>1139137.8779484318</v>
      </c>
      <c r="U13" s="396">
        <v>1138044.7744071351</v>
      </c>
      <c r="V13" s="396">
        <v>1136035.8847298173</v>
      </c>
      <c r="W13" s="396">
        <v>1133931.6420592063</v>
      </c>
      <c r="X13" s="381">
        <f>W13*3/4</f>
        <v>850448.73154440476</v>
      </c>
    </row>
    <row r="14" spans="1:25">
      <c r="B14" s="244" t="s">
        <v>45</v>
      </c>
      <c r="C14" s="246"/>
      <c r="D14" s="246"/>
      <c r="E14" s="246"/>
      <c r="F14" s="246"/>
      <c r="G14" s="246"/>
      <c r="H14" s="246"/>
      <c r="I14" s="246"/>
      <c r="J14" s="246"/>
      <c r="K14" s="246"/>
      <c r="L14" s="246"/>
      <c r="M14" s="246"/>
      <c r="N14" s="246"/>
      <c r="O14" s="246"/>
      <c r="P14" s="246"/>
      <c r="Q14" s="246"/>
      <c r="R14" s="246"/>
      <c r="S14" s="246"/>
      <c r="T14" s="246"/>
      <c r="U14" s="246"/>
      <c r="V14" s="246"/>
      <c r="W14" s="246"/>
    </row>
    <row r="15" spans="1:25" s="240" customFormat="1">
      <c r="B15" s="279" t="s">
        <v>46</v>
      </c>
      <c r="C15" s="255">
        <f>SUM(C10:C14)</f>
        <v>0</v>
      </c>
      <c r="D15" s="255">
        <f t="shared" ref="D15:X15" si="0">SUM(D10:D14)</f>
        <v>3423662.8628257425</v>
      </c>
      <c r="E15" s="255">
        <f t="shared" si="0"/>
        <v>13824018.319261217</v>
      </c>
      <c r="F15" s="255">
        <f t="shared" si="0"/>
        <v>13910691.484165192</v>
      </c>
      <c r="G15" s="255">
        <f t="shared" si="0"/>
        <v>13972284.098639982</v>
      </c>
      <c r="H15" s="255">
        <f t="shared" si="0"/>
        <v>14017031.373022884</v>
      </c>
      <c r="I15" s="255">
        <f t="shared" si="0"/>
        <v>14044934.533939404</v>
      </c>
      <c r="J15" s="255">
        <f t="shared" si="0"/>
        <v>14061253.680885043</v>
      </c>
      <c r="K15" s="255">
        <f t="shared" si="0"/>
        <v>14071241.393145803</v>
      </c>
      <c r="L15" s="255">
        <f t="shared" si="0"/>
        <v>14067872.067775175</v>
      </c>
      <c r="M15" s="255">
        <f t="shared" si="0"/>
        <v>14050004.519742023</v>
      </c>
      <c r="N15" s="255">
        <f t="shared" si="0"/>
        <v>14016479.676613646</v>
      </c>
      <c r="O15" s="255">
        <f t="shared" si="0"/>
        <v>13821265.271929579</v>
      </c>
      <c r="P15" s="255">
        <f t="shared" si="0"/>
        <v>13951392.324215423</v>
      </c>
      <c r="Q15" s="255">
        <f t="shared" si="0"/>
        <v>14135205.928110613</v>
      </c>
      <c r="R15" s="255">
        <f t="shared" si="0"/>
        <v>14312139.46358747</v>
      </c>
      <c r="S15" s="255">
        <f t="shared" si="0"/>
        <v>14472960.538705818</v>
      </c>
      <c r="T15" s="255">
        <f t="shared" si="0"/>
        <v>14545256.04344408</v>
      </c>
      <c r="U15" s="255">
        <f t="shared" si="0"/>
        <v>14544162.939902784</v>
      </c>
      <c r="V15" s="255">
        <f t="shared" si="0"/>
        <v>14542154.050225466</v>
      </c>
      <c r="W15" s="255">
        <f t="shared" si="0"/>
        <v>14540049.807554856</v>
      </c>
      <c r="X15" s="255">
        <f t="shared" si="0"/>
        <v>10905037.355666142</v>
      </c>
      <c r="Y15" s="256">
        <f>SUM(C15:X15)</f>
        <v>283229097.73335832</v>
      </c>
    </row>
    <row r="16" spans="1:25">
      <c r="B16" s="244"/>
      <c r="C16" s="246"/>
      <c r="D16" s="246"/>
      <c r="E16" s="246"/>
      <c r="F16" s="246"/>
      <c r="G16" s="246"/>
      <c r="H16" s="246"/>
      <c r="I16" s="246"/>
      <c r="J16" s="246"/>
      <c r="K16" s="246"/>
      <c r="L16" s="246"/>
      <c r="M16" s="246"/>
      <c r="N16" s="246"/>
      <c r="O16" s="246"/>
      <c r="P16" s="246"/>
      <c r="Q16" s="246"/>
      <c r="R16" s="246"/>
      <c r="S16" s="246"/>
      <c r="T16" s="246"/>
      <c r="U16" s="246"/>
      <c r="V16" s="246"/>
      <c r="W16" s="246"/>
      <c r="X16" s="246"/>
      <c r="Y16" s="247"/>
    </row>
    <row r="17" spans="1:25" s="70" customFormat="1">
      <c r="A17" s="69" t="s">
        <v>78</v>
      </c>
    </row>
    <row r="18" spans="1:25">
      <c r="A18" s="298" t="s">
        <v>307</v>
      </c>
      <c r="B18" s="278"/>
      <c r="C18" s="246"/>
      <c r="D18" s="246"/>
      <c r="E18" s="246"/>
      <c r="F18" s="246"/>
      <c r="G18" s="246"/>
      <c r="H18" s="246"/>
      <c r="I18" s="246"/>
      <c r="J18" s="246"/>
      <c r="K18" s="246"/>
      <c r="L18" s="246"/>
      <c r="M18" s="246"/>
      <c r="N18" s="246"/>
      <c r="O18" s="246"/>
      <c r="P18" s="246"/>
      <c r="Q18" s="246"/>
      <c r="R18" s="246"/>
      <c r="S18" s="246"/>
      <c r="T18" s="246"/>
      <c r="U18" s="246"/>
      <c r="V18" s="246"/>
      <c r="W18" s="246"/>
    </row>
    <row r="19" spans="1:25">
      <c r="B19" s="244" t="s">
        <v>31</v>
      </c>
      <c r="C19" s="246"/>
      <c r="D19" s="396">
        <f>18000/4</f>
        <v>4500</v>
      </c>
      <c r="E19" s="396">
        <v>19080</v>
      </c>
      <c r="F19" s="396">
        <v>20224.800000000003</v>
      </c>
      <c r="G19" s="396">
        <v>21438.288000000004</v>
      </c>
      <c r="H19" s="396">
        <v>22724.585280000007</v>
      </c>
      <c r="I19" s="396">
        <v>24088.06039680001</v>
      </c>
      <c r="J19" s="396">
        <v>25533.344020608012</v>
      </c>
      <c r="K19" s="396">
        <v>27065.344661844494</v>
      </c>
      <c r="L19" s="396">
        <v>28689.265341555161</v>
      </c>
      <c r="M19" s="396">
        <v>30410.621262048473</v>
      </c>
      <c r="N19" s="396">
        <v>32235.258537771384</v>
      </c>
      <c r="O19" s="396">
        <v>34169.374050037673</v>
      </c>
      <c r="P19" s="396">
        <v>36219.53649303993</v>
      </c>
      <c r="Q19" s="396">
        <v>38392.708682622331</v>
      </c>
      <c r="R19" s="396">
        <v>40696.271203579672</v>
      </c>
      <c r="S19" s="396">
        <v>43138.047475794461</v>
      </c>
      <c r="T19" s="396">
        <v>45726.330324342118</v>
      </c>
      <c r="U19" s="396">
        <v>48469.910143802656</v>
      </c>
      <c r="V19" s="396">
        <v>51378.104752430809</v>
      </c>
      <c r="W19" s="396">
        <v>54460.791037576666</v>
      </c>
      <c r="X19" s="381">
        <f>W19*3/4</f>
        <v>40845.593278182496</v>
      </c>
    </row>
    <row r="20" spans="1:25">
      <c r="B20" s="244" t="s">
        <v>32</v>
      </c>
      <c r="C20" s="246"/>
      <c r="D20" s="396">
        <f>190800/4</f>
        <v>47700</v>
      </c>
      <c r="E20" s="396">
        <v>202248</v>
      </c>
      <c r="F20" s="396">
        <v>214382.88000000003</v>
      </c>
      <c r="G20" s="396">
        <v>227245.85280000005</v>
      </c>
      <c r="H20" s="396">
        <v>240880.60396800007</v>
      </c>
      <c r="I20" s="396">
        <v>255333.44020608009</v>
      </c>
      <c r="J20" s="396">
        <v>270653.44661844493</v>
      </c>
      <c r="K20" s="396">
        <v>286892.65341555164</v>
      </c>
      <c r="L20" s="396">
        <v>304106.2126204847</v>
      </c>
      <c r="M20" s="396">
        <v>322352.58537771378</v>
      </c>
      <c r="N20" s="396">
        <v>341693.74050037668</v>
      </c>
      <c r="O20" s="396">
        <v>362195.36493039929</v>
      </c>
      <c r="P20" s="396">
        <v>383927.0868262233</v>
      </c>
      <c r="Q20" s="396">
        <v>406962.71203579672</v>
      </c>
      <c r="R20" s="396">
        <v>431380.47475794452</v>
      </c>
      <c r="S20" s="396">
        <v>457263.30324342131</v>
      </c>
      <c r="T20" s="396">
        <v>484699.10143802647</v>
      </c>
      <c r="U20" s="396">
        <v>513781.04752430809</v>
      </c>
      <c r="V20" s="396">
        <v>544607.91037576657</v>
      </c>
      <c r="W20" s="396">
        <v>577284.38499831269</v>
      </c>
      <c r="X20" s="381">
        <f>W20*3/4</f>
        <v>432963.28874873451</v>
      </c>
    </row>
    <row r="21" spans="1:25">
      <c r="B21" s="244" t="s">
        <v>33</v>
      </c>
      <c r="C21" s="246"/>
      <c r="D21" s="396">
        <f>25000/4</f>
        <v>6250</v>
      </c>
      <c r="E21" s="396">
        <v>26500</v>
      </c>
      <c r="F21" s="396">
        <v>28090.000000000004</v>
      </c>
      <c r="G21" s="396">
        <v>29775.400000000009</v>
      </c>
      <c r="H21" s="396">
        <v>31561.924000000006</v>
      </c>
      <c r="I21" s="396">
        <v>33455.639440000014</v>
      </c>
      <c r="J21" s="396">
        <v>35462.977806400013</v>
      </c>
      <c r="K21" s="396">
        <v>37590.756474784022</v>
      </c>
      <c r="L21" s="396">
        <v>39846.201863271061</v>
      </c>
      <c r="M21" s="396">
        <v>42236.973975067318</v>
      </c>
      <c r="N21" s="396">
        <v>44771.192413571363</v>
      </c>
      <c r="O21" s="396">
        <v>47457.463958385655</v>
      </c>
      <c r="P21" s="396">
        <v>50304.911795888795</v>
      </c>
      <c r="Q21" s="396">
        <v>53323.206503642126</v>
      </c>
      <c r="R21" s="396">
        <v>56522.598893860653</v>
      </c>
      <c r="S21" s="396">
        <v>59913.954827492307</v>
      </c>
      <c r="T21" s="396">
        <v>63508.792117141835</v>
      </c>
      <c r="U21" s="396">
        <v>67319.319644170348</v>
      </c>
      <c r="V21" s="396">
        <v>71358.478822820573</v>
      </c>
      <c r="W21" s="396">
        <v>75639.987552189807</v>
      </c>
      <c r="X21" s="381">
        <f>W21*3/4</f>
        <v>56729.990664142359</v>
      </c>
    </row>
    <row r="22" spans="1:25">
      <c r="B22" s="244" t="s">
        <v>34</v>
      </c>
      <c r="C22" s="246"/>
      <c r="D22" s="396">
        <f>50000/4</f>
        <v>12500</v>
      </c>
      <c r="E22" s="396">
        <v>53000</v>
      </c>
      <c r="F22" s="396">
        <v>56180.000000000007</v>
      </c>
      <c r="G22" s="396">
        <v>59550.800000000017</v>
      </c>
      <c r="H22" s="396">
        <v>63123.848000000013</v>
      </c>
      <c r="I22" s="396">
        <v>66911.278880000027</v>
      </c>
      <c r="J22" s="396">
        <v>70925.955612800026</v>
      </c>
      <c r="K22" s="396">
        <v>75181.512949568045</v>
      </c>
      <c r="L22" s="396">
        <v>79692.403726542121</v>
      </c>
      <c r="M22" s="396">
        <v>84473.947950134636</v>
      </c>
      <c r="N22" s="396">
        <v>89542.384827142727</v>
      </c>
      <c r="O22" s="396">
        <v>94914.92791677131</v>
      </c>
      <c r="P22" s="396">
        <v>100609.82359177759</v>
      </c>
      <c r="Q22" s="396">
        <v>106646.41300728425</v>
      </c>
      <c r="R22" s="396">
        <v>113045.19778772131</v>
      </c>
      <c r="S22" s="396">
        <v>119827.90965498461</v>
      </c>
      <c r="T22" s="396">
        <v>127017.58423428367</v>
      </c>
      <c r="U22" s="396">
        <v>134638.6392883407</v>
      </c>
      <c r="V22" s="396">
        <v>142716.95764564115</v>
      </c>
      <c r="W22" s="396">
        <v>151279.97510437961</v>
      </c>
      <c r="X22" s="381">
        <f>W22*3/4</f>
        <v>113459.98132828472</v>
      </c>
    </row>
    <row r="23" spans="1:25">
      <c r="B23" s="244" t="s">
        <v>35</v>
      </c>
      <c r="C23" s="246"/>
      <c r="D23" s="396">
        <f>2500/4</f>
        <v>625</v>
      </c>
      <c r="E23" s="396">
        <v>2650</v>
      </c>
      <c r="F23" s="396">
        <v>2809.0000000000005</v>
      </c>
      <c r="G23" s="396">
        <v>2977.5400000000009</v>
      </c>
      <c r="H23" s="396">
        <v>3156.1924000000008</v>
      </c>
      <c r="I23" s="396">
        <v>3345.5639440000014</v>
      </c>
      <c r="J23" s="396">
        <v>3546.2977806400013</v>
      </c>
      <c r="K23" s="396">
        <v>3759.0756474784021</v>
      </c>
      <c r="L23" s="396">
        <v>3984.6201863271058</v>
      </c>
      <c r="M23" s="396">
        <v>4223.6973975067322</v>
      </c>
      <c r="N23" s="396">
        <v>4477.1192413571362</v>
      </c>
      <c r="O23" s="396">
        <v>4745.7463958385651</v>
      </c>
      <c r="P23" s="396">
        <v>5030.4911795888793</v>
      </c>
      <c r="Q23" s="396">
        <v>5332.3206503642132</v>
      </c>
      <c r="R23" s="396">
        <v>5652.259889386065</v>
      </c>
      <c r="S23" s="396">
        <v>5991.3954827492307</v>
      </c>
      <c r="T23" s="396">
        <v>6350.8792117141829</v>
      </c>
      <c r="U23" s="396">
        <v>6731.9319644170346</v>
      </c>
      <c r="V23" s="396">
        <v>7135.8478822820571</v>
      </c>
      <c r="W23" s="396">
        <v>7563.9987552189814</v>
      </c>
      <c r="X23" s="381">
        <f>W23*3/4</f>
        <v>5672.999066414236</v>
      </c>
    </row>
    <row r="24" spans="1:25">
      <c r="B24" s="244" t="s">
        <v>36</v>
      </c>
      <c r="C24" s="246"/>
      <c r="D24" s="396">
        <f>368609.235992308/4</f>
        <v>92152.308998077002</v>
      </c>
      <c r="E24" s="396">
        <v>375981.42071215383</v>
      </c>
      <c r="F24" s="396"/>
      <c r="G24" s="396"/>
      <c r="H24" s="396"/>
      <c r="I24" s="396"/>
      <c r="J24" s="396"/>
      <c r="K24" s="396"/>
      <c r="L24" s="396"/>
      <c r="M24" s="396"/>
      <c r="N24" s="396"/>
      <c r="O24" s="396"/>
      <c r="P24" s="396"/>
      <c r="Q24" s="396"/>
      <c r="R24" s="396"/>
      <c r="S24" s="396"/>
      <c r="T24" s="396"/>
      <c r="U24" s="396"/>
      <c r="V24" s="396"/>
      <c r="W24" s="396"/>
      <c r="X24" s="381"/>
    </row>
    <row r="25" spans="1:25">
      <c r="B25" s="244" t="s">
        <v>37</v>
      </c>
      <c r="C25" s="246"/>
      <c r="D25" s="396"/>
      <c r="E25" s="396"/>
      <c r="F25" s="396">
        <v>681779.64289137232</v>
      </c>
      <c r="G25" s="396">
        <v>695415.23574919975</v>
      </c>
      <c r="H25" s="396">
        <v>709323.54046418378</v>
      </c>
      <c r="I25" s="396">
        <v>723510.01127346745</v>
      </c>
      <c r="J25" s="396">
        <v>737980.21149893687</v>
      </c>
      <c r="K25" s="396">
        <v>752739.81572891539</v>
      </c>
      <c r="L25" s="396">
        <v>767794.61204349378</v>
      </c>
      <c r="M25" s="396">
        <v>783150.50428436371</v>
      </c>
      <c r="N25" s="396">
        <v>798813.51437005098</v>
      </c>
      <c r="O25" s="396">
        <v>814789.78465745179</v>
      </c>
      <c r="P25" s="396">
        <v>831085.580350601</v>
      </c>
      <c r="Q25" s="396">
        <v>847707.29195761296</v>
      </c>
      <c r="R25" s="396">
        <v>864661.43779676536</v>
      </c>
      <c r="S25" s="396">
        <v>881954.66655270045</v>
      </c>
      <c r="T25" s="396">
        <v>899593.75988375454</v>
      </c>
      <c r="U25" s="396">
        <v>917585.63508142973</v>
      </c>
      <c r="V25" s="396">
        <v>935937.34778305818</v>
      </c>
      <c r="W25" s="396">
        <v>954656.09473871929</v>
      </c>
      <c r="X25" s="381">
        <f>W25*3/4</f>
        <v>715992.07105403952</v>
      </c>
    </row>
    <row r="26" spans="1:25">
      <c r="B26" s="244" t="s">
        <v>38</v>
      </c>
      <c r="C26" s="246"/>
      <c r="D26" s="396">
        <f>1365073.84615385/4</f>
        <v>341268.46153846249</v>
      </c>
      <c r="E26" s="396">
        <v>1446978.2769230772</v>
      </c>
      <c r="F26" s="396"/>
      <c r="G26" s="396"/>
      <c r="H26" s="396"/>
      <c r="I26" s="396"/>
      <c r="J26" s="396"/>
      <c r="K26" s="396"/>
      <c r="L26" s="396"/>
      <c r="M26" s="396"/>
      <c r="N26" s="396"/>
      <c r="O26" s="396"/>
      <c r="P26" s="396"/>
      <c r="Q26" s="396"/>
      <c r="R26" s="396"/>
      <c r="S26" s="396"/>
      <c r="T26" s="396"/>
      <c r="U26" s="396"/>
      <c r="V26" s="396"/>
      <c r="W26" s="396"/>
      <c r="X26" s="381"/>
    </row>
    <row r="27" spans="1:25">
      <c r="B27" s="244" t="s">
        <v>39</v>
      </c>
      <c r="C27" s="246"/>
      <c r="D27" s="396"/>
      <c r="E27" s="396"/>
      <c r="F27" s="396">
        <v>624240</v>
      </c>
      <c r="G27" s="396">
        <v>636724.79999999993</v>
      </c>
      <c r="H27" s="396">
        <v>649459.29599999997</v>
      </c>
      <c r="I27" s="396">
        <v>662448.48192000005</v>
      </c>
      <c r="J27" s="396">
        <v>675697.45155840006</v>
      </c>
      <c r="K27" s="396">
        <v>689211.40058956784</v>
      </c>
      <c r="L27" s="396">
        <v>702995.62860135932</v>
      </c>
      <c r="M27" s="396">
        <v>717055.5411733865</v>
      </c>
      <c r="N27" s="396">
        <v>731396.65199685423</v>
      </c>
      <c r="O27" s="396">
        <v>746024.58503679116</v>
      </c>
      <c r="P27" s="396">
        <v>760945.07673752715</v>
      </c>
      <c r="Q27" s="396">
        <v>776163.97827227763</v>
      </c>
      <c r="R27" s="396">
        <v>791687.25783772324</v>
      </c>
      <c r="S27" s="396">
        <v>807521.00299447752</v>
      </c>
      <c r="T27" s="396">
        <v>823671.42305436719</v>
      </c>
      <c r="U27" s="396">
        <v>840144.85151545459</v>
      </c>
      <c r="V27" s="396">
        <v>856947.74854576366</v>
      </c>
      <c r="W27" s="396">
        <v>874086.70351667888</v>
      </c>
      <c r="X27" s="381">
        <f>W27*3/4</f>
        <v>655565.02763750916</v>
      </c>
    </row>
    <row r="28" spans="1:25">
      <c r="B28" s="244" t="s">
        <v>40</v>
      </c>
      <c r="C28" s="246"/>
      <c r="D28" s="396"/>
      <c r="E28" s="396"/>
      <c r="F28" s="396"/>
      <c r="G28" s="396"/>
      <c r="H28" s="396"/>
      <c r="I28" s="396">
        <v>487597.76799790282</v>
      </c>
      <c r="J28" s="396">
        <v>487597.76799790282</v>
      </c>
      <c r="K28" s="396">
        <v>487597.76799790282</v>
      </c>
      <c r="L28" s="396">
        <v>487597.76799790282</v>
      </c>
      <c r="M28" s="396">
        <v>487597.76799790282</v>
      </c>
      <c r="N28" s="396">
        <v>487597.76799790282</v>
      </c>
      <c r="O28" s="396">
        <v>487597.76799790282</v>
      </c>
      <c r="P28" s="396">
        <v>487597.76799790282</v>
      </c>
      <c r="Q28" s="396">
        <v>487597.76799790282</v>
      </c>
      <c r="R28" s="396">
        <v>487597.76799790282</v>
      </c>
      <c r="S28" s="396"/>
      <c r="T28" s="396"/>
      <c r="U28" s="396"/>
      <c r="V28" s="396"/>
      <c r="W28" s="396"/>
      <c r="X28" s="381"/>
      <c r="Y28" s="317"/>
    </row>
    <row r="29" spans="1:25">
      <c r="B29" s="244" t="s">
        <v>2</v>
      </c>
      <c r="C29" s="246"/>
      <c r="D29" s="396">
        <f>201998.308214615/4</f>
        <v>50499.577053653753</v>
      </c>
      <c r="E29" s="396">
        <v>212643.76976352313</v>
      </c>
      <c r="F29" s="396">
        <v>162770.63228913723</v>
      </c>
      <c r="G29" s="396">
        <v>167312.79165491997</v>
      </c>
      <c r="H29" s="396">
        <v>172022.99901121843</v>
      </c>
      <c r="I29" s="396">
        <v>225669.02440582507</v>
      </c>
      <c r="J29" s="396">
        <v>230739.74528941326</v>
      </c>
      <c r="K29" s="396">
        <v>236003.83274656127</v>
      </c>
      <c r="L29" s="396">
        <v>241470.67123809361</v>
      </c>
      <c r="M29" s="396">
        <v>247150.16394181238</v>
      </c>
      <c r="N29" s="396">
        <v>253052.76298850274</v>
      </c>
      <c r="O29" s="396">
        <v>259189.50149435783</v>
      </c>
      <c r="P29" s="396">
        <v>265572.02749725495</v>
      </c>
      <c r="Q29" s="396">
        <v>272212.63991075027</v>
      </c>
      <c r="R29" s="396">
        <v>279124.3266164884</v>
      </c>
      <c r="S29" s="396">
        <v>237561.02802316204</v>
      </c>
      <c r="T29" s="396">
        <v>245056.78702636302</v>
      </c>
      <c r="U29" s="396">
        <v>252867.13351619232</v>
      </c>
      <c r="V29" s="396">
        <v>261008.23958077631</v>
      </c>
      <c r="W29" s="396">
        <v>269497.19357030763</v>
      </c>
      <c r="X29" s="381">
        <f>W29*3/4</f>
        <v>202122.89517773071</v>
      </c>
    </row>
    <row r="30" spans="1:25">
      <c r="A30" s="276"/>
      <c r="B30" s="244" t="s">
        <v>3</v>
      </c>
      <c r="C30" s="246"/>
      <c r="D30" s="396"/>
      <c r="E30" s="396"/>
      <c r="F30" s="396"/>
      <c r="G30" s="396"/>
      <c r="H30" s="396"/>
      <c r="I30" s="396"/>
      <c r="J30" s="396"/>
      <c r="K30" s="396"/>
      <c r="L30" s="396"/>
      <c r="M30" s="396"/>
      <c r="N30" s="396"/>
      <c r="O30" s="396"/>
      <c r="P30" s="396"/>
      <c r="Q30" s="396"/>
      <c r="R30" s="396"/>
      <c r="S30" s="396"/>
      <c r="T30" s="396"/>
      <c r="U30" s="396"/>
      <c r="V30" s="396"/>
      <c r="W30" s="396">
        <v>1500000</v>
      </c>
      <c r="X30" s="397"/>
    </row>
    <row r="31" spans="1:25">
      <c r="A31" s="276"/>
      <c r="B31" s="244" t="s">
        <v>4</v>
      </c>
      <c r="C31" s="246"/>
      <c r="D31" s="396"/>
      <c r="E31" s="396"/>
      <c r="F31" s="396"/>
      <c r="G31" s="396"/>
      <c r="H31" s="396"/>
      <c r="I31" s="396"/>
      <c r="J31" s="396"/>
      <c r="K31" s="396"/>
      <c r="L31" s="396"/>
      <c r="M31" s="396"/>
      <c r="N31" s="396"/>
      <c r="O31" s="396"/>
      <c r="P31" s="396"/>
      <c r="Q31" s="396"/>
      <c r="R31" s="396"/>
      <c r="S31" s="396"/>
      <c r="T31" s="396"/>
      <c r="U31" s="396"/>
      <c r="V31" s="396"/>
      <c r="W31" s="396">
        <v>1500000</v>
      </c>
      <c r="X31" s="397"/>
    </row>
    <row r="32" spans="1:25">
      <c r="A32" s="276"/>
      <c r="B32" s="279" t="s">
        <v>230</v>
      </c>
      <c r="C32" s="246">
        <f t="shared" ref="C32:X32" si="1">SUM(C19:C31)</f>
        <v>0</v>
      </c>
      <c r="D32" s="246">
        <f t="shared" si="1"/>
        <v>555495.34759019327</v>
      </c>
      <c r="E32" s="246">
        <f t="shared" si="1"/>
        <v>2339081.4673987543</v>
      </c>
      <c r="F32" s="246">
        <f t="shared" si="1"/>
        <v>1790476.9551805095</v>
      </c>
      <c r="G32" s="246">
        <f t="shared" si="1"/>
        <v>1840440.7082041197</v>
      </c>
      <c r="H32" s="246">
        <f t="shared" si="1"/>
        <v>1892252.9891234026</v>
      </c>
      <c r="I32" s="246">
        <f t="shared" si="1"/>
        <v>2482359.2684640754</v>
      </c>
      <c r="J32" s="246">
        <f t="shared" si="1"/>
        <v>2538137.1981835458</v>
      </c>
      <c r="K32" s="246">
        <f t="shared" si="1"/>
        <v>2596042.1602121736</v>
      </c>
      <c r="L32" s="246">
        <f t="shared" si="1"/>
        <v>2656177.3836190295</v>
      </c>
      <c r="M32" s="246">
        <f t="shared" si="1"/>
        <v>2718651.803359936</v>
      </c>
      <c r="N32" s="246">
        <f t="shared" si="1"/>
        <v>2783580.3928735298</v>
      </c>
      <c r="O32" s="246">
        <f t="shared" si="1"/>
        <v>2851084.5164379361</v>
      </c>
      <c r="P32" s="246">
        <f t="shared" si="1"/>
        <v>2921292.3024698044</v>
      </c>
      <c r="Q32" s="246">
        <f t="shared" si="1"/>
        <v>2994339.0390182529</v>
      </c>
      <c r="R32" s="246">
        <f t="shared" si="1"/>
        <v>3070367.5927813724</v>
      </c>
      <c r="S32" s="246">
        <f t="shared" si="1"/>
        <v>2613171.3082547821</v>
      </c>
      <c r="T32" s="246">
        <f t="shared" si="1"/>
        <v>2695624.657289993</v>
      </c>
      <c r="U32" s="246">
        <f t="shared" si="1"/>
        <v>2781538.4686781154</v>
      </c>
      <c r="V32" s="246">
        <f t="shared" si="1"/>
        <v>2871090.6353885392</v>
      </c>
      <c r="W32" s="246">
        <f t="shared" si="1"/>
        <v>5964469.1292733829</v>
      </c>
      <c r="X32" s="246">
        <f t="shared" si="1"/>
        <v>2223351.8469550377</v>
      </c>
    </row>
    <row r="33" spans="1:24">
      <c r="A33" s="298" t="s">
        <v>43</v>
      </c>
      <c r="B33" s="276"/>
      <c r="C33" s="246" t="s">
        <v>449</v>
      </c>
      <c r="D33" s="246"/>
      <c r="E33" s="246"/>
      <c r="F33" s="246"/>
      <c r="G33" s="246"/>
      <c r="H33" s="246"/>
      <c r="I33" s="246"/>
      <c r="J33" s="246"/>
      <c r="K33" s="246"/>
      <c r="L33" s="246"/>
      <c r="M33" s="246"/>
      <c r="N33" s="246"/>
      <c r="O33" s="246"/>
      <c r="P33" s="246"/>
      <c r="Q33" s="246"/>
      <c r="R33" s="246"/>
      <c r="S33" s="246"/>
      <c r="T33" s="246"/>
      <c r="U33" s="246"/>
      <c r="V33" s="246"/>
      <c r="W33" s="246"/>
    </row>
    <row r="34" spans="1:24">
      <c r="A34" s="276"/>
      <c r="B34" s="244" t="s">
        <v>42</v>
      </c>
      <c r="C34" s="438">
        <f>88842736*0.3</f>
        <v>26652820.800000001</v>
      </c>
      <c r="D34" s="246"/>
      <c r="E34" s="246"/>
      <c r="F34" s="246"/>
      <c r="G34" s="246"/>
      <c r="H34" s="246"/>
      <c r="I34" s="246"/>
      <c r="J34" s="246"/>
      <c r="K34" s="246"/>
      <c r="L34" s="246"/>
      <c r="M34" s="246"/>
      <c r="N34" s="246"/>
      <c r="O34" s="246"/>
      <c r="P34" s="246"/>
      <c r="Q34" s="246"/>
      <c r="R34" s="246"/>
      <c r="S34" s="246"/>
      <c r="T34" s="246"/>
      <c r="U34" s="246"/>
      <c r="V34" s="246"/>
      <c r="W34" s="246"/>
    </row>
    <row r="35" spans="1:24">
      <c r="A35" s="276"/>
      <c r="B35" s="244" t="s">
        <v>43</v>
      </c>
      <c r="C35" s="246"/>
      <c r="D35" s="246"/>
      <c r="E35" s="246"/>
      <c r="F35" s="246"/>
      <c r="G35" s="246"/>
      <c r="H35" s="246"/>
      <c r="I35" s="246"/>
      <c r="J35" s="246"/>
      <c r="K35" s="246"/>
      <c r="L35" s="246"/>
      <c r="M35" s="246"/>
      <c r="N35" s="246"/>
      <c r="O35" s="246"/>
      <c r="P35" s="246"/>
      <c r="Q35" s="246"/>
      <c r="R35" s="246"/>
      <c r="S35" s="246"/>
      <c r="T35" s="246"/>
      <c r="U35" s="246"/>
      <c r="V35" s="246"/>
      <c r="W35" s="246"/>
    </row>
    <row r="36" spans="1:24">
      <c r="A36" s="276"/>
      <c r="B36" s="244"/>
      <c r="C36" s="246"/>
      <c r="D36" s="246"/>
      <c r="E36" s="246"/>
      <c r="F36" s="246"/>
      <c r="G36" s="246"/>
      <c r="H36" s="246"/>
      <c r="I36" s="246"/>
      <c r="J36" s="246"/>
      <c r="K36" s="246"/>
      <c r="L36" s="246"/>
      <c r="M36" s="246"/>
      <c r="N36" s="246"/>
      <c r="O36" s="246"/>
      <c r="P36" s="246"/>
      <c r="Q36" s="246"/>
      <c r="R36" s="246"/>
      <c r="S36" s="246"/>
      <c r="T36" s="246"/>
      <c r="U36" s="246"/>
      <c r="V36" s="246"/>
      <c r="W36" s="246"/>
      <c r="X36" s="247"/>
    </row>
    <row r="37" spans="1:24">
      <c r="B37" s="244" t="s">
        <v>6</v>
      </c>
      <c r="C37" s="396">
        <v>1566622.2260264701</v>
      </c>
      <c r="D37" s="246"/>
      <c r="E37" s="246"/>
      <c r="F37" s="246"/>
      <c r="G37" s="246"/>
      <c r="H37" s="246"/>
      <c r="I37" s="246"/>
      <c r="J37" s="246"/>
      <c r="K37" s="246"/>
      <c r="L37" s="246"/>
      <c r="M37" s="246"/>
      <c r="N37" s="246"/>
      <c r="O37" s="246"/>
      <c r="P37" s="246"/>
      <c r="Q37" s="246"/>
      <c r="R37" s="246"/>
      <c r="S37" s="246"/>
      <c r="T37" s="246"/>
      <c r="U37" s="246"/>
      <c r="V37" s="246"/>
      <c r="W37" s="246"/>
    </row>
    <row r="38" spans="1:24">
      <c r="A38" s="278"/>
      <c r="B38" s="242" t="s">
        <v>47</v>
      </c>
      <c r="C38" s="280"/>
      <c r="D38" s="398">
        <v>1257798.3013888651</v>
      </c>
      <c r="E38" s="398">
        <v>8809389.2607053332</v>
      </c>
      <c r="F38" s="398">
        <v>8809389.2607053444</v>
      </c>
      <c r="G38" s="398">
        <v>8809389.2607053351</v>
      </c>
      <c r="H38" s="398">
        <v>8809389.2607053407</v>
      </c>
      <c r="I38" s="398">
        <v>8809389.2607053425</v>
      </c>
      <c r="J38" s="398">
        <v>8809389.2607053369</v>
      </c>
      <c r="K38" s="398">
        <v>8809389.2607053407</v>
      </c>
      <c r="L38" s="398">
        <v>8809389.2607053388</v>
      </c>
      <c r="M38" s="398">
        <v>8809389.2607053369</v>
      </c>
      <c r="N38" s="398">
        <v>8809389.2607053369</v>
      </c>
      <c r="O38" s="398">
        <v>8809389.2607053425</v>
      </c>
      <c r="P38" s="398"/>
      <c r="Q38" s="398"/>
      <c r="R38" s="398"/>
      <c r="S38" s="398"/>
      <c r="T38" s="398"/>
      <c r="U38" s="398"/>
      <c r="V38" s="398"/>
      <c r="W38" s="398"/>
      <c r="X38" s="398"/>
    </row>
    <row r="39" spans="1:24">
      <c r="A39" s="276"/>
      <c r="B39" s="244" t="s">
        <v>5</v>
      </c>
      <c r="C39" s="246"/>
      <c r="D39" s="396">
        <f>53305.6414880943/4</f>
        <v>13326.410372023574</v>
      </c>
      <c r="E39" s="396">
        <v>53305.641488094261</v>
      </c>
      <c r="F39" s="396">
        <v>53305.641488094261</v>
      </c>
      <c r="G39" s="396">
        <v>53305.641488094261</v>
      </c>
      <c r="H39" s="396">
        <v>53305.641488094261</v>
      </c>
      <c r="I39" s="396">
        <v>53305.641488094261</v>
      </c>
      <c r="J39" s="396">
        <v>53305.641488094261</v>
      </c>
      <c r="K39" s="396">
        <v>53305.641488094261</v>
      </c>
      <c r="L39" s="396">
        <v>53305.641488094261</v>
      </c>
      <c r="M39" s="396">
        <v>53305.641488094261</v>
      </c>
      <c r="N39" s="396">
        <v>53305.641488094261</v>
      </c>
      <c r="O39" s="396">
        <v>53305.641488094261</v>
      </c>
      <c r="P39" s="396">
        <v>53305.641488094261</v>
      </c>
      <c r="Q39" s="396">
        <v>53305.641488094261</v>
      </c>
      <c r="R39" s="396">
        <v>53305.641488094261</v>
      </c>
      <c r="S39" s="396">
        <v>53305.641488094261</v>
      </c>
      <c r="T39" s="396">
        <v>53305.641488094261</v>
      </c>
      <c r="U39" s="396">
        <v>53305.641488094261</v>
      </c>
      <c r="V39" s="396">
        <v>53305.641488094261</v>
      </c>
      <c r="W39" s="396">
        <v>53305.641488094261</v>
      </c>
      <c r="X39" s="381">
        <f>W39*3/4</f>
        <v>39979.231116070696</v>
      </c>
    </row>
    <row r="40" spans="1:24">
      <c r="B40" s="244" t="s">
        <v>9</v>
      </c>
      <c r="C40" s="245"/>
      <c r="D40" s="396">
        <f>181258.760363893/4</f>
        <v>45314.69009097325</v>
      </c>
      <c r="E40" s="396">
        <v>463254.15514641465</v>
      </c>
      <c r="F40" s="396">
        <v>697637.49552996736</v>
      </c>
      <c r="G40" s="396">
        <v>782153.74568399927</v>
      </c>
      <c r="H40" s="396">
        <v>868525.25162444031</v>
      </c>
      <c r="I40" s="396">
        <v>823163.2501989014</v>
      </c>
      <c r="J40" s="396">
        <v>916102.43494038307</v>
      </c>
      <c r="K40" s="396">
        <v>1015151.31336815</v>
      </c>
      <c r="L40" s="396">
        <v>1119185.622313092</v>
      </c>
      <c r="M40" s="396">
        <v>1228603.4122000351</v>
      </c>
      <c r="N40" s="396">
        <v>1343853.5984164376</v>
      </c>
      <c r="O40" s="396">
        <v>1429226.5942813654</v>
      </c>
      <c r="P40" s="396">
        <v>1607343.2490060693</v>
      </c>
      <c r="Q40" s="396">
        <v>1635034.9658427548</v>
      </c>
      <c r="R40" s="396">
        <v>1660261.2112711896</v>
      </c>
      <c r="S40" s="396">
        <v>3269367.444306823</v>
      </c>
      <c r="T40" s="396">
        <v>3266827.9832325857</v>
      </c>
      <c r="U40" s="396">
        <v>3245076.2545002308</v>
      </c>
      <c r="V40" s="396">
        <v>3222185.9904032955</v>
      </c>
      <c r="W40" s="396">
        <v>3198315.3062644321</v>
      </c>
      <c r="X40" s="381">
        <f>W40*3/4</f>
        <v>2398736.4796983241</v>
      </c>
    </row>
    <row r="41" spans="1:24" s="240" customFormat="1">
      <c r="A41" s="296"/>
      <c r="B41" s="254" t="s">
        <v>308</v>
      </c>
      <c r="C41" s="255">
        <f>SUM(C32:C40)</f>
        <v>28219443.026026472</v>
      </c>
      <c r="D41" s="255">
        <f t="shared" ref="D41:X41" si="2">SUM(D32:D40)</f>
        <v>1871934.7494420551</v>
      </c>
      <c r="E41" s="255">
        <f t="shared" si="2"/>
        <v>11665030.524738597</v>
      </c>
      <c r="F41" s="255">
        <f t="shared" si="2"/>
        <v>11350809.352903914</v>
      </c>
      <c r="G41" s="255">
        <f t="shared" si="2"/>
        <v>11485289.356081549</v>
      </c>
      <c r="H41" s="255">
        <f t="shared" si="2"/>
        <v>11623473.142941277</v>
      </c>
      <c r="I41" s="255">
        <f t="shared" si="2"/>
        <v>12168217.420856413</v>
      </c>
      <c r="J41" s="255">
        <f t="shared" si="2"/>
        <v>12316934.535317359</v>
      </c>
      <c r="K41" s="255">
        <f t="shared" si="2"/>
        <v>12473888.375773758</v>
      </c>
      <c r="L41" s="255">
        <f t="shared" si="2"/>
        <v>12638057.908125553</v>
      </c>
      <c r="M41" s="255">
        <f t="shared" si="2"/>
        <v>12809950.117753403</v>
      </c>
      <c r="N41" s="255">
        <f t="shared" si="2"/>
        <v>12990128.893483398</v>
      </c>
      <c r="O41" s="255">
        <f t="shared" si="2"/>
        <v>13143006.012912739</v>
      </c>
      <c r="P41" s="255">
        <f t="shared" si="2"/>
        <v>4581941.192963968</v>
      </c>
      <c r="Q41" s="255">
        <f t="shared" si="2"/>
        <v>4682679.6463491023</v>
      </c>
      <c r="R41" s="255">
        <f t="shared" si="2"/>
        <v>4783934.4455406563</v>
      </c>
      <c r="S41" s="255">
        <f t="shared" si="2"/>
        <v>5935844.3940496994</v>
      </c>
      <c r="T41" s="255">
        <f t="shared" si="2"/>
        <v>6015758.2820106726</v>
      </c>
      <c r="U41" s="255">
        <f t="shared" si="2"/>
        <v>6079920.3646664405</v>
      </c>
      <c r="V41" s="255">
        <f t="shared" si="2"/>
        <v>6146582.2672799286</v>
      </c>
      <c r="W41" s="255">
        <f t="shared" si="2"/>
        <v>9216090.077025909</v>
      </c>
      <c r="X41" s="255">
        <f t="shared" si="2"/>
        <v>4662067.5577694327</v>
      </c>
    </row>
    <row r="42" spans="1:24">
      <c r="A42" s="276"/>
      <c r="B42" s="244"/>
      <c r="C42" s="246"/>
      <c r="D42" s="246"/>
      <c r="E42" s="246"/>
      <c r="F42" s="246"/>
      <c r="G42" s="246"/>
      <c r="H42" s="246"/>
      <c r="I42" s="246"/>
      <c r="J42" s="246"/>
      <c r="K42" s="246"/>
      <c r="L42" s="246"/>
      <c r="M42" s="246"/>
      <c r="N42" s="246"/>
      <c r="O42" s="246"/>
      <c r="P42" s="246"/>
      <c r="Q42" s="246"/>
      <c r="R42" s="246"/>
      <c r="S42" s="246"/>
      <c r="T42" s="246"/>
      <c r="U42" s="246"/>
      <c r="V42" s="246"/>
      <c r="W42" s="246"/>
      <c r="X42" s="246"/>
    </row>
    <row r="43" spans="1:24" s="300" customFormat="1">
      <c r="A43" s="79" t="s">
        <v>303</v>
      </c>
      <c r="B43" s="299"/>
      <c r="C43" s="300">
        <f t="shared" ref="C43:X43" si="3">C15-C41</f>
        <v>-28219443.026026472</v>
      </c>
      <c r="D43" s="300">
        <f t="shared" si="3"/>
        <v>1551728.1133836873</v>
      </c>
      <c r="E43" s="300">
        <f t="shared" si="3"/>
        <v>2158987.7945226207</v>
      </c>
      <c r="F43" s="300">
        <f t="shared" si="3"/>
        <v>2559882.1312612779</v>
      </c>
      <c r="G43" s="300">
        <f t="shared" si="3"/>
        <v>2486994.7425584327</v>
      </c>
      <c r="H43" s="300">
        <f t="shared" si="3"/>
        <v>2393558.2300816067</v>
      </c>
      <c r="I43" s="300">
        <f t="shared" si="3"/>
        <v>1876717.1130829919</v>
      </c>
      <c r="J43" s="300">
        <f t="shared" si="3"/>
        <v>1744319.1455676835</v>
      </c>
      <c r="K43" s="300">
        <f t="shared" si="3"/>
        <v>1597353.0173720457</v>
      </c>
      <c r="L43" s="300">
        <f t="shared" si="3"/>
        <v>1429814.1596496217</v>
      </c>
      <c r="M43" s="300">
        <f t="shared" si="3"/>
        <v>1240054.4019886199</v>
      </c>
      <c r="N43" s="300">
        <f t="shared" si="3"/>
        <v>1026350.7831302471</v>
      </c>
      <c r="O43" s="300">
        <f t="shared" si="3"/>
        <v>678259.25901683979</v>
      </c>
      <c r="P43" s="300">
        <f t="shared" si="3"/>
        <v>9369451.1312514544</v>
      </c>
      <c r="Q43" s="300">
        <f t="shared" si="3"/>
        <v>9452526.2817615103</v>
      </c>
      <c r="R43" s="300">
        <f t="shared" si="3"/>
        <v>9528205.0180468149</v>
      </c>
      <c r="S43" s="300">
        <f t="shared" si="3"/>
        <v>8537116.144656118</v>
      </c>
      <c r="T43" s="300">
        <f t="shared" si="3"/>
        <v>8529497.7614334077</v>
      </c>
      <c r="U43" s="300">
        <f t="shared" si="3"/>
        <v>8464242.5752363428</v>
      </c>
      <c r="V43" s="300">
        <f t="shared" si="3"/>
        <v>8395571.7829455379</v>
      </c>
      <c r="W43" s="300">
        <f t="shared" si="3"/>
        <v>5323959.730528947</v>
      </c>
      <c r="X43" s="300">
        <f t="shared" si="3"/>
        <v>6242969.7978967093</v>
      </c>
    </row>
    <row r="44" spans="1:24">
      <c r="A44" s="278"/>
      <c r="B44" s="278"/>
      <c r="C44" s="245"/>
      <c r="D44" s="246"/>
      <c r="E44" s="246"/>
      <c r="F44" s="246"/>
      <c r="G44" s="246"/>
      <c r="H44" s="246"/>
      <c r="I44" s="246"/>
      <c r="J44" s="246"/>
      <c r="K44" s="246"/>
      <c r="L44" s="246"/>
      <c r="M44" s="246"/>
      <c r="N44" s="246"/>
      <c r="O44" s="246"/>
      <c r="P44" s="246"/>
      <c r="Q44" s="246"/>
      <c r="R44" s="246"/>
      <c r="S44" s="246"/>
      <c r="T44" s="246"/>
      <c r="U44" s="246"/>
      <c r="V44" s="246"/>
      <c r="W44" s="246"/>
    </row>
    <row r="45" spans="1:24">
      <c r="A45" s="276"/>
      <c r="B45" s="277"/>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4">
      <c r="A46" s="282"/>
      <c r="B46" s="284" t="s">
        <v>542</v>
      </c>
      <c r="C46" s="255">
        <f>NPV(C54,C43:X43)</f>
        <v>2973.8179358051539</v>
      </c>
      <c r="D46" s="255"/>
      <c r="E46" s="255"/>
      <c r="F46" s="255"/>
      <c r="G46" s="255"/>
      <c r="H46" s="255"/>
      <c r="I46" s="255"/>
      <c r="J46" s="255"/>
      <c r="K46" s="255"/>
      <c r="L46" s="255"/>
      <c r="M46" s="255"/>
      <c r="N46" s="255"/>
      <c r="O46" s="255"/>
      <c r="P46" s="255"/>
      <c r="Q46" s="255"/>
      <c r="R46" s="255"/>
      <c r="S46" s="255"/>
      <c r="T46" s="255"/>
      <c r="U46" s="255"/>
      <c r="V46" s="255"/>
      <c r="W46" s="255"/>
    </row>
    <row r="47" spans="1:24">
      <c r="A47" s="283"/>
      <c r="B47" s="284" t="s">
        <v>48</v>
      </c>
      <c r="C47" s="285">
        <f>IRR(C43:X43,C54)</f>
        <v>0.100011603407969</v>
      </c>
      <c r="D47" s="246"/>
      <c r="E47" s="246"/>
      <c r="F47" s="246"/>
      <c r="G47" s="246"/>
      <c r="H47" s="246"/>
      <c r="I47" s="246"/>
      <c r="J47" s="246"/>
      <c r="K47" s="246"/>
      <c r="L47" s="246"/>
      <c r="M47" s="246"/>
      <c r="N47" s="246"/>
      <c r="O47" s="246"/>
      <c r="P47" s="246"/>
      <c r="Q47" s="246"/>
      <c r="R47" s="246"/>
      <c r="S47" s="246"/>
      <c r="T47" s="246"/>
      <c r="U47" s="246"/>
      <c r="V47" s="246"/>
      <c r="W47" s="246"/>
      <c r="X47" s="246"/>
    </row>
    <row r="48" spans="1:24">
      <c r="A48" s="283"/>
      <c r="B48" s="284"/>
      <c r="C48" s="285"/>
      <c r="D48" s="246"/>
      <c r="E48" s="246"/>
      <c r="F48" s="246"/>
      <c r="G48" s="246"/>
      <c r="H48" s="246"/>
      <c r="I48" s="246"/>
      <c r="J48" s="246"/>
      <c r="K48" s="246"/>
      <c r="L48" s="246"/>
      <c r="M48" s="246"/>
      <c r="N48" s="246"/>
      <c r="O48" s="246"/>
      <c r="P48" s="246"/>
      <c r="Q48" s="246"/>
      <c r="R48" s="246"/>
      <c r="S48" s="246"/>
      <c r="T48" s="246"/>
      <c r="U48" s="246"/>
      <c r="V48" s="246"/>
      <c r="W48" s="246"/>
      <c r="X48" s="246"/>
    </row>
    <row r="49" spans="1:24">
      <c r="A49" s="283"/>
      <c r="B49" s="286" t="s">
        <v>309</v>
      </c>
      <c r="C49" s="287">
        <f>IRR(C43:L43)</f>
        <v>-8.7753661812124739E-2</v>
      </c>
      <c r="D49" s="246"/>
      <c r="E49" s="246"/>
      <c r="F49" s="246"/>
      <c r="G49" s="246"/>
      <c r="H49" s="246"/>
      <c r="I49" s="246"/>
      <c r="J49" s="246"/>
      <c r="K49" s="246"/>
      <c r="L49" s="246"/>
      <c r="M49" s="246"/>
      <c r="N49" s="246"/>
      <c r="O49" s="246"/>
      <c r="P49" s="246"/>
      <c r="Q49" s="246"/>
      <c r="R49" s="246"/>
      <c r="S49" s="246"/>
      <c r="T49" s="246"/>
      <c r="U49" s="246"/>
      <c r="V49" s="246"/>
      <c r="W49" s="246"/>
      <c r="X49" s="246"/>
    </row>
    <row r="50" spans="1:24">
      <c r="A50" s="278"/>
      <c r="B50" s="288" t="s">
        <v>310</v>
      </c>
      <c r="C50" s="287">
        <f>IRR(C43:V43)</f>
        <v>9.3778758797337103E-2</v>
      </c>
      <c r="D50" s="255"/>
      <c r="E50" s="255"/>
      <c r="F50" s="255"/>
      <c r="G50" s="255"/>
      <c r="H50" s="255"/>
      <c r="I50" s="255"/>
      <c r="J50" s="255"/>
      <c r="K50" s="255"/>
      <c r="L50" s="255"/>
      <c r="M50" s="255"/>
      <c r="N50" s="255"/>
      <c r="O50" s="255"/>
      <c r="P50" s="255"/>
      <c r="Q50" s="255"/>
      <c r="R50" s="255"/>
      <c r="S50" s="255"/>
      <c r="T50" s="255"/>
      <c r="U50" s="255"/>
      <c r="V50" s="255"/>
      <c r="W50" s="255"/>
    </row>
    <row r="51" spans="1:24">
      <c r="A51" s="278"/>
      <c r="B51" s="278"/>
      <c r="C51" s="246"/>
      <c r="D51" s="246"/>
      <c r="E51" s="246"/>
      <c r="F51" s="246"/>
      <c r="G51" s="246"/>
      <c r="H51" s="246"/>
      <c r="I51" s="246"/>
      <c r="J51" s="246"/>
      <c r="K51" s="246"/>
      <c r="L51" s="246"/>
      <c r="M51" s="246"/>
      <c r="N51" s="246"/>
      <c r="O51" s="246"/>
      <c r="P51" s="246"/>
      <c r="Q51" s="246"/>
      <c r="R51" s="246"/>
      <c r="S51" s="246"/>
      <c r="T51" s="246"/>
      <c r="U51" s="246"/>
      <c r="V51" s="246"/>
      <c r="W51" s="246"/>
    </row>
    <row r="52" spans="1:24">
      <c r="A52" s="276"/>
      <c r="B52" s="276"/>
      <c r="C52" s="289"/>
      <c r="D52" s="246"/>
      <c r="E52" s="246"/>
      <c r="F52" s="246"/>
      <c r="G52" s="246"/>
      <c r="H52" s="246"/>
      <c r="I52" s="246"/>
      <c r="J52" s="246"/>
      <c r="K52" s="246"/>
      <c r="L52" s="246"/>
      <c r="M52" s="246"/>
      <c r="N52" s="246"/>
      <c r="O52" s="246"/>
      <c r="P52" s="246"/>
      <c r="Q52" s="246"/>
      <c r="R52" s="246"/>
      <c r="S52" s="246"/>
      <c r="T52" s="246"/>
      <c r="U52" s="246"/>
      <c r="V52" s="246"/>
      <c r="W52" s="246"/>
    </row>
    <row r="53" spans="1:24" s="19" customFormat="1" ht="15.75" customHeight="1">
      <c r="A53" s="301"/>
      <c r="B53" s="136" t="s">
        <v>44</v>
      </c>
      <c r="C53" s="413">
        <v>0</v>
      </c>
      <c r="D53" s="137"/>
      <c r="E53" s="147"/>
      <c r="F53" s="141"/>
      <c r="G53" s="141"/>
      <c r="H53" s="147"/>
    </row>
    <row r="54" spans="1:24" s="19" customFormat="1" ht="15.75" customHeight="1">
      <c r="A54" s="118"/>
      <c r="B54" s="275" t="s">
        <v>29</v>
      </c>
      <c r="C54" s="439">
        <f>Assumptions!C30</f>
        <v>0.1</v>
      </c>
      <c r="D54" s="143"/>
      <c r="E54" s="147"/>
      <c r="F54" s="141"/>
      <c r="G54" s="141"/>
      <c r="H54" s="147"/>
    </row>
    <row r="55" spans="1:24">
      <c r="C55" s="242" t="s">
        <v>450</v>
      </c>
    </row>
    <row r="56" spans="1:24">
      <c r="B56" s="240" t="s">
        <v>370</v>
      </c>
    </row>
    <row r="57" spans="1:24" ht="30">
      <c r="B57" s="259" t="s">
        <v>368</v>
      </c>
      <c r="C57" s="437">
        <f>Assumptions!C29</f>
        <v>2.0500285737017739E-2</v>
      </c>
      <c r="D57" s="271" t="s">
        <v>299</v>
      </c>
    </row>
    <row r="59" spans="1:24">
      <c r="B59" s="419" t="s">
        <v>6</v>
      </c>
      <c r="C59" s="418">
        <f>C37/C34</f>
        <v>5.8778852631856136E-2</v>
      </c>
      <c r="D59" s="289">
        <f>D38/$C$34</f>
        <v>4.7191939300806202E-2</v>
      </c>
      <c r="E59" s="289">
        <f>E38/$C$34</f>
        <v>0.33052371179808981</v>
      </c>
    </row>
    <row r="61" spans="1:24">
      <c r="A61" s="276"/>
      <c r="B61" s="276"/>
      <c r="C61" s="246"/>
      <c r="D61" s="246"/>
      <c r="E61" s="246"/>
      <c r="F61" s="246"/>
      <c r="G61" s="246"/>
      <c r="H61" s="246"/>
      <c r="I61" s="246"/>
      <c r="J61" s="246"/>
      <c r="K61" s="246"/>
      <c r="L61" s="246"/>
      <c r="M61" s="246"/>
      <c r="N61" s="246"/>
      <c r="O61" s="246"/>
      <c r="P61" s="246"/>
      <c r="Q61" s="246"/>
      <c r="R61" s="246"/>
      <c r="S61" s="246"/>
      <c r="T61" s="246"/>
      <c r="U61" s="246"/>
      <c r="V61" s="246"/>
      <c r="W61" s="246"/>
    </row>
    <row r="62" spans="1:24">
      <c r="A62" s="276"/>
      <c r="B62" s="276"/>
      <c r="C62" s="246"/>
      <c r="D62" s="246"/>
      <c r="E62" s="246"/>
      <c r="F62" s="246"/>
      <c r="G62" s="246"/>
      <c r="H62" s="246"/>
      <c r="I62" s="246"/>
      <c r="J62" s="246"/>
      <c r="K62" s="246"/>
      <c r="L62" s="246"/>
      <c r="M62" s="246"/>
      <c r="N62" s="246"/>
      <c r="O62" s="246"/>
      <c r="P62" s="246"/>
      <c r="Q62" s="246"/>
      <c r="R62" s="246"/>
      <c r="S62" s="246"/>
      <c r="T62" s="246"/>
      <c r="U62" s="246"/>
      <c r="V62" s="246"/>
      <c r="W62" s="246"/>
    </row>
    <row r="63" spans="1:24">
      <c r="A63" s="276"/>
      <c r="B63" s="276"/>
      <c r="C63" s="246"/>
      <c r="D63" s="246"/>
      <c r="E63" s="246"/>
      <c r="F63" s="246"/>
      <c r="G63" s="246"/>
      <c r="H63" s="246"/>
      <c r="I63" s="246"/>
      <c r="J63" s="246"/>
      <c r="K63" s="246"/>
      <c r="L63" s="246"/>
      <c r="M63" s="246"/>
      <c r="N63" s="246"/>
      <c r="O63" s="246"/>
      <c r="P63" s="246"/>
      <c r="Q63" s="246"/>
      <c r="R63" s="246"/>
      <c r="S63" s="246"/>
      <c r="T63" s="246"/>
      <c r="U63" s="246"/>
      <c r="V63" s="246"/>
      <c r="W63" s="246"/>
    </row>
    <row r="64" spans="1:24">
      <c r="A64" s="276"/>
      <c r="B64" s="276"/>
      <c r="C64" s="285"/>
      <c r="D64" s="246"/>
      <c r="E64" s="246"/>
      <c r="F64" s="246"/>
      <c r="G64" s="246"/>
      <c r="H64" s="246"/>
      <c r="I64" s="246"/>
      <c r="J64" s="246"/>
      <c r="K64" s="246"/>
      <c r="L64" s="246"/>
      <c r="M64" s="246"/>
      <c r="N64" s="246"/>
      <c r="O64" s="246"/>
      <c r="P64" s="246"/>
      <c r="Q64" s="246"/>
      <c r="R64" s="246"/>
      <c r="S64" s="246"/>
      <c r="T64" s="246"/>
      <c r="U64" s="246"/>
      <c r="V64" s="246"/>
      <c r="W64" s="246"/>
    </row>
    <row r="65" spans="1:23">
      <c r="A65" s="276"/>
      <c r="B65" s="276"/>
      <c r="C65" s="255"/>
      <c r="D65" s="246"/>
      <c r="E65" s="246"/>
      <c r="F65" s="246"/>
      <c r="G65" s="246"/>
      <c r="H65" s="246"/>
      <c r="I65" s="246"/>
      <c r="J65" s="246"/>
      <c r="K65" s="246"/>
      <c r="L65" s="246"/>
      <c r="M65" s="246"/>
      <c r="N65" s="246"/>
      <c r="O65" s="246"/>
      <c r="P65" s="246"/>
      <c r="Q65" s="246"/>
      <c r="R65" s="246"/>
      <c r="S65" s="246"/>
      <c r="T65" s="246"/>
      <c r="U65" s="246"/>
      <c r="V65" s="246"/>
      <c r="W65" s="246"/>
    </row>
    <row r="66" spans="1:23">
      <c r="A66" s="276"/>
      <c r="B66" s="276"/>
      <c r="C66" s="246"/>
      <c r="D66" s="246"/>
      <c r="E66" s="246"/>
      <c r="F66" s="246"/>
      <c r="G66" s="246"/>
      <c r="H66" s="246"/>
      <c r="I66" s="246"/>
      <c r="J66" s="246"/>
      <c r="K66" s="246"/>
      <c r="L66" s="246"/>
      <c r="M66" s="246"/>
      <c r="N66" s="246"/>
      <c r="O66" s="246"/>
      <c r="P66" s="246"/>
      <c r="Q66" s="246"/>
      <c r="R66" s="246"/>
      <c r="S66" s="246"/>
      <c r="T66" s="246"/>
      <c r="U66" s="246"/>
      <c r="V66" s="246"/>
      <c r="W66" s="246"/>
    </row>
    <row r="67" spans="1:23">
      <c r="A67" s="290"/>
      <c r="B67" s="290"/>
      <c r="C67" s="246"/>
      <c r="D67" s="246"/>
      <c r="E67" s="246"/>
      <c r="F67" s="246"/>
      <c r="G67" s="246"/>
      <c r="H67" s="246"/>
      <c r="I67" s="246"/>
      <c r="J67" s="246"/>
      <c r="K67" s="246"/>
      <c r="L67" s="246"/>
      <c r="M67" s="246"/>
      <c r="N67" s="246"/>
      <c r="O67" s="246"/>
      <c r="P67" s="246"/>
      <c r="Q67" s="246"/>
      <c r="R67" s="246"/>
      <c r="S67" s="246"/>
      <c r="T67" s="246"/>
      <c r="U67" s="246"/>
      <c r="V67" s="246"/>
      <c r="W67" s="246"/>
    </row>
    <row r="68" spans="1:23">
      <c r="A68" s="276"/>
      <c r="B68" s="276"/>
      <c r="C68" s="246"/>
      <c r="D68" s="246"/>
      <c r="E68" s="246"/>
      <c r="F68" s="246"/>
      <c r="G68" s="246"/>
      <c r="H68" s="246"/>
      <c r="I68" s="246"/>
      <c r="J68" s="246"/>
      <c r="K68" s="246"/>
      <c r="L68" s="246"/>
      <c r="M68" s="246"/>
      <c r="N68" s="246"/>
      <c r="O68" s="246"/>
      <c r="P68" s="246"/>
      <c r="Q68" s="246"/>
      <c r="R68" s="246"/>
      <c r="S68" s="246"/>
      <c r="T68" s="246"/>
      <c r="U68" s="246"/>
      <c r="V68" s="246"/>
      <c r="W68" s="246"/>
    </row>
    <row r="69" spans="1:23">
      <c r="A69" s="276"/>
      <c r="B69" s="276"/>
      <c r="C69" s="246"/>
      <c r="D69" s="246"/>
      <c r="E69" s="246"/>
      <c r="F69" s="246"/>
      <c r="G69" s="246"/>
      <c r="H69" s="246"/>
      <c r="I69" s="246"/>
      <c r="J69" s="246"/>
      <c r="K69" s="246"/>
      <c r="L69" s="246"/>
      <c r="M69" s="246"/>
      <c r="N69" s="246"/>
      <c r="O69" s="246"/>
      <c r="P69" s="246"/>
      <c r="Q69" s="246"/>
      <c r="R69" s="246"/>
      <c r="S69" s="246"/>
      <c r="T69" s="246"/>
      <c r="U69" s="246"/>
      <c r="V69" s="246"/>
      <c r="W69" s="246"/>
    </row>
    <row r="70" spans="1:23">
      <c r="A70" s="276"/>
      <c r="B70" s="276"/>
      <c r="C70" s="245"/>
      <c r="D70" s="246"/>
      <c r="E70" s="246"/>
      <c r="F70" s="246"/>
      <c r="G70" s="246"/>
      <c r="H70" s="246"/>
      <c r="I70" s="246"/>
      <c r="J70" s="246"/>
      <c r="K70" s="246"/>
      <c r="L70" s="246"/>
      <c r="M70" s="246"/>
      <c r="N70" s="246"/>
      <c r="O70" s="246"/>
      <c r="P70" s="246"/>
      <c r="Q70" s="246"/>
      <c r="R70" s="246"/>
      <c r="S70" s="246"/>
      <c r="T70" s="246"/>
      <c r="U70" s="246"/>
      <c r="V70" s="246"/>
      <c r="W70" s="246"/>
    </row>
    <row r="71" spans="1:23">
      <c r="A71" s="276"/>
      <c r="B71" s="276"/>
      <c r="C71" s="285"/>
      <c r="D71" s="246"/>
      <c r="E71" s="246"/>
      <c r="F71" s="246"/>
      <c r="G71" s="246"/>
      <c r="H71" s="246"/>
      <c r="I71" s="246"/>
      <c r="J71" s="246"/>
      <c r="K71" s="246"/>
      <c r="L71" s="246"/>
      <c r="M71" s="246"/>
      <c r="N71" s="246"/>
      <c r="O71" s="246"/>
      <c r="P71" s="246"/>
      <c r="Q71" s="246"/>
      <c r="R71" s="246"/>
      <c r="S71" s="246"/>
      <c r="T71" s="246"/>
      <c r="U71" s="246"/>
      <c r="V71" s="246"/>
      <c r="W71" s="246"/>
    </row>
    <row r="72" spans="1:23">
      <c r="A72" s="276"/>
      <c r="B72" s="276"/>
      <c r="C72" s="291"/>
      <c r="D72" s="246"/>
      <c r="E72" s="246"/>
      <c r="F72" s="246"/>
      <c r="G72" s="246"/>
      <c r="H72" s="246"/>
      <c r="I72" s="246"/>
      <c r="J72" s="246"/>
      <c r="K72" s="246"/>
      <c r="L72" s="246"/>
      <c r="M72" s="246"/>
      <c r="N72" s="246"/>
      <c r="O72" s="246"/>
      <c r="P72" s="246"/>
      <c r="Q72" s="246"/>
      <c r="R72" s="246"/>
      <c r="S72" s="246"/>
      <c r="T72" s="246"/>
      <c r="U72" s="246"/>
      <c r="V72" s="246"/>
      <c r="W72" s="246"/>
    </row>
    <row r="73" spans="1:23">
      <c r="A73" s="276"/>
      <c r="B73" s="276"/>
      <c r="C73" s="285"/>
      <c r="D73" s="246"/>
      <c r="E73" s="246"/>
      <c r="F73" s="246"/>
      <c r="G73" s="246"/>
      <c r="H73" s="246"/>
      <c r="I73" s="246"/>
      <c r="J73" s="246"/>
      <c r="K73" s="246"/>
      <c r="L73" s="246"/>
      <c r="M73" s="246"/>
      <c r="N73" s="246"/>
      <c r="O73" s="246"/>
      <c r="P73" s="246"/>
      <c r="Q73" s="246"/>
      <c r="R73" s="246"/>
      <c r="S73" s="246"/>
      <c r="T73" s="246"/>
      <c r="U73" s="246"/>
      <c r="V73" s="246"/>
      <c r="W73" s="246"/>
    </row>
    <row r="74" spans="1:23">
      <c r="A74" s="276"/>
      <c r="B74" s="276"/>
      <c r="C74" s="285"/>
      <c r="D74" s="246"/>
      <c r="E74" s="246"/>
      <c r="F74" s="246"/>
      <c r="G74" s="246"/>
      <c r="H74" s="246"/>
      <c r="I74" s="246"/>
      <c r="J74" s="246"/>
      <c r="K74" s="246"/>
      <c r="L74" s="246"/>
      <c r="M74" s="246"/>
      <c r="N74" s="246"/>
      <c r="O74" s="246"/>
      <c r="P74" s="246"/>
      <c r="Q74" s="246"/>
      <c r="R74" s="246"/>
      <c r="S74" s="246"/>
      <c r="T74" s="246"/>
      <c r="U74" s="246"/>
      <c r="V74" s="246"/>
      <c r="W74" s="246"/>
    </row>
    <row r="75" spans="1:23">
      <c r="A75" s="276"/>
      <c r="B75" s="276"/>
      <c r="C75" s="292"/>
      <c r="D75" s="246"/>
      <c r="E75" s="246"/>
      <c r="F75" s="246"/>
      <c r="G75" s="246"/>
      <c r="H75" s="246"/>
      <c r="I75" s="246"/>
      <c r="J75" s="246"/>
      <c r="K75" s="246"/>
      <c r="L75" s="246"/>
      <c r="M75" s="246"/>
      <c r="N75" s="246"/>
      <c r="O75" s="246"/>
      <c r="P75" s="246"/>
      <c r="Q75" s="246"/>
      <c r="R75" s="246"/>
      <c r="S75" s="246"/>
      <c r="T75" s="246"/>
      <c r="U75" s="246"/>
      <c r="V75" s="246"/>
      <c r="W75" s="246"/>
    </row>
    <row r="76" spans="1:23">
      <c r="A76" s="276"/>
      <c r="B76" s="276"/>
      <c r="C76" s="292"/>
      <c r="D76" s="292"/>
      <c r="E76" s="292"/>
      <c r="F76" s="292"/>
      <c r="G76" s="292"/>
      <c r="H76" s="292"/>
      <c r="I76" s="292"/>
      <c r="J76" s="292"/>
      <c r="K76" s="292"/>
      <c r="L76" s="292"/>
      <c r="M76" s="292"/>
      <c r="N76" s="292"/>
      <c r="O76" s="292"/>
      <c r="P76" s="292"/>
      <c r="Q76" s="292"/>
      <c r="R76" s="292"/>
      <c r="S76" s="292"/>
      <c r="T76" s="292"/>
      <c r="U76" s="292"/>
      <c r="V76" s="292"/>
      <c r="W76" s="292"/>
    </row>
    <row r="77" spans="1:23">
      <c r="A77" s="293"/>
      <c r="B77" s="293"/>
      <c r="C77" s="294"/>
      <c r="D77" s="292"/>
      <c r="E77" s="292"/>
      <c r="F77" s="292"/>
      <c r="G77" s="292"/>
      <c r="H77" s="292"/>
      <c r="I77" s="292"/>
      <c r="J77" s="292"/>
      <c r="K77" s="292"/>
      <c r="L77" s="292"/>
      <c r="M77" s="292"/>
      <c r="N77" s="292"/>
      <c r="O77" s="292"/>
      <c r="P77" s="292"/>
      <c r="Q77" s="292"/>
      <c r="R77" s="292"/>
      <c r="S77" s="292"/>
      <c r="T77" s="292"/>
      <c r="U77" s="292"/>
      <c r="V77" s="292"/>
      <c r="W77" s="292"/>
    </row>
    <row r="78" spans="1:23">
      <c r="A78" s="276"/>
      <c r="B78" s="276"/>
      <c r="C78" s="285"/>
      <c r="D78" s="246"/>
      <c r="E78" s="246"/>
      <c r="F78" s="246"/>
      <c r="G78" s="246"/>
      <c r="H78" s="246"/>
      <c r="I78" s="246"/>
      <c r="J78" s="246"/>
      <c r="K78" s="246"/>
      <c r="L78" s="246"/>
      <c r="M78" s="246"/>
      <c r="N78" s="246"/>
      <c r="O78" s="246"/>
      <c r="P78" s="246"/>
      <c r="Q78" s="246"/>
      <c r="R78" s="246"/>
      <c r="S78" s="246"/>
      <c r="T78" s="246"/>
      <c r="U78" s="246"/>
      <c r="V78" s="246"/>
      <c r="W78" s="246"/>
    </row>
    <row r="79" spans="1:23">
      <c r="A79" s="276"/>
      <c r="B79" s="276"/>
      <c r="C79" s="285"/>
      <c r="D79" s="246"/>
      <c r="E79" s="246"/>
      <c r="F79" s="246"/>
      <c r="G79" s="246"/>
      <c r="H79" s="246"/>
      <c r="I79" s="246"/>
      <c r="J79" s="246"/>
      <c r="K79" s="246"/>
      <c r="L79" s="246"/>
      <c r="M79" s="246"/>
      <c r="N79" s="246"/>
      <c r="O79" s="246"/>
      <c r="P79" s="246"/>
      <c r="Q79" s="246"/>
      <c r="R79" s="246"/>
      <c r="S79" s="246"/>
      <c r="T79" s="246"/>
      <c r="U79" s="246"/>
      <c r="V79" s="246"/>
      <c r="W79" s="246"/>
    </row>
    <row r="80" spans="1:23">
      <c r="A80" s="293"/>
      <c r="B80" s="293"/>
      <c r="C80" s="295"/>
      <c r="D80" s="246"/>
      <c r="E80" s="246"/>
      <c r="F80" s="246"/>
      <c r="G80" s="246"/>
      <c r="H80" s="246"/>
      <c r="I80" s="246"/>
      <c r="J80" s="246"/>
      <c r="K80" s="246"/>
      <c r="L80" s="246"/>
      <c r="M80" s="246"/>
      <c r="N80" s="246"/>
      <c r="O80" s="246"/>
      <c r="P80" s="246"/>
      <c r="Q80" s="246"/>
      <c r="R80" s="246"/>
      <c r="S80" s="246"/>
      <c r="T80" s="246"/>
      <c r="U80" s="246"/>
      <c r="V80" s="246"/>
      <c r="W80" s="246"/>
    </row>
    <row r="81" spans="1:23">
      <c r="A81" s="293"/>
      <c r="B81" s="293"/>
      <c r="C81" s="295"/>
      <c r="D81" s="246"/>
      <c r="E81" s="246"/>
      <c r="F81" s="246"/>
      <c r="G81" s="246"/>
      <c r="H81" s="246"/>
      <c r="I81" s="246"/>
      <c r="J81" s="246"/>
      <c r="K81" s="246"/>
      <c r="L81" s="246"/>
      <c r="M81" s="246"/>
      <c r="N81" s="246"/>
      <c r="O81" s="246"/>
      <c r="P81" s="246"/>
      <c r="Q81" s="246"/>
      <c r="R81" s="246"/>
      <c r="S81" s="246"/>
      <c r="T81" s="246"/>
      <c r="U81" s="246"/>
      <c r="V81" s="246"/>
      <c r="W81" s="246"/>
    </row>
    <row r="83" spans="1:23">
      <c r="A83" s="276"/>
      <c r="B83" s="276"/>
      <c r="C83" s="246"/>
      <c r="D83" s="246"/>
      <c r="E83" s="246"/>
      <c r="F83" s="246"/>
      <c r="G83" s="246"/>
      <c r="H83" s="246"/>
      <c r="I83" s="246"/>
      <c r="J83" s="246"/>
      <c r="K83" s="246"/>
      <c r="L83" s="246"/>
      <c r="M83" s="246"/>
      <c r="N83" s="246"/>
      <c r="O83" s="246"/>
      <c r="P83" s="246"/>
      <c r="Q83" s="246"/>
      <c r="R83" s="246"/>
      <c r="S83" s="246"/>
      <c r="T83" s="246"/>
      <c r="U83" s="246"/>
      <c r="V83" s="246"/>
      <c r="W83" s="246"/>
    </row>
    <row r="84" spans="1:23">
      <c r="D84" s="246"/>
      <c r="E84" s="246"/>
      <c r="F84" s="246"/>
      <c r="G84" s="246"/>
      <c r="H84" s="246"/>
      <c r="I84" s="246"/>
      <c r="J84" s="246"/>
      <c r="K84" s="246"/>
      <c r="L84" s="246"/>
      <c r="M84" s="246"/>
      <c r="N84" s="246"/>
      <c r="O84" s="246"/>
      <c r="P84" s="246"/>
      <c r="Q84" s="246"/>
      <c r="R84" s="246"/>
      <c r="S84" s="246"/>
      <c r="T84" s="246"/>
      <c r="U84" s="246"/>
      <c r="V84" s="246"/>
      <c r="W84" s="246"/>
    </row>
    <row r="85" spans="1:23">
      <c r="A85" s="276"/>
      <c r="B85" s="276"/>
      <c r="C85" s="246"/>
      <c r="D85" s="246"/>
      <c r="E85" s="246"/>
      <c r="F85" s="246"/>
      <c r="G85" s="246"/>
      <c r="H85" s="246"/>
      <c r="I85" s="246"/>
      <c r="J85" s="246"/>
      <c r="K85" s="246"/>
      <c r="L85" s="246"/>
      <c r="M85" s="246"/>
      <c r="N85" s="246"/>
      <c r="O85" s="246"/>
      <c r="P85" s="246"/>
      <c r="Q85" s="246"/>
      <c r="R85" s="246"/>
      <c r="S85" s="246"/>
      <c r="T85" s="246"/>
      <c r="U85" s="246"/>
      <c r="V85" s="246"/>
      <c r="W85" s="246"/>
    </row>
    <row r="86" spans="1:23">
      <c r="A86" s="276"/>
      <c r="B86" s="276"/>
      <c r="C86" s="246"/>
      <c r="D86" s="246"/>
      <c r="E86" s="246"/>
      <c r="F86" s="246"/>
      <c r="G86" s="246"/>
      <c r="H86" s="246"/>
      <c r="I86" s="246"/>
      <c r="J86" s="246"/>
      <c r="K86" s="246"/>
      <c r="L86" s="246"/>
      <c r="M86" s="246"/>
      <c r="N86" s="246"/>
      <c r="O86" s="246"/>
      <c r="P86" s="246"/>
      <c r="Q86" s="246"/>
      <c r="R86" s="246"/>
      <c r="S86" s="246"/>
      <c r="T86" s="246"/>
      <c r="U86" s="246"/>
      <c r="V86" s="246"/>
      <c r="W86" s="246"/>
    </row>
    <row r="87" spans="1:23">
      <c r="A87" s="276"/>
      <c r="B87" s="276"/>
      <c r="C87" s="246"/>
      <c r="D87" s="246"/>
      <c r="E87" s="246"/>
      <c r="F87" s="246"/>
      <c r="G87" s="246"/>
      <c r="H87" s="246"/>
      <c r="I87" s="246"/>
      <c r="J87" s="246"/>
      <c r="K87" s="246"/>
      <c r="L87" s="246"/>
      <c r="M87" s="246"/>
      <c r="N87" s="246"/>
      <c r="O87" s="246"/>
      <c r="P87" s="246"/>
      <c r="Q87" s="246"/>
      <c r="R87" s="246"/>
      <c r="S87" s="246"/>
      <c r="T87" s="246"/>
      <c r="U87" s="246"/>
      <c r="V87" s="246"/>
      <c r="W87" s="246"/>
    </row>
    <row r="88" spans="1:23">
      <c r="A88" s="276"/>
      <c r="B88" s="276"/>
      <c r="C88" s="246"/>
      <c r="D88" s="246"/>
      <c r="E88" s="246"/>
      <c r="F88" s="246"/>
      <c r="G88" s="246"/>
      <c r="H88" s="246"/>
      <c r="I88" s="246"/>
      <c r="J88" s="246"/>
      <c r="K88" s="246"/>
      <c r="L88" s="246"/>
      <c r="M88" s="246"/>
      <c r="N88" s="246"/>
      <c r="O88" s="246"/>
      <c r="P88" s="246"/>
      <c r="Q88" s="246"/>
      <c r="R88" s="246"/>
      <c r="S88" s="246"/>
      <c r="T88" s="246"/>
      <c r="U88" s="246"/>
      <c r="V88" s="246"/>
      <c r="W88" s="246"/>
    </row>
    <row r="89" spans="1:23">
      <c r="A89" s="276"/>
      <c r="B89" s="276"/>
      <c r="C89" s="246"/>
      <c r="D89" s="246"/>
      <c r="E89" s="246"/>
      <c r="F89" s="246"/>
      <c r="G89" s="246"/>
      <c r="H89" s="246"/>
      <c r="I89" s="246"/>
      <c r="J89" s="246"/>
      <c r="K89" s="246"/>
      <c r="L89" s="246"/>
      <c r="M89" s="246"/>
      <c r="N89" s="246"/>
      <c r="O89" s="246"/>
      <c r="P89" s="246"/>
      <c r="Q89" s="246"/>
      <c r="R89" s="246"/>
      <c r="S89" s="246"/>
      <c r="T89" s="246"/>
      <c r="U89" s="246"/>
      <c r="V89" s="246"/>
      <c r="W89" s="246"/>
    </row>
    <row r="90" spans="1:23">
      <c r="A90" s="296"/>
      <c r="B90" s="296"/>
      <c r="C90" s="255"/>
      <c r="D90" s="255"/>
      <c r="E90" s="255"/>
      <c r="F90" s="255"/>
      <c r="G90" s="255"/>
      <c r="H90" s="255"/>
      <c r="I90" s="255"/>
      <c r="J90" s="255"/>
      <c r="K90" s="255"/>
      <c r="L90" s="255"/>
      <c r="M90" s="255"/>
      <c r="N90" s="255"/>
      <c r="O90" s="255"/>
      <c r="P90" s="255"/>
      <c r="Q90" s="255"/>
      <c r="R90" s="255"/>
      <c r="S90" s="255"/>
      <c r="T90" s="255"/>
      <c r="U90" s="255"/>
      <c r="V90" s="255"/>
      <c r="W90" s="255"/>
    </row>
    <row r="91" spans="1:23">
      <c r="A91" s="293"/>
      <c r="B91" s="293"/>
      <c r="C91" s="294"/>
      <c r="D91" s="246"/>
      <c r="E91" s="246"/>
      <c r="F91" s="246"/>
      <c r="G91" s="246"/>
      <c r="H91" s="246"/>
      <c r="I91" s="246"/>
      <c r="J91" s="246"/>
      <c r="K91" s="246"/>
      <c r="L91" s="246"/>
      <c r="M91" s="246"/>
      <c r="N91" s="246"/>
      <c r="O91" s="246"/>
      <c r="P91" s="246"/>
      <c r="Q91" s="246"/>
      <c r="R91" s="246"/>
      <c r="S91" s="246"/>
      <c r="T91" s="246"/>
      <c r="U91" s="246"/>
      <c r="V91" s="246"/>
      <c r="W91" s="246"/>
    </row>
    <row r="92" spans="1:23">
      <c r="A92" s="276"/>
      <c r="B92" s="276"/>
      <c r="C92" s="285"/>
      <c r="D92" s="246"/>
      <c r="E92" s="246"/>
      <c r="F92" s="246"/>
      <c r="G92" s="246"/>
      <c r="H92" s="246"/>
      <c r="I92" s="246"/>
      <c r="J92" s="246"/>
      <c r="K92" s="246"/>
      <c r="L92" s="246"/>
      <c r="M92" s="246"/>
      <c r="N92" s="246"/>
      <c r="O92" s="246"/>
      <c r="P92" s="246"/>
      <c r="Q92" s="246"/>
      <c r="R92" s="246"/>
      <c r="S92" s="246"/>
      <c r="T92" s="246"/>
      <c r="U92" s="246"/>
      <c r="V92" s="246"/>
      <c r="W92" s="246"/>
    </row>
    <row r="93" spans="1:23">
      <c r="A93" s="276"/>
      <c r="B93" s="276"/>
      <c r="C93" s="285"/>
      <c r="D93" s="246"/>
      <c r="E93" s="246"/>
      <c r="F93" s="246"/>
      <c r="G93" s="246"/>
      <c r="H93" s="246"/>
      <c r="I93" s="246"/>
      <c r="J93" s="246"/>
      <c r="K93" s="246"/>
      <c r="L93" s="246"/>
      <c r="M93" s="246"/>
      <c r="N93" s="246"/>
      <c r="O93" s="246"/>
      <c r="P93" s="246"/>
      <c r="Q93" s="246"/>
      <c r="R93" s="246"/>
      <c r="S93" s="246"/>
      <c r="T93" s="246"/>
      <c r="U93" s="246"/>
      <c r="V93" s="246"/>
      <c r="W93" s="246"/>
    </row>
    <row r="94" spans="1:23">
      <c r="A94" s="293"/>
      <c r="B94" s="293"/>
      <c r="C94" s="295"/>
      <c r="D94" s="246"/>
      <c r="E94" s="246"/>
      <c r="F94" s="246"/>
      <c r="G94" s="246"/>
      <c r="H94" s="246"/>
      <c r="I94" s="246"/>
      <c r="J94" s="246"/>
      <c r="K94" s="246"/>
      <c r="L94" s="246"/>
      <c r="M94" s="246"/>
      <c r="N94" s="246"/>
      <c r="O94" s="246"/>
      <c r="P94" s="246"/>
      <c r="Q94" s="246"/>
      <c r="R94" s="246"/>
      <c r="S94" s="246"/>
      <c r="T94" s="246"/>
      <c r="U94" s="246"/>
      <c r="V94" s="246"/>
      <c r="W94" s="246"/>
    </row>
    <row r="95" spans="1:23">
      <c r="C95" s="246"/>
      <c r="D95" s="246"/>
      <c r="E95" s="246"/>
      <c r="F95" s="246"/>
      <c r="G95" s="246"/>
      <c r="H95" s="246"/>
      <c r="I95" s="246"/>
      <c r="J95" s="246"/>
      <c r="K95" s="246"/>
      <c r="L95" s="246"/>
      <c r="M95" s="246"/>
      <c r="N95" s="246"/>
      <c r="O95" s="246"/>
      <c r="P95" s="246"/>
      <c r="Q95" s="246"/>
      <c r="R95" s="246"/>
      <c r="S95" s="246"/>
      <c r="T95" s="246"/>
      <c r="U95" s="246"/>
      <c r="V95" s="246"/>
      <c r="W95" s="246"/>
    </row>
    <row r="96" spans="1:23">
      <c r="A96" s="276"/>
      <c r="B96" s="276"/>
      <c r="C96" s="246"/>
      <c r="D96" s="246"/>
      <c r="E96" s="246"/>
      <c r="F96" s="246"/>
      <c r="G96" s="246"/>
      <c r="H96" s="246"/>
      <c r="I96" s="246"/>
      <c r="J96" s="246"/>
      <c r="K96" s="246"/>
      <c r="L96" s="246"/>
      <c r="M96" s="246"/>
      <c r="N96" s="246"/>
      <c r="O96" s="246"/>
      <c r="P96" s="246"/>
      <c r="Q96" s="246"/>
      <c r="R96" s="246"/>
      <c r="S96" s="246"/>
      <c r="T96" s="246"/>
      <c r="U96" s="246"/>
      <c r="V96" s="246"/>
      <c r="W96" s="246"/>
    </row>
    <row r="97" spans="1:23">
      <c r="A97" s="296"/>
      <c r="B97" s="296"/>
      <c r="C97" s="285"/>
      <c r="D97" s="246"/>
      <c r="E97" s="246"/>
      <c r="F97" s="246"/>
      <c r="G97" s="246"/>
      <c r="H97" s="246"/>
      <c r="I97" s="246"/>
      <c r="J97" s="246"/>
      <c r="K97" s="246"/>
      <c r="L97" s="246"/>
      <c r="M97" s="246"/>
      <c r="N97" s="246"/>
      <c r="O97" s="246"/>
      <c r="P97" s="246"/>
      <c r="Q97" s="246"/>
      <c r="R97" s="246"/>
      <c r="S97" s="246"/>
      <c r="T97" s="246"/>
      <c r="U97" s="246"/>
      <c r="V97" s="246"/>
      <c r="W97" s="246"/>
    </row>
    <row r="98" spans="1:23">
      <c r="C98" s="246"/>
      <c r="D98" s="246"/>
      <c r="E98" s="246"/>
      <c r="F98" s="246"/>
      <c r="G98" s="246"/>
      <c r="H98" s="246"/>
      <c r="I98" s="246"/>
      <c r="J98" s="246"/>
      <c r="K98" s="246"/>
      <c r="L98" s="246"/>
      <c r="M98" s="246"/>
      <c r="N98" s="246"/>
      <c r="O98" s="246"/>
      <c r="P98" s="246"/>
      <c r="Q98" s="246"/>
      <c r="R98" s="246"/>
      <c r="S98" s="246"/>
      <c r="T98" s="246"/>
      <c r="U98" s="246"/>
      <c r="V98" s="246"/>
      <c r="W98" s="246"/>
    </row>
    <row r="99" spans="1:23">
      <c r="C99" s="246"/>
      <c r="D99" s="246"/>
      <c r="E99" s="246"/>
      <c r="F99" s="246"/>
      <c r="G99" s="246"/>
      <c r="H99" s="246"/>
      <c r="I99" s="246"/>
      <c r="J99" s="246"/>
      <c r="K99" s="246"/>
      <c r="L99" s="246"/>
      <c r="M99" s="246"/>
      <c r="N99" s="246"/>
      <c r="O99" s="246"/>
      <c r="P99" s="246"/>
      <c r="Q99" s="246"/>
      <c r="R99" s="246"/>
      <c r="S99" s="246"/>
      <c r="T99" s="246"/>
      <c r="U99" s="246"/>
      <c r="V99" s="246"/>
      <c r="W99" s="246"/>
    </row>
  </sheetData>
  <pageMargins left="0.2" right="0.28000000000000003" top="0.4" bottom="0.45" header="0.2" footer="0.23"/>
  <pageSetup paperSize="9" scale="49" fitToHeight="5" orientation="landscape" r:id="rId1"/>
  <headerFooter alignWithMargins="0">
    <oddHeader>&amp;LNUON Confidential!</oddHeader>
    <oddFooter>&amp;L&amp;P of &amp;N&amp;R&amp;F - &amp;A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81"/>
  <sheetViews>
    <sheetView zoomScale="91" zoomScaleNormal="91" workbookViewId="0">
      <pane ySplit="4" topLeftCell="A5" activePane="bottomLeft" state="frozen"/>
      <selection pane="bottomLeft" sqref="A1:XFD2"/>
    </sheetView>
  </sheetViews>
  <sheetFormatPr defaultColWidth="8.88671875" defaultRowHeight="15"/>
  <cols>
    <col min="1" max="1" width="45.5546875" style="72" customWidth="1"/>
    <col min="2" max="3" width="8.88671875" style="72" customWidth="1"/>
    <col min="4" max="4" width="11" style="72" customWidth="1"/>
    <col min="5" max="5" width="8.88671875" style="72" customWidth="1"/>
    <col min="6" max="6" width="8.88671875" style="72"/>
    <col min="7" max="7" width="9.109375" style="72" customWidth="1"/>
    <col min="8" max="8" width="8.88671875" style="72"/>
    <col min="9" max="9" width="8.88671875" style="441"/>
    <col min="10" max="16384" width="8.88671875" style="72"/>
  </cols>
  <sheetData>
    <row r="1" spans="1:30" s="1" customFormat="1" ht="20.25">
      <c r="A1" s="2" t="s">
        <v>576</v>
      </c>
      <c r="B1" s="2"/>
      <c r="C1" s="3"/>
    </row>
    <row r="2" spans="1:30" s="1" customFormat="1" ht="15.75">
      <c r="A2" s="702" t="s">
        <v>595</v>
      </c>
      <c r="B2" s="9"/>
    </row>
    <row r="3" spans="1:30" s="1" customFormat="1" ht="15.75">
      <c r="A3" s="702"/>
      <c r="B3" s="9"/>
    </row>
    <row r="4" spans="1:30" ht="21">
      <c r="A4" s="85" t="s">
        <v>195</v>
      </c>
      <c r="B4" s="72">
        <v>2006</v>
      </c>
      <c r="C4" s="72">
        <v>2007</v>
      </c>
      <c r="D4" s="441">
        <v>2008</v>
      </c>
      <c r="E4" s="72">
        <v>2009</v>
      </c>
      <c r="F4" s="72">
        <v>2010</v>
      </c>
      <c r="G4" s="72">
        <v>2011</v>
      </c>
      <c r="H4" s="72">
        <v>2012</v>
      </c>
      <c r="I4" s="562">
        <v>2013</v>
      </c>
      <c r="J4" s="71">
        <v>2014</v>
      </c>
      <c r="K4" s="71">
        <v>2015</v>
      </c>
      <c r="L4" s="71">
        <v>2016</v>
      </c>
      <c r="M4" s="71">
        <v>2017</v>
      </c>
      <c r="N4" s="71">
        <v>2018</v>
      </c>
      <c r="O4" s="71">
        <v>2019</v>
      </c>
      <c r="P4" s="71">
        <v>2020</v>
      </c>
      <c r="Q4" s="71">
        <v>2021</v>
      </c>
      <c r="R4" s="71">
        <v>2022</v>
      </c>
      <c r="S4" s="71">
        <v>2023</v>
      </c>
      <c r="T4" s="71">
        <v>2024</v>
      </c>
      <c r="U4" s="71">
        <v>2025</v>
      </c>
      <c r="V4" s="71">
        <v>2026</v>
      </c>
      <c r="W4" s="71">
        <v>2027</v>
      </c>
      <c r="X4" s="71">
        <v>2028</v>
      </c>
      <c r="Y4" s="71">
        <v>2029</v>
      </c>
      <c r="Z4" s="71">
        <v>2030</v>
      </c>
      <c r="AA4" s="71">
        <v>2031</v>
      </c>
      <c r="AB4" s="71">
        <v>2032</v>
      </c>
      <c r="AC4" s="71">
        <v>2033</v>
      </c>
      <c r="AD4" s="72" t="s">
        <v>451</v>
      </c>
    </row>
    <row r="5" spans="1:30">
      <c r="D5" s="441"/>
    </row>
    <row r="6" spans="1:30" s="88" customFormat="1">
      <c r="A6" s="80" t="s">
        <v>68</v>
      </c>
      <c r="C6" s="89"/>
      <c r="D6" s="442"/>
      <c r="E6" s="89"/>
      <c r="F6" s="89"/>
      <c r="I6" s="560"/>
    </row>
    <row r="7" spans="1:30">
      <c r="A7" s="87" t="s">
        <v>146</v>
      </c>
      <c r="C7" s="86"/>
      <c r="D7" s="443"/>
      <c r="E7" s="527">
        <f t="shared" ref="E7:Y7" si="0">(E8-D8)/D8</f>
        <v>2.8606460148357993E-2</v>
      </c>
      <c r="F7" s="527">
        <f t="shared" si="0"/>
        <v>2.8606460148357993E-2</v>
      </c>
      <c r="G7" s="527">
        <f t="shared" si="0"/>
        <v>2.8606460148357937E-2</v>
      </c>
      <c r="H7" s="527">
        <f t="shared" si="0"/>
        <v>2.8606460148357948E-2</v>
      </c>
      <c r="I7" s="526">
        <f t="shared" si="0"/>
        <v>2.8606460148358E-2</v>
      </c>
      <c r="J7" s="527">
        <f t="shared" si="0"/>
        <v>2.8606460148358041E-2</v>
      </c>
      <c r="K7" s="527">
        <f t="shared" si="0"/>
        <v>2.8606460148358055E-2</v>
      </c>
      <c r="L7" s="527">
        <f t="shared" si="0"/>
        <v>2.8606460148357993E-2</v>
      </c>
      <c r="M7" s="527">
        <f t="shared" si="0"/>
        <v>2.8606460148357948E-2</v>
      </c>
      <c r="N7" s="527">
        <f t="shared" si="0"/>
        <v>2.8606460148357944E-2</v>
      </c>
      <c r="O7" s="527">
        <f t="shared" si="0"/>
        <v>2.8606460148357962E-2</v>
      </c>
      <c r="P7" s="527">
        <f t="shared" si="0"/>
        <v>2.8606460148357937E-2</v>
      </c>
      <c r="Q7" s="527">
        <f t="shared" si="0"/>
        <v>2.8606460148358003E-2</v>
      </c>
      <c r="R7" s="527">
        <f t="shared" si="0"/>
        <v>2.8606460148358052E-2</v>
      </c>
      <c r="S7" s="527">
        <f t="shared" si="0"/>
        <v>2.8606460148358055E-2</v>
      </c>
      <c r="T7" s="527">
        <f t="shared" si="0"/>
        <v>2.8606460148358014E-2</v>
      </c>
      <c r="U7" s="527">
        <f t="shared" si="0"/>
        <v>2.8606460148358E-2</v>
      </c>
      <c r="V7" s="527">
        <f t="shared" si="0"/>
        <v>2.8606460148357948E-2</v>
      </c>
      <c r="W7" s="527">
        <f t="shared" si="0"/>
        <v>2.8606460148358041E-2</v>
      </c>
      <c r="X7" s="527">
        <f t="shared" si="0"/>
        <v>2.8606460148357944E-2</v>
      </c>
      <c r="Y7" s="527">
        <f t="shared" si="0"/>
        <v>2.8606460148358038E-2</v>
      </c>
      <c r="Z7" s="527">
        <f>(Z8-Y8)/Y8</f>
        <v>2.8606460148357896E-2</v>
      </c>
      <c r="AA7" s="527">
        <f>(AA8-Z8)/Z8</f>
        <v>2.8606460148358027E-2</v>
      </c>
      <c r="AB7" s="527">
        <f>(AB8-AA8)/AA8</f>
        <v>2.8606460148358031E-2</v>
      </c>
      <c r="AC7" s="527">
        <f>(AC8-AB8)/AB8</f>
        <v>2.8606460148358073E-2</v>
      </c>
    </row>
    <row r="8" spans="1:30">
      <c r="A8" s="72" t="s">
        <v>69</v>
      </c>
      <c r="B8" s="74"/>
      <c r="C8" s="74"/>
      <c r="D8" s="524">
        <v>18589</v>
      </c>
      <c r="E8" s="523">
        <f>D8*(1+$AD$8)</f>
        <v>19120.765487697827</v>
      </c>
      <c r="F8" s="523">
        <f t="shared" ref="F8:AA8" si="1">E8*(1+$AD$8)</f>
        <v>19667.742903627754</v>
      </c>
      <c r="G8" s="523">
        <f t="shared" si="1"/>
        <v>20230.36740720853</v>
      </c>
      <c r="H8" s="523">
        <f t="shared" si="1"/>
        <v>20809.086606229481</v>
      </c>
      <c r="I8" s="524">
        <f t="shared" si="1"/>
        <v>21404.360912954315</v>
      </c>
      <c r="J8" s="523">
        <f t="shared" si="1"/>
        <v>22016.663910411815</v>
      </c>
      <c r="K8" s="523">
        <f t="shared" si="1"/>
        <v>22646.482729164803</v>
      </c>
      <c r="L8" s="523">
        <f t="shared" si="1"/>
        <v>23294.318434857134</v>
      </c>
      <c r="M8" s="523">
        <f t="shared" si="1"/>
        <v>23960.686426847034</v>
      </c>
      <c r="N8" s="523">
        <f t="shared" si="1"/>
        <v>24646.116848243935</v>
      </c>
      <c r="O8" s="523">
        <f t="shared" si="1"/>
        <v>25351.155007674999</v>
      </c>
      <c r="P8" s="523">
        <f t="shared" si="1"/>
        <v>26076.361813116899</v>
      </c>
      <c r="Q8" s="523">
        <f t="shared" si="1"/>
        <v>26822.314218137992</v>
      </c>
      <c r="R8" s="523">
        <f t="shared" si="1"/>
        <v>27589.605680905894</v>
      </c>
      <c r="S8" s="523">
        <f t="shared" si="1"/>
        <v>28378.846636325641</v>
      </c>
      <c r="T8" s="523">
        <f t="shared" si="1"/>
        <v>29190.664981684055</v>
      </c>
      <c r="U8" s="523">
        <f t="shared" si="1"/>
        <v>30025.706576186669</v>
      </c>
      <c r="V8" s="523">
        <f t="shared" si="1"/>
        <v>30884.635754784642</v>
      </c>
      <c r="W8" s="523">
        <f t="shared" si="1"/>
        <v>31768.135856700443</v>
      </c>
      <c r="X8" s="523">
        <f t="shared" si="1"/>
        <v>32676.909769072765</v>
      </c>
      <c r="Y8" s="523">
        <f t="shared" si="1"/>
        <v>33611.680486153236</v>
      </c>
      <c r="Z8" s="523">
        <f t="shared" si="1"/>
        <v>34573.191684499718</v>
      </c>
      <c r="AA8" s="523">
        <f t="shared" si="1"/>
        <v>35562.208314623902</v>
      </c>
      <c r="AB8" s="523">
        <f>AA8*(1+$AD$8)</f>
        <v>36579.517209563797</v>
      </c>
      <c r="AC8" s="523">
        <f>AB8*(1+$AD$8)</f>
        <v>37625.927710865362</v>
      </c>
      <c r="AD8" s="525">
        <v>2.860646014835791E-2</v>
      </c>
    </row>
    <row r="9" spans="1:30">
      <c r="A9" s="72" t="s">
        <v>70</v>
      </c>
      <c r="B9" s="74"/>
      <c r="C9" s="74"/>
      <c r="D9" s="524">
        <v>7436</v>
      </c>
      <c r="E9" s="523">
        <f>D9*(1+$AD$9)</f>
        <v>7648.7176376631896</v>
      </c>
      <c r="F9" s="523">
        <f t="shared" ref="F9:AA9" si="2">E9*(1+$AD$9)</f>
        <v>7867.5203739510443</v>
      </c>
      <c r="G9" s="523">
        <f t="shared" si="2"/>
        <v>8092.5822819948698</v>
      </c>
      <c r="H9" s="523">
        <f t="shared" si="2"/>
        <v>8324.0824145420647</v>
      </c>
      <c r="I9" s="524">
        <f t="shared" si="2"/>
        <v>8562.2049464053107</v>
      </c>
      <c r="J9" s="523">
        <f t="shared" si="2"/>
        <v>8807.1393209867274</v>
      </c>
      <c r="K9" s="523">
        <f t="shared" si="2"/>
        <v>9059.0804009935709</v>
      </c>
      <c r="L9" s="523">
        <f t="shared" si="2"/>
        <v>9318.2286234653639</v>
      </c>
      <c r="M9" s="523">
        <f t="shared" si="2"/>
        <v>9584.7901592358139</v>
      </c>
      <c r="N9" s="523">
        <f t="shared" si="2"/>
        <v>9858.9770769563675</v>
      </c>
      <c r="O9" s="523">
        <f t="shared" si="2"/>
        <v>10141.007511811895</v>
      </c>
      <c r="P9" s="523">
        <f t="shared" si="2"/>
        <v>10431.10583906274</v>
      </c>
      <c r="Q9" s="523">
        <f t="shared" si="2"/>
        <v>10729.502852551193</v>
      </c>
      <c r="R9" s="523">
        <f t="shared" si="2"/>
        <v>11036.435948314393</v>
      </c>
      <c r="S9" s="523">
        <f t="shared" si="2"/>
        <v>11352.149313449754</v>
      </c>
      <c r="T9" s="523">
        <f t="shared" si="2"/>
        <v>11676.894120383164</v>
      </c>
      <c r="U9" s="523">
        <f t="shared" si="2"/>
        <v>12010.928726694501</v>
      </c>
      <c r="V9" s="523">
        <f t="shared" si="2"/>
        <v>12354.518880659456</v>
      </c>
      <c r="W9" s="523">
        <f t="shared" si="2"/>
        <v>12707.937932671177</v>
      </c>
      <c r="X9" s="523">
        <f t="shared" si="2"/>
        <v>13071.467052709942</v>
      </c>
      <c r="Y9" s="523">
        <f t="shared" si="2"/>
        <v>13445.395454033864</v>
      </c>
      <c r="Z9" s="523">
        <f t="shared" si="2"/>
        <v>13830.020623268598</v>
      </c>
      <c r="AA9" s="523">
        <f t="shared" si="2"/>
        <v>14225.648557079099</v>
      </c>
      <c r="AB9" s="523">
        <f>AA9*(1+$AD$9)</f>
        <v>14632.594005611729</v>
      </c>
      <c r="AC9" s="523">
        <f>AB9*(1+$AD$9)</f>
        <v>15051.180722900363</v>
      </c>
      <c r="AD9" s="525">
        <v>2.8606460148357923E-2</v>
      </c>
    </row>
    <row r="10" spans="1:30">
      <c r="A10" s="72" t="s">
        <v>71</v>
      </c>
      <c r="B10" s="74"/>
      <c r="C10" s="74"/>
      <c r="D10" s="524">
        <v>33600</v>
      </c>
      <c r="E10" s="523">
        <f>D10*(1+$AD$10)</f>
        <v>35034.509164014715</v>
      </c>
      <c r="F10" s="523">
        <f t="shared" ref="F10:AA10" si="3">E10*(1+$AD$10)</f>
        <v>36530.26286795926</v>
      </c>
      <c r="G10" s="523">
        <f t="shared" si="3"/>
        <v>38089.875869386466</v>
      </c>
      <c r="H10" s="523">
        <f t="shared" si="3"/>
        <v>39716.074559589382</v>
      </c>
      <c r="I10" s="524">
        <f t="shared" si="3"/>
        <v>41411.701729661487</v>
      </c>
      <c r="J10" s="523">
        <f t="shared" si="3"/>
        <v>43179.721540037783</v>
      </c>
      <c r="K10" s="523">
        <f t="shared" si="3"/>
        <v>45023.22470220409</v>
      </c>
      <c r="L10" s="523">
        <f t="shared" si="3"/>
        <v>46945.433881632831</v>
      </c>
      <c r="M10" s="523">
        <f t="shared" si="3"/>
        <v>48949.709331390251</v>
      </c>
      <c r="N10" s="523">
        <f t="shared" si="3"/>
        <v>51039.554766263347</v>
      </c>
      <c r="O10" s="523">
        <f t="shared" si="3"/>
        <v>53218.623487675126</v>
      </c>
      <c r="P10" s="523">
        <f t="shared" si="3"/>
        <v>55490.72477009533</v>
      </c>
      <c r="Q10" s="523">
        <f t="shared" si="3"/>
        <v>57859.830520110816</v>
      </c>
      <c r="R10" s="523">
        <f t="shared" si="3"/>
        <v>60330.082219796452</v>
      </c>
      <c r="S10" s="523">
        <f t="shared" si="3"/>
        <v>62905.798166524408</v>
      </c>
      <c r="T10" s="523">
        <f t="shared" si="3"/>
        <v>65591.481021867847</v>
      </c>
      <c r="U10" s="523">
        <f t="shared" si="3"/>
        <v>68391.825682795432</v>
      </c>
      <c r="V10" s="523">
        <f t="shared" si="3"/>
        <v>71311.727488916484</v>
      </c>
      <c r="W10" s="523">
        <f t="shared" si="3"/>
        <v>74356.290780123949</v>
      </c>
      <c r="X10" s="523">
        <f t="shared" si="3"/>
        <v>77530.837819595108</v>
      </c>
      <c r="Y10" s="523">
        <f t="shared" si="3"/>
        <v>80840.918097748319</v>
      </c>
      <c r="Z10" s="523">
        <f t="shared" si="3"/>
        <v>84292.318033420437</v>
      </c>
      <c r="AA10" s="523">
        <f t="shared" si="3"/>
        <v>87891.071089223551</v>
      </c>
      <c r="AB10" s="523">
        <f>AA10*(1+$AD$10)</f>
        <v>91643.468318764033</v>
      </c>
      <c r="AC10" s="523">
        <f>AB10*(1+$AD$10)</f>
        <v>95556.069364161638</v>
      </c>
      <c r="AD10" s="525">
        <v>4.269372511948568E-2</v>
      </c>
    </row>
    <row r="11" spans="1:30">
      <c r="A11" s="72" t="s">
        <v>73</v>
      </c>
      <c r="B11" s="74"/>
      <c r="C11" s="74"/>
      <c r="D11" s="524"/>
      <c r="E11" s="523"/>
      <c r="F11" s="523"/>
      <c r="G11" s="523"/>
      <c r="H11" s="523"/>
      <c r="I11" s="524"/>
      <c r="J11" s="523"/>
      <c r="K11" s="523"/>
      <c r="L11" s="523"/>
      <c r="M11" s="523"/>
      <c r="N11" s="523"/>
      <c r="O11" s="523"/>
      <c r="P11" s="523"/>
      <c r="Q11" s="523"/>
      <c r="R11" s="523"/>
      <c r="S11" s="523"/>
      <c r="T11" s="523"/>
      <c r="U11" s="523"/>
      <c r="V11" s="523"/>
      <c r="W11" s="523"/>
      <c r="X11" s="523"/>
      <c r="Y11" s="523"/>
      <c r="Z11" s="523"/>
      <c r="AA11" s="523"/>
      <c r="AB11" s="523"/>
      <c r="AC11" s="523"/>
      <c r="AD11" s="525">
        <v>4.269294007742569E-2</v>
      </c>
    </row>
    <row r="12" spans="1:30">
      <c r="A12" s="72" t="s">
        <v>75</v>
      </c>
      <c r="B12" s="74"/>
      <c r="C12" s="74"/>
      <c r="D12" s="524">
        <f t="shared" ref="D12:X12" si="4">SUM(D8:D11)</f>
        <v>59625</v>
      </c>
      <c r="E12" s="523">
        <f t="shared" si="4"/>
        <v>61803.992289375732</v>
      </c>
      <c r="F12" s="523">
        <f t="shared" si="4"/>
        <v>64065.526145538053</v>
      </c>
      <c r="G12" s="523">
        <f t="shared" si="4"/>
        <v>66412.825558589859</v>
      </c>
      <c r="H12" s="523">
        <f t="shared" si="4"/>
        <v>68849.243580360926</v>
      </c>
      <c r="I12" s="524">
        <f t="shared" si="4"/>
        <v>71378.26758902111</v>
      </c>
      <c r="J12" s="523">
        <f t="shared" si="4"/>
        <v>74003.524771436321</v>
      </c>
      <c r="K12" s="523">
        <f t="shared" si="4"/>
        <v>76728.787832362461</v>
      </c>
      <c r="L12" s="523">
        <f t="shared" si="4"/>
        <v>79557.980939955334</v>
      </c>
      <c r="M12" s="523">
        <f t="shared" si="4"/>
        <v>82495.185917473107</v>
      </c>
      <c r="N12" s="523">
        <f t="shared" si="4"/>
        <v>85544.648691463648</v>
      </c>
      <c r="O12" s="523">
        <f t="shared" si="4"/>
        <v>88710.786007162023</v>
      </c>
      <c r="P12" s="523">
        <f t="shared" si="4"/>
        <v>91998.192422274966</v>
      </c>
      <c r="Q12" s="523">
        <f>SUM(Q8:Q11)</f>
        <v>95411.647590799999</v>
      </c>
      <c r="R12" s="523">
        <f>SUM(R8:R11)</f>
        <v>98956.123849016731</v>
      </c>
      <c r="S12" s="523">
        <f t="shared" si="4"/>
        <v>102636.7941162998</v>
      </c>
      <c r="T12" s="523">
        <f t="shared" si="4"/>
        <v>106459.04012393506</v>
      </c>
      <c r="U12" s="523">
        <f t="shared" si="4"/>
        <v>110428.4609856766</v>
      </c>
      <c r="V12" s="523">
        <f t="shared" si="4"/>
        <v>114550.88212436058</v>
      </c>
      <c r="W12" s="523">
        <f t="shared" si="4"/>
        <v>118832.36456949558</v>
      </c>
      <c r="X12" s="523">
        <f t="shared" si="4"/>
        <v>123279.21464137782</v>
      </c>
      <c r="Y12" s="523">
        <f>SUM(Y8:Y11)</f>
        <v>127897.99403793542</v>
      </c>
      <c r="Z12" s="523">
        <f>SUM(Z8:Z11)</f>
        <v>132695.53034118874</v>
      </c>
      <c r="AA12" s="523">
        <f>SUM(AA8:AA11)</f>
        <v>137678.92796092655</v>
      </c>
      <c r="AB12" s="523">
        <f>SUM(AB8:AB11)</f>
        <v>142855.57953393954</v>
      </c>
      <c r="AC12" s="523">
        <f>SUM(AC8:AC11)</f>
        <v>148233.17779792735</v>
      </c>
      <c r="AD12" s="507"/>
    </row>
    <row r="13" spans="1:30">
      <c r="B13" s="74"/>
      <c r="C13" s="74"/>
      <c r="D13" s="444"/>
      <c r="E13" s="74"/>
      <c r="F13" s="74"/>
      <c r="G13" s="74"/>
      <c r="H13" s="74"/>
      <c r="I13" s="444"/>
      <c r="J13" s="74"/>
      <c r="K13" s="74"/>
      <c r="L13" s="74"/>
      <c r="M13" s="74"/>
      <c r="N13" s="74"/>
      <c r="O13" s="74"/>
      <c r="P13" s="74"/>
      <c r="Q13" s="74"/>
      <c r="R13" s="74"/>
      <c r="S13" s="74"/>
      <c r="T13" s="74"/>
      <c r="U13" s="74"/>
      <c r="V13" s="74"/>
      <c r="W13" s="74"/>
      <c r="X13" s="74"/>
      <c r="Y13" s="74"/>
      <c r="Z13" s="74"/>
      <c r="AA13" s="74"/>
    </row>
    <row r="14" spans="1:30">
      <c r="A14" s="87" t="s">
        <v>144</v>
      </c>
      <c r="B14" s="74"/>
      <c r="C14" s="74"/>
      <c r="D14" s="444"/>
      <c r="E14" s="74"/>
      <c r="F14" s="74"/>
      <c r="G14" s="74"/>
      <c r="H14" s="74"/>
      <c r="I14" s="444"/>
      <c r="J14" s="74"/>
      <c r="K14" s="74"/>
      <c r="L14" s="74"/>
      <c r="M14" s="74"/>
      <c r="N14" s="74"/>
      <c r="O14" s="74"/>
      <c r="P14" s="74"/>
      <c r="Q14" s="74"/>
      <c r="R14" s="74"/>
      <c r="S14" s="74"/>
      <c r="T14" s="74"/>
      <c r="U14" s="74"/>
      <c r="V14" s="74"/>
      <c r="W14" s="74"/>
      <c r="X14" s="74"/>
      <c r="Y14" s="74"/>
      <c r="Z14" s="74"/>
      <c r="AA14" s="74"/>
    </row>
    <row r="15" spans="1:30">
      <c r="A15" s="72" t="s">
        <v>69</v>
      </c>
      <c r="B15" s="86"/>
      <c r="C15" s="86"/>
      <c r="D15" s="526">
        <f>D8/D12</f>
        <v>0.31176519916142559</v>
      </c>
      <c r="E15" s="527">
        <f t="shared" ref="E15:Y15" si="5">E8/E12</f>
        <v>0.30937751396659752</v>
      </c>
      <c r="F15" s="527">
        <f t="shared" si="5"/>
        <v>0.30699416811076241</v>
      </c>
      <c r="G15" s="527">
        <f t="shared" si="5"/>
        <v>0.30461536965267588</v>
      </c>
      <c r="H15" s="527">
        <f t="shared" si="5"/>
        <v>0.30224132501820572</v>
      </c>
      <c r="I15" s="526">
        <f t="shared" si="5"/>
        <v>0.29987223893125953</v>
      </c>
      <c r="J15" s="527">
        <f t="shared" si="5"/>
        <v>0.29750831434599107</v>
      </c>
      <c r="K15" s="527">
        <f t="shared" si="5"/>
        <v>0.29514975238033192</v>
      </c>
      <c r="L15" s="527">
        <f t="shared" si="5"/>
        <v>0.29279675225089002</v>
      </c>
      <c r="M15" s="527">
        <f t="shared" si="5"/>
        <v>0.29044951120925927</v>
      </c>
      <c r="N15" s="527">
        <f t="shared" si="5"/>
        <v>0.28810822447977774</v>
      </c>
      <c r="O15" s="527">
        <f t="shared" si="5"/>
        <v>0.28577308519877487</v>
      </c>
      <c r="P15" s="527">
        <f t="shared" si="5"/>
        <v>0.28344428435534336</v>
      </c>
      <c r="Q15" s="527">
        <f t="shared" si="5"/>
        <v>0.28112201073366971</v>
      </c>
      <c r="R15" s="527">
        <f t="shared" si="5"/>
        <v>0.2788064508569576</v>
      </c>
      <c r="S15" s="527">
        <f t="shared" si="5"/>
        <v>0.27649778893297272</v>
      </c>
      <c r="T15" s="527">
        <f t="shared" si="5"/>
        <v>0.27419620680124046</v>
      </c>
      <c r="U15" s="527">
        <f t="shared" si="5"/>
        <v>0.27190188388192088</v>
      </c>
      <c r="V15" s="527">
        <f t="shared" si="5"/>
        <v>0.26961499712638759</v>
      </c>
      <c r="W15" s="527">
        <f t="shared" si="5"/>
        <v>0.26733572096953262</v>
      </c>
      <c r="X15" s="527">
        <f t="shared" si="5"/>
        <v>0.26506422728381807</v>
      </c>
      <c r="Y15" s="527">
        <f t="shared" si="5"/>
        <v>0.26280068533509432</v>
      </c>
      <c r="Z15" s="527">
        <f>Z8/Z12</f>
        <v>0.26054526174020037</v>
      </c>
      <c r="AA15" s="527">
        <f>AA8/AA12</f>
        <v>0.25829812042636258</v>
      </c>
      <c r="AB15" s="527">
        <f>AB8/AB12</f>
        <v>0.25605942259240394</v>
      </c>
      <c r="AC15" s="527">
        <f>AC8/AC12</f>
        <v>0.25382932667177471</v>
      </c>
    </row>
    <row r="16" spans="1:30">
      <c r="A16" s="72" t="s">
        <v>70</v>
      </c>
      <c r="B16" s="86"/>
      <c r="C16" s="86"/>
      <c r="D16" s="526">
        <f t="shared" ref="D16:Y16" si="6">D9/D12</f>
        <v>0.12471278825995807</v>
      </c>
      <c r="E16" s="527">
        <f t="shared" si="6"/>
        <v>0.12375766280357303</v>
      </c>
      <c r="F16" s="527">
        <f t="shared" si="6"/>
        <v>0.12280427317615951</v>
      </c>
      <c r="G16" s="527">
        <f t="shared" si="6"/>
        <v>0.12185270260569681</v>
      </c>
      <c r="H16" s="527">
        <f t="shared" si="6"/>
        <v>0.12090303366697391</v>
      </c>
      <c r="I16" s="526">
        <f t="shared" si="6"/>
        <v>0.11995534825395912</v>
      </c>
      <c r="J16" s="527">
        <f t="shared" si="6"/>
        <v>0.11900972755268115</v>
      </c>
      <c r="K16" s="527">
        <f t="shared" si="6"/>
        <v>0.11806625201464029</v>
      </c>
      <c r="L16" s="527">
        <f t="shared" si="6"/>
        <v>0.11712500133076649</v>
      </c>
      <c r="M16" s="527">
        <f t="shared" si="6"/>
        <v>0.11618605440594179</v>
      </c>
      <c r="N16" s="527">
        <f t="shared" si="6"/>
        <v>0.1152494893341023</v>
      </c>
      <c r="O16" s="527">
        <f t="shared" si="6"/>
        <v>0.11431538337393567</v>
      </c>
      <c r="P16" s="527">
        <f t="shared" si="6"/>
        <v>0.11338381292518873</v>
      </c>
      <c r="Q16" s="527">
        <f t="shared" si="6"/>
        <v>0.11245485350559839</v>
      </c>
      <c r="R16" s="527">
        <f t="shared" si="6"/>
        <v>0.11152857972845968</v>
      </c>
      <c r="S16" s="527">
        <f t="shared" si="6"/>
        <v>0.11060506528084273</v>
      </c>
      <c r="T16" s="527">
        <f t="shared" si="6"/>
        <v>0.1096843829024705</v>
      </c>
      <c r="U16" s="527">
        <f t="shared" si="6"/>
        <v>0.10876660436526783</v>
      </c>
      <c r="V16" s="527">
        <f t="shared" si="6"/>
        <v>0.10785180045359183</v>
      </c>
      <c r="W16" s="527">
        <f t="shared" si="6"/>
        <v>0.10694004094515276</v>
      </c>
      <c r="X16" s="527">
        <f t="shared" si="6"/>
        <v>0.1060313945926339</v>
      </c>
      <c r="Y16" s="527">
        <f t="shared" si="6"/>
        <v>0.10512592910601762</v>
      </c>
      <c r="Z16" s="527">
        <f>Z9/Z12</f>
        <v>0.10422371113562484</v>
      </c>
      <c r="AA16" s="527">
        <f>AA9/AA12</f>
        <v>0.10332480625587349</v>
      </c>
      <c r="AB16" s="527">
        <f>AB9/AB12</f>
        <v>0.10242927894976146</v>
      </c>
      <c r="AC16" s="527">
        <f>AC9/AC12</f>
        <v>0.10153719259407805</v>
      </c>
    </row>
    <row r="17" spans="1:29">
      <c r="A17" s="72" t="s">
        <v>71</v>
      </c>
      <c r="B17" s="86"/>
      <c r="C17" s="86"/>
      <c r="D17" s="526">
        <f t="shared" ref="D17:Y17" si="7">D10/D12</f>
        <v>0.56352201257861634</v>
      </c>
      <c r="E17" s="527">
        <f t="shared" si="7"/>
        <v>0.56686482322982945</v>
      </c>
      <c r="F17" s="527">
        <f t="shared" si="7"/>
        <v>0.5702015587130782</v>
      </c>
      <c r="G17" s="527">
        <f t="shared" si="7"/>
        <v>0.57353192774162742</v>
      </c>
      <c r="H17" s="527">
        <f t="shared" si="7"/>
        <v>0.57685564131482037</v>
      </c>
      <c r="I17" s="526">
        <f t="shared" si="7"/>
        <v>0.58017241281478138</v>
      </c>
      <c r="J17" s="527">
        <f t="shared" si="7"/>
        <v>0.58348195810132786</v>
      </c>
      <c r="K17" s="527">
        <f t="shared" si="7"/>
        <v>0.58678399560502792</v>
      </c>
      <c r="L17" s="527">
        <f t="shared" si="7"/>
        <v>0.59007824641834339</v>
      </c>
      <c r="M17" s="527">
        <f t="shared" si="7"/>
        <v>0.5933644343847988</v>
      </c>
      <c r="N17" s="527">
        <f t="shared" si="7"/>
        <v>0.59664228618611992</v>
      </c>
      <c r="O17" s="527">
        <f t="shared" si="7"/>
        <v>0.59991153142728937</v>
      </c>
      <c r="P17" s="527">
        <f t="shared" si="7"/>
        <v>0.60317190271946797</v>
      </c>
      <c r="Q17" s="527">
        <f t="shared" si="7"/>
        <v>0.60642313576073192</v>
      </c>
      <c r="R17" s="527">
        <f t="shared" si="7"/>
        <v>0.60966496941458281</v>
      </c>
      <c r="S17" s="527">
        <f t="shared" si="7"/>
        <v>0.61289714578618448</v>
      </c>
      <c r="T17" s="527">
        <f t="shared" si="7"/>
        <v>0.61611941029628903</v>
      </c>
      <c r="U17" s="527">
        <f t="shared" si="7"/>
        <v>0.61933151175281131</v>
      </c>
      <c r="V17" s="527">
        <f t="shared" si="7"/>
        <v>0.62253320242002064</v>
      </c>
      <c r="W17" s="527">
        <f t="shared" si="7"/>
        <v>0.62572423808531452</v>
      </c>
      <c r="X17" s="527">
        <f t="shared" si="7"/>
        <v>0.62890437812354794</v>
      </c>
      <c r="Y17" s="527">
        <f t="shared" si="7"/>
        <v>0.63207338555888803</v>
      </c>
      <c r="Z17" s="527">
        <f>Z10/Z12</f>
        <v>0.6352310271241749</v>
      </c>
      <c r="AA17" s="527">
        <f>AA10/AA12</f>
        <v>0.63837707331776394</v>
      </c>
      <c r="AB17" s="527">
        <f>AB10/AB12</f>
        <v>0.64151129845783472</v>
      </c>
      <c r="AC17" s="527">
        <f>AC10/AC12</f>
        <v>0.64463348073414739</v>
      </c>
    </row>
    <row r="18" spans="1:29">
      <c r="A18" s="72" t="s">
        <v>73</v>
      </c>
      <c r="B18" s="86"/>
      <c r="C18" s="86"/>
      <c r="D18" s="526">
        <f>D11/D33</f>
        <v>0</v>
      </c>
      <c r="E18" s="527">
        <f>E11/E33</f>
        <v>0</v>
      </c>
      <c r="F18" s="527">
        <f t="shared" ref="F18:Y18" si="8">F11/F12</f>
        <v>0</v>
      </c>
      <c r="G18" s="527">
        <f t="shared" si="8"/>
        <v>0</v>
      </c>
      <c r="H18" s="527">
        <f t="shared" si="8"/>
        <v>0</v>
      </c>
      <c r="I18" s="526">
        <f t="shared" si="8"/>
        <v>0</v>
      </c>
      <c r="J18" s="527">
        <f t="shared" si="8"/>
        <v>0</v>
      </c>
      <c r="K18" s="527">
        <f t="shared" si="8"/>
        <v>0</v>
      </c>
      <c r="L18" s="527">
        <f t="shared" si="8"/>
        <v>0</v>
      </c>
      <c r="M18" s="527">
        <f t="shared" si="8"/>
        <v>0</v>
      </c>
      <c r="N18" s="527">
        <f t="shared" si="8"/>
        <v>0</v>
      </c>
      <c r="O18" s="527">
        <f t="shared" si="8"/>
        <v>0</v>
      </c>
      <c r="P18" s="527">
        <f t="shared" si="8"/>
        <v>0</v>
      </c>
      <c r="Q18" s="527">
        <f t="shared" si="8"/>
        <v>0</v>
      </c>
      <c r="R18" s="527">
        <f t="shared" si="8"/>
        <v>0</v>
      </c>
      <c r="S18" s="527">
        <f t="shared" si="8"/>
        <v>0</v>
      </c>
      <c r="T18" s="527">
        <f t="shared" si="8"/>
        <v>0</v>
      </c>
      <c r="U18" s="527">
        <f t="shared" si="8"/>
        <v>0</v>
      </c>
      <c r="V18" s="527">
        <f t="shared" si="8"/>
        <v>0</v>
      </c>
      <c r="W18" s="527">
        <f t="shared" si="8"/>
        <v>0</v>
      </c>
      <c r="X18" s="527">
        <f t="shared" si="8"/>
        <v>0</v>
      </c>
      <c r="Y18" s="527">
        <f t="shared" si="8"/>
        <v>0</v>
      </c>
      <c r="Z18" s="527">
        <f>Z11/Z12</f>
        <v>0</v>
      </c>
      <c r="AA18" s="527">
        <f>AA11/AA12</f>
        <v>0</v>
      </c>
      <c r="AB18" s="527">
        <f>AB11/AB12</f>
        <v>0</v>
      </c>
      <c r="AC18" s="527">
        <f>AC11/AC12</f>
        <v>0</v>
      </c>
    </row>
    <row r="19" spans="1:29">
      <c r="B19" s="86"/>
      <c r="C19" s="86"/>
      <c r="D19" s="443"/>
      <c r="E19" s="86"/>
      <c r="F19" s="86"/>
      <c r="G19" s="86"/>
      <c r="H19" s="86"/>
      <c r="I19" s="443"/>
      <c r="J19" s="86"/>
      <c r="K19" s="86"/>
      <c r="L19" s="86"/>
      <c r="M19" s="86"/>
      <c r="N19" s="86"/>
      <c r="O19" s="86"/>
      <c r="P19" s="86"/>
      <c r="Q19" s="86"/>
      <c r="R19" s="86"/>
      <c r="S19" s="86"/>
      <c r="T19" s="86"/>
      <c r="U19" s="86"/>
      <c r="V19" s="86"/>
      <c r="W19" s="86"/>
      <c r="X19" s="86"/>
      <c r="Y19" s="86"/>
      <c r="Z19" s="86"/>
      <c r="AA19" s="86"/>
      <c r="AB19" s="86"/>
      <c r="AC19" s="86"/>
    </row>
    <row r="20" spans="1:29" ht="17.25">
      <c r="A20" s="87" t="s">
        <v>173</v>
      </c>
      <c r="B20" s="86"/>
      <c r="C20" s="86"/>
      <c r="D20" s="443"/>
      <c r="E20" s="86"/>
      <c r="F20" s="86"/>
      <c r="G20" s="86"/>
      <c r="H20" s="86"/>
      <c r="I20" s="443"/>
      <c r="J20" s="86"/>
      <c r="K20" s="86"/>
      <c r="L20" s="86"/>
      <c r="M20" s="86"/>
      <c r="N20" s="86"/>
      <c r="O20" s="86"/>
      <c r="P20" s="86"/>
      <c r="Q20" s="86"/>
      <c r="R20" s="86"/>
      <c r="S20" s="86"/>
      <c r="T20" s="86"/>
      <c r="U20" s="86"/>
      <c r="V20" s="86"/>
      <c r="W20" s="86"/>
      <c r="X20" s="86"/>
      <c r="Y20" s="86"/>
      <c r="Z20" s="86"/>
      <c r="AA20" s="86"/>
      <c r="AB20" s="86"/>
      <c r="AC20" s="86"/>
    </row>
    <row r="21" spans="1:29">
      <c r="A21" s="72" t="s">
        <v>69</v>
      </c>
      <c r="B21" s="86"/>
      <c r="C21" s="405">
        <v>8</v>
      </c>
      <c r="D21" s="405">
        <v>8</v>
      </c>
      <c r="E21" s="108">
        <f>D21*(1+E7)</f>
        <v>8.2288516811868639</v>
      </c>
      <c r="F21" s="108">
        <f t="shared" ref="F21:Y21" si="9">E21*(1+F7)</f>
        <v>8.4642499988714839</v>
      </c>
      <c r="G21" s="108">
        <f t="shared" si="9"/>
        <v>8.7063822291499395</v>
      </c>
      <c r="H21" s="108">
        <f t="shared" si="9"/>
        <v>8.9554410054244897</v>
      </c>
      <c r="I21" s="561">
        <f t="shared" si="9"/>
        <v>9.2116244716571369</v>
      </c>
      <c r="J21" s="108">
        <f t="shared" si="9"/>
        <v>9.4751364400072369</v>
      </c>
      <c r="K21" s="108">
        <f t="shared" si="9"/>
        <v>9.7461865529785587</v>
      </c>
      <c r="L21" s="108">
        <f t="shared" si="9"/>
        <v>10.024990450204802</v>
      </c>
      <c r="M21" s="108">
        <f t="shared" si="9"/>
        <v>10.311769940006256</v>
      </c>
      <c r="N21" s="108">
        <f t="shared" si="9"/>
        <v>10.606753175854081</v>
      </c>
      <c r="O21" s="108">
        <f t="shared" si="9"/>
        <v>10.91017483788262</v>
      </c>
      <c r="P21" s="108">
        <f t="shared" si="9"/>
        <v>11.222276319594126</v>
      </c>
      <c r="Q21" s="108">
        <f t="shared" si="9"/>
        <v>11.543305919904457</v>
      </c>
      <c r="R21" s="108">
        <f t="shared" si="9"/>
        <v>11.873519040682508</v>
      </c>
      <c r="S21" s="108">
        <f t="shared" si="9"/>
        <v>12.213178389940563</v>
      </c>
      <c r="T21" s="108">
        <f t="shared" si="9"/>
        <v>12.562554190837185</v>
      </c>
      <c r="U21" s="108">
        <f t="shared" si="9"/>
        <v>12.921924396658957</v>
      </c>
      <c r="V21" s="108">
        <f t="shared" si="9"/>
        <v>13.291574911952077</v>
      </c>
      <c r="W21" s="108">
        <f t="shared" si="9"/>
        <v>13.67179981997975</v>
      </c>
      <c r="X21" s="108">
        <f t="shared" si="9"/>
        <v>14.062901616686329</v>
      </c>
      <c r="Y21" s="108">
        <f t="shared" si="9"/>
        <v>14.465191451354345</v>
      </c>
      <c r="Z21" s="108">
        <f>Y21*(1+Z7)</f>
        <v>14.878989374145881</v>
      </c>
      <c r="AA21" s="108">
        <f>Z21*(1+AA7)</f>
        <v>15.304624590725227</v>
      </c>
      <c r="AB21" s="108">
        <f>AA21*(1+AB7)</f>
        <v>15.742435724165388</v>
      </c>
      <c r="AC21" s="108">
        <f>AB21*(1+AC7)</f>
        <v>16.192771084346813</v>
      </c>
    </row>
    <row r="22" spans="1:29">
      <c r="A22" s="72" t="s">
        <v>70</v>
      </c>
      <c r="B22" s="86"/>
      <c r="C22" s="405">
        <v>4</v>
      </c>
      <c r="D22" s="405">
        <v>4</v>
      </c>
      <c r="E22" s="108">
        <f t="shared" ref="E22:Y22" si="10">D22*(1+E7)</f>
        <v>4.114425840593432</v>
      </c>
      <c r="F22" s="108">
        <f t="shared" si="10"/>
        <v>4.2321249994357419</v>
      </c>
      <c r="G22" s="108">
        <f t="shared" si="10"/>
        <v>4.3531911145749698</v>
      </c>
      <c r="H22" s="108">
        <f t="shared" si="10"/>
        <v>4.4777205027122449</v>
      </c>
      <c r="I22" s="561">
        <f t="shared" si="10"/>
        <v>4.6058122358285685</v>
      </c>
      <c r="J22" s="108">
        <f t="shared" si="10"/>
        <v>4.7375682200036184</v>
      </c>
      <c r="K22" s="108">
        <f t="shared" si="10"/>
        <v>4.8730932764892794</v>
      </c>
      <c r="L22" s="108">
        <f t="shared" si="10"/>
        <v>5.0124952251024011</v>
      </c>
      <c r="M22" s="108">
        <f t="shared" si="10"/>
        <v>5.155884970003128</v>
      </c>
      <c r="N22" s="108">
        <f t="shared" si="10"/>
        <v>5.3033765879270405</v>
      </c>
      <c r="O22" s="108">
        <f t="shared" si="10"/>
        <v>5.4550874189413099</v>
      </c>
      <c r="P22" s="108">
        <f t="shared" si="10"/>
        <v>5.6111381597970631</v>
      </c>
      <c r="Q22" s="108">
        <f t="shared" si="10"/>
        <v>5.7716529599522284</v>
      </c>
      <c r="R22" s="108">
        <f t="shared" si="10"/>
        <v>5.936759520341254</v>
      </c>
      <c r="S22" s="108">
        <f t="shared" si="10"/>
        <v>6.1065891949702813</v>
      </c>
      <c r="T22" s="108">
        <f t="shared" si="10"/>
        <v>6.2812770954185924</v>
      </c>
      <c r="U22" s="108">
        <f t="shared" si="10"/>
        <v>6.4609621983294785</v>
      </c>
      <c r="V22" s="108">
        <f t="shared" si="10"/>
        <v>6.6457874559760386</v>
      </c>
      <c r="W22" s="108">
        <f t="shared" si="10"/>
        <v>6.835899909989875</v>
      </c>
      <c r="X22" s="108">
        <f t="shared" si="10"/>
        <v>7.0314508083431644</v>
      </c>
      <c r="Y22" s="108">
        <f t="shared" si="10"/>
        <v>7.2325957256771725</v>
      </c>
      <c r="Z22" s="108">
        <f>Y22*(1+Z7)</f>
        <v>7.4394946870729406</v>
      </c>
      <c r="AA22" s="108">
        <f>Z22*(1+AA7)</f>
        <v>7.6523122953626137</v>
      </c>
      <c r="AB22" s="108">
        <f>AA22*(1+AB7)</f>
        <v>7.8712178620826938</v>
      </c>
      <c r="AC22" s="108">
        <f>AB22*(1+AC7)</f>
        <v>8.0963855421734063</v>
      </c>
    </row>
    <row r="23" spans="1:29">
      <c r="B23" s="86"/>
      <c r="C23" s="86"/>
      <c r="D23" s="443"/>
      <c r="E23" s="86"/>
      <c r="F23" s="86"/>
      <c r="G23" s="86"/>
      <c r="H23" s="86"/>
      <c r="I23" s="443"/>
      <c r="J23" s="86"/>
      <c r="K23" s="86"/>
      <c r="L23" s="86"/>
      <c r="M23" s="86"/>
      <c r="N23" s="86"/>
      <c r="O23" s="86"/>
      <c r="P23" s="86"/>
      <c r="Q23" s="86"/>
      <c r="R23" s="86"/>
      <c r="S23" s="86"/>
      <c r="T23" s="86"/>
      <c r="U23" s="86"/>
      <c r="V23" s="86"/>
      <c r="W23" s="86"/>
      <c r="X23" s="86"/>
      <c r="Y23" s="86"/>
      <c r="Z23" s="86"/>
      <c r="AA23" s="86"/>
      <c r="AB23" s="86"/>
      <c r="AC23" s="86"/>
    </row>
    <row r="24" spans="1:29">
      <c r="A24" s="87" t="s">
        <v>145</v>
      </c>
      <c r="B24" s="74"/>
      <c r="C24" s="74"/>
      <c r="D24" s="444"/>
      <c r="E24" s="74"/>
      <c r="F24" s="74"/>
      <c r="G24" s="74"/>
      <c r="H24" s="74"/>
      <c r="I24" s="444"/>
      <c r="J24" s="74"/>
      <c r="K24" s="74"/>
      <c r="L24" s="74"/>
      <c r="M24" s="74"/>
      <c r="N24" s="74"/>
      <c r="O24" s="74"/>
      <c r="P24" s="74"/>
      <c r="Q24" s="74"/>
      <c r="R24" s="74"/>
      <c r="S24" s="74"/>
      <c r="T24" s="74"/>
      <c r="U24" s="74"/>
      <c r="V24" s="74"/>
      <c r="W24" s="74"/>
      <c r="X24" s="74"/>
      <c r="Y24" s="74"/>
      <c r="Z24" s="74"/>
      <c r="AA24" s="74"/>
      <c r="AB24" s="74"/>
      <c r="AC24" s="74"/>
    </row>
    <row r="25" spans="1:29">
      <c r="A25" s="72" t="s">
        <v>252</v>
      </c>
      <c r="B25" s="74"/>
      <c r="C25" s="74"/>
      <c r="D25" s="524">
        <f>$F$60</f>
        <v>2821</v>
      </c>
      <c r="E25" s="523">
        <f>(E8/$E$74)*E15+(E9/$E$75)*E16+(E10/$E$76)*E17</f>
        <v>2924.2019851635396</v>
      </c>
      <c r="F25" s="523">
        <f>(F8/$E$74)*F15+(F9/$E$75)*F16+(F10/$E$76)*F17</f>
        <v>3031.6169851670197</v>
      </c>
      <c r="G25" s="523">
        <f t="shared" ref="G25:AA25" si="11">(G8/$E$74)*G15+(G9/$E$75)*G16+(G10/$E$76)*G17</f>
        <v>3143.402965982682</v>
      </c>
      <c r="H25" s="523">
        <f t="shared" si="11"/>
        <v>3259.7496366981841</v>
      </c>
      <c r="I25" s="524">
        <f t="shared" si="11"/>
        <v>3380.8551546138624</v>
      </c>
      <c r="J25" s="523">
        <f t="shared" si="11"/>
        <v>3506.9265018175697</v>
      </c>
      <c r="K25" s="523">
        <f t="shared" si="11"/>
        <v>3638.1798783848017</v>
      </c>
      <c r="L25" s="523">
        <f t="shared" si="11"/>
        <v>3774.8411129301912</v>
      </c>
      <c r="M25" s="523">
        <f t="shared" si="11"/>
        <v>3917.1460912679377</v>
      </c>
      <c r="N25" s="523">
        <f t="shared" si="11"/>
        <v>4065.3412039715181</v>
      </c>
      <c r="O25" s="523">
        <f t="shared" si="11"/>
        <v>4219.6838136573151</v>
      </c>
      <c r="P25" s="523">
        <f t="shared" si="11"/>
        <v>4380.4427428524705</v>
      </c>
      <c r="Q25" s="523">
        <f t="shared" si="11"/>
        <v>4547.8987833445462</v>
      </c>
      <c r="R25" s="523">
        <f t="shared" si="11"/>
        <v>4722.3452279494259</v>
      </c>
      <c r="S25" s="523">
        <f t="shared" si="11"/>
        <v>4904.0884256744366</v>
      </c>
      <c r="T25" s="523">
        <f t="shared" si="11"/>
        <v>5093.448361295942</v>
      </c>
      <c r="U25" s="523">
        <f t="shared" si="11"/>
        <v>5290.7592604147603</v>
      </c>
      <c r="V25" s="523">
        <f t="shared" si="11"/>
        <v>5496.3702210987858</v>
      </c>
      <c r="W25" s="523">
        <f t="shared" si="11"/>
        <v>5710.6458732701594</v>
      </c>
      <c r="X25" s="523">
        <f t="shared" si="11"/>
        <v>5933.9670670444048</v>
      </c>
      <c r="Y25" s="523">
        <f t="shared" si="11"/>
        <v>6166.7315912811337</v>
      </c>
      <c r="Z25" s="523">
        <f t="shared" si="11"/>
        <v>6409.3549236604322</v>
      </c>
      <c r="AA25" s="523">
        <f t="shared" si="11"/>
        <v>6662.271013655788</v>
      </c>
      <c r="AB25" s="523">
        <f>(AB8/$E$74)*AB15+(AB9/$E$75)*AB16+(AB10/$E$76)*AB17</f>
        <v>6925.9330998337282</v>
      </c>
      <c r="AC25" s="523">
        <f>(AC8/$E$74)*AC15+(AC9/$E$75)*AC16+(AC10/$E$76)*AC17</f>
        <v>7200.8145629720848</v>
      </c>
    </row>
    <row r="26" spans="1:29">
      <c r="B26" s="74"/>
      <c r="C26" s="74"/>
      <c r="D26" s="444"/>
      <c r="E26" s="74"/>
      <c r="F26" s="74"/>
      <c r="G26" s="74"/>
      <c r="H26" s="74"/>
      <c r="I26" s="444"/>
      <c r="J26" s="74"/>
      <c r="K26" s="74"/>
      <c r="L26" s="74"/>
      <c r="M26" s="74"/>
      <c r="N26" s="74"/>
      <c r="O26" s="74"/>
      <c r="P26" s="74"/>
      <c r="Q26" s="74"/>
      <c r="R26" s="74"/>
      <c r="S26" s="74"/>
      <c r="T26" s="74"/>
      <c r="U26" s="74"/>
      <c r="V26" s="74"/>
      <c r="W26" s="74"/>
      <c r="X26" s="74"/>
      <c r="Y26" s="74"/>
    </row>
    <row r="27" spans="1:29" s="94" customFormat="1">
      <c r="A27" s="92" t="s">
        <v>72</v>
      </c>
      <c r="B27" s="93"/>
      <c r="C27" s="93"/>
      <c r="D27" s="445"/>
      <c r="E27" s="93"/>
      <c r="F27" s="93"/>
      <c r="G27" s="93"/>
      <c r="H27" s="93"/>
      <c r="I27" s="445"/>
      <c r="J27" s="93"/>
      <c r="K27" s="93"/>
      <c r="L27" s="93"/>
      <c r="M27" s="93"/>
      <c r="N27" s="93"/>
      <c r="O27" s="93"/>
      <c r="P27" s="93"/>
      <c r="Q27" s="93"/>
      <c r="R27" s="93"/>
      <c r="S27" s="93"/>
      <c r="T27" s="93"/>
      <c r="U27" s="93"/>
      <c r="V27" s="93"/>
      <c r="W27" s="93"/>
      <c r="X27" s="93"/>
      <c r="Y27" s="93"/>
    </row>
    <row r="28" spans="1:29">
      <c r="A28" s="87" t="s">
        <v>146</v>
      </c>
      <c r="B28" s="74"/>
      <c r="C28" s="86"/>
      <c r="D28" s="526"/>
      <c r="E28" s="527">
        <f>(E29-D29)/D29</f>
        <v>2.8606460148357993E-2</v>
      </c>
      <c r="F28" s="527">
        <f t="shared" ref="F28:Y28" si="12">(F29-E29)/E29</f>
        <v>2.8606460148357993E-2</v>
      </c>
      <c r="G28" s="527">
        <f t="shared" si="12"/>
        <v>2.8606460148357937E-2</v>
      </c>
      <c r="H28" s="527">
        <f t="shared" si="12"/>
        <v>2.8606460148357948E-2</v>
      </c>
      <c r="I28" s="526">
        <f t="shared" si="12"/>
        <v>1.9778046450533361E-2</v>
      </c>
      <c r="J28" s="527">
        <f t="shared" si="12"/>
        <v>3.1724206500032145E-3</v>
      </c>
      <c r="K28" s="527">
        <f t="shared" si="12"/>
        <v>2.9876701181790456E-2</v>
      </c>
      <c r="L28" s="527">
        <f t="shared" si="12"/>
        <v>2.983365350285035E-2</v>
      </c>
      <c r="M28" s="527">
        <f t="shared" si="12"/>
        <v>2.9791913079936901E-2</v>
      </c>
      <c r="N28" s="527">
        <f t="shared" si="12"/>
        <v>2.9751444491524028E-2</v>
      </c>
      <c r="O28" s="527">
        <f t="shared" si="12"/>
        <v>2.9712213342797424E-2</v>
      </c>
      <c r="P28" s="527">
        <f t="shared" si="12"/>
        <v>2.967418621566514E-2</v>
      </c>
      <c r="Q28" s="527">
        <f t="shared" si="12"/>
        <v>2.9637330622171647E-2</v>
      </c>
      <c r="R28" s="527">
        <f t="shared" si="12"/>
        <v>2.9601614961113513E-2</v>
      </c>
      <c r="S28" s="527">
        <f t="shared" si="12"/>
        <v>2.9567008477667595E-2</v>
      </c>
      <c r="T28" s="527">
        <f t="shared" si="12"/>
        <v>2.9533481225865913E-2</v>
      </c>
      <c r="U28" s="527">
        <f t="shared" si="12"/>
        <v>2.9501004033733735E-2</v>
      </c>
      <c r="V28" s="527">
        <f t="shared" si="12"/>
        <v>2.946954847093413E-2</v>
      </c>
      <c r="W28" s="527">
        <f t="shared" si="12"/>
        <v>2.9439086818761718E-2</v>
      </c>
      <c r="X28" s="527">
        <f t="shared" si="12"/>
        <v>2.9409592042328646E-2</v>
      </c>
      <c r="Y28" s="527">
        <f t="shared" si="12"/>
        <v>2.9381037764810713E-2</v>
      </c>
      <c r="Z28" s="527">
        <f>(Z29-Y29)/Y29</f>
        <v>2.9353398243600805E-2</v>
      </c>
      <c r="AA28" s="527">
        <f>(AA29-Z29)/Z29</f>
        <v>2.9326648348248247E-2</v>
      </c>
      <c r="AB28" s="527">
        <f>(AB29-AA29)/AA29</f>
        <v>2.930076354004971E-2</v>
      </c>
      <c r="AC28" s="527">
        <f>(AC29-AB29)/AB29</f>
        <v>3.3491398758097285E-2</v>
      </c>
    </row>
    <row r="29" spans="1:29">
      <c r="A29" s="72" t="s">
        <v>69</v>
      </c>
      <c r="B29" s="74"/>
      <c r="C29" s="74"/>
      <c r="D29" s="524">
        <f t="shared" ref="D29:H32" si="13">D8</f>
        <v>18589</v>
      </c>
      <c r="E29" s="523">
        <f t="shared" si="13"/>
        <v>19120.765487697827</v>
      </c>
      <c r="F29" s="523">
        <f t="shared" si="13"/>
        <v>19667.742903627754</v>
      </c>
      <c r="G29" s="523">
        <f t="shared" si="13"/>
        <v>20230.36740720853</v>
      </c>
      <c r="H29" s="523">
        <f t="shared" si="13"/>
        <v>20809.086606229481</v>
      </c>
      <c r="I29" s="524">
        <f t="shared" ref="I29:AA29" si="14">I$33*I15</f>
        <v>21220.649687720659</v>
      </c>
      <c r="J29" s="523">
        <f t="shared" si="14"/>
        <v>21287.970514996468</v>
      </c>
      <c r="K29" s="523">
        <f t="shared" si="14"/>
        <v>21923.984848839784</v>
      </c>
      <c r="L29" s="523">
        <f t="shared" si="14"/>
        <v>22578.057416221811</v>
      </c>
      <c r="M29" s="523">
        <f t="shared" si="14"/>
        <v>23250.700940279716</v>
      </c>
      <c r="N29" s="523">
        <f t="shared" si="14"/>
        <v>23942.442878693473</v>
      </c>
      <c r="O29" s="523">
        <f t="shared" si="14"/>
        <v>24653.825849452955</v>
      </c>
      <c r="P29" s="523">
        <f t="shared" si="14"/>
        <v>25385.4080686382</v>
      </c>
      <c r="Q29" s="523">
        <f t="shared" si="14"/>
        <v>26137.763800547174</v>
      </c>
      <c r="R29" s="523">
        <f t="shared" si="14"/>
        <v>26911.483820515503</v>
      </c>
      <c r="S29" s="523">
        <f t="shared" si="14"/>
        <v>27707.175890783299</v>
      </c>
      <c r="T29" s="523">
        <f t="shared" si="14"/>
        <v>28525.465249775512</v>
      </c>
      <c r="U29" s="523">
        <f t="shared" si="14"/>
        <v>29366.995115173271</v>
      </c>
      <c r="V29" s="523">
        <f t="shared" si="14"/>
        <v>30232.427201165556</v>
      </c>
      <c r="W29" s="523">
        <f t="shared" si="14"/>
        <v>31122.442250282562</v>
      </c>
      <c r="X29" s="523">
        <f t="shared" si="14"/>
        <v>32037.740580224305</v>
      </c>
      <c r="Y29" s="523">
        <f t="shared" si="14"/>
        <v>32979.042646111084</v>
      </c>
      <c r="Z29" s="523">
        <f t="shared" si="14"/>
        <v>33947.089618595077</v>
      </c>
      <c r="AA29" s="523">
        <f t="shared" si="14"/>
        <v>34942.643978286083</v>
      </c>
      <c r="AB29" s="523">
        <f t="shared" ref="AB29:AC32" si="15">AB$33*AB15</f>
        <v>35966.490126957986</v>
      </c>
      <c r="AC29" s="523">
        <f t="shared" si="15"/>
        <v>37171.058189729105</v>
      </c>
    </row>
    <row r="30" spans="1:29">
      <c r="A30" s="72" t="s">
        <v>70</v>
      </c>
      <c r="B30" s="74"/>
      <c r="C30" s="74"/>
      <c r="D30" s="524">
        <f t="shared" si="13"/>
        <v>7436</v>
      </c>
      <c r="E30" s="523">
        <f t="shared" si="13"/>
        <v>7648.7176376631896</v>
      </c>
      <c r="F30" s="523">
        <f t="shared" ref="F30:H32" si="16">F9</f>
        <v>7867.5203739510443</v>
      </c>
      <c r="G30" s="523">
        <f t="shared" si="16"/>
        <v>8092.5822819948698</v>
      </c>
      <c r="H30" s="523">
        <f t="shared" si="16"/>
        <v>8324.0824145420647</v>
      </c>
      <c r="I30" s="524">
        <f t="shared" ref="I30:AA30" si="17">I$33*I16</f>
        <v>8488.7165031949444</v>
      </c>
      <c r="J30" s="523">
        <f t="shared" si="17"/>
        <v>8515.6462827217038</v>
      </c>
      <c r="K30" s="523">
        <f t="shared" si="17"/>
        <v>8770.0657020804047</v>
      </c>
      <c r="L30" s="523">
        <f t="shared" si="17"/>
        <v>9031.7088034335029</v>
      </c>
      <c r="M30" s="523">
        <f t="shared" si="17"/>
        <v>9300.7806870686945</v>
      </c>
      <c r="N30" s="523">
        <f t="shared" si="17"/>
        <v>9577.4923474078587</v>
      </c>
      <c r="O30" s="523">
        <f t="shared" si="17"/>
        <v>9862.06084332305</v>
      </c>
      <c r="P30" s="523">
        <f t="shared" si="17"/>
        <v>10154.709473258037</v>
      </c>
      <c r="Q30" s="523">
        <f t="shared" si="17"/>
        <v>10455.667955289086</v>
      </c>
      <c r="R30" s="523">
        <f t="shared" si="17"/>
        <v>10765.172612262808</v>
      </c>
      <c r="S30" s="523">
        <f t="shared" si="17"/>
        <v>11083.466562153137</v>
      </c>
      <c r="T30" s="523">
        <f t="shared" si="17"/>
        <v>11410.799913783996</v>
      </c>
      <c r="U30" s="523">
        <f t="shared" si="17"/>
        <v>11747.429968068667</v>
      </c>
      <c r="V30" s="523">
        <f t="shared" si="17"/>
        <v>12093.621424921574</v>
      </c>
      <c r="W30" s="523">
        <f t="shared" si="17"/>
        <v>12449.646596003075</v>
      </c>
      <c r="X30" s="523">
        <f t="shared" si="17"/>
        <v>12815.785623462691</v>
      </c>
      <c r="Y30" s="523">
        <f t="shared" si="17"/>
        <v>13192.326704851366</v>
      </c>
      <c r="Z30" s="523">
        <f t="shared" si="17"/>
        <v>13579.566324378558</v>
      </c>
      <c r="AA30" s="523">
        <f t="shared" si="17"/>
        <v>13977.809490695321</v>
      </c>
      <c r="AB30" s="523">
        <f t="shared" si="15"/>
        <v>14387.369981390049</v>
      </c>
      <c r="AC30" s="523">
        <f t="shared" si="15"/>
        <v>14869.223126517061</v>
      </c>
    </row>
    <row r="31" spans="1:29">
      <c r="A31" s="72" t="s">
        <v>71</v>
      </c>
      <c r="B31" s="74"/>
      <c r="C31" s="74"/>
      <c r="D31" s="524">
        <f t="shared" si="13"/>
        <v>33600</v>
      </c>
      <c r="E31" s="523">
        <f t="shared" si="13"/>
        <v>35034.509164014715</v>
      </c>
      <c r="F31" s="523">
        <f t="shared" si="16"/>
        <v>36530.26286795926</v>
      </c>
      <c r="G31" s="523">
        <f t="shared" si="16"/>
        <v>38089.875869386466</v>
      </c>
      <c r="H31" s="523">
        <f t="shared" si="16"/>
        <v>39716.074559589382</v>
      </c>
      <c r="I31" s="524">
        <f t="shared" ref="I31:AA31" si="18">I$33*I17</f>
        <v>41056.269745744481</v>
      </c>
      <c r="J31" s="523">
        <f t="shared" si="18"/>
        <v>41750.586861408323</v>
      </c>
      <c r="K31" s="523">
        <f t="shared" si="18"/>
        <v>43586.834565962425</v>
      </c>
      <c r="L31" s="523">
        <f t="shared" si="18"/>
        <v>45501.940937790372</v>
      </c>
      <c r="M31" s="523">
        <f t="shared" si="18"/>
        <v>47499.267445967642</v>
      </c>
      <c r="N31" s="523">
        <f t="shared" si="18"/>
        <v>49582.318872771117</v>
      </c>
      <c r="O31" s="523">
        <f t="shared" si="18"/>
        <v>51754.749439050465</v>
      </c>
      <c r="P31" s="523">
        <f t="shared" si="18"/>
        <v>54020.369191409969</v>
      </c>
      <c r="Q31" s="523">
        <f t="shared" si="18"/>
        <v>56383.150662356718</v>
      </c>
      <c r="R31" s="523">
        <f t="shared" si="18"/>
        <v>58847.235815046741</v>
      </c>
      <c r="S31" s="523">
        <f t="shared" si="18"/>
        <v>61416.943284756169</v>
      </c>
      <c r="T31" s="523">
        <f t="shared" si="18"/>
        <v>64096.775929722542</v>
      </c>
      <c r="U31" s="523">
        <f t="shared" si="18"/>
        <v>66891.428704540231</v>
      </c>
      <c r="V31" s="523">
        <f t="shared" si="18"/>
        <v>69805.796869857164</v>
      </c>
      <c r="W31" s="523">
        <f t="shared" si="18"/>
        <v>72844.98455270649</v>
      </c>
      <c r="X31" s="523">
        <f t="shared" si="18"/>
        <v>76014.313672419041</v>
      </c>
      <c r="Y31" s="523">
        <f t="shared" si="18"/>
        <v>79319.333247700342</v>
      </c>
      <c r="Z31" s="523">
        <f t="shared" si="18"/>
        <v>82765.829101122159</v>
      </c>
      <c r="AA31" s="523">
        <f t="shared" si="18"/>
        <v>86359.833977971866</v>
      </c>
      <c r="AB31" s="523">
        <f t="shared" si="15"/>
        <v>90107.638097127288</v>
      </c>
      <c r="AC31" s="523">
        <f t="shared" si="15"/>
        <v>94400.86745532506</v>
      </c>
    </row>
    <row r="32" spans="1:29">
      <c r="A32" s="72" t="s">
        <v>73</v>
      </c>
      <c r="B32" s="74"/>
      <c r="C32" s="74"/>
      <c r="D32" s="524">
        <f t="shared" si="13"/>
        <v>0</v>
      </c>
      <c r="E32" s="523">
        <f t="shared" si="13"/>
        <v>0</v>
      </c>
      <c r="F32" s="523">
        <f t="shared" si="16"/>
        <v>0</v>
      </c>
      <c r="G32" s="523">
        <f t="shared" si="16"/>
        <v>0</v>
      </c>
      <c r="H32" s="523">
        <f t="shared" si="16"/>
        <v>0</v>
      </c>
      <c r="I32" s="524">
        <f t="shared" ref="I32:AA32" si="19">I$33*I18</f>
        <v>0</v>
      </c>
      <c r="J32" s="523">
        <f t="shared" si="19"/>
        <v>0</v>
      </c>
      <c r="K32" s="523">
        <f t="shared" si="19"/>
        <v>0</v>
      </c>
      <c r="L32" s="523">
        <f t="shared" si="19"/>
        <v>0</v>
      </c>
      <c r="M32" s="523">
        <f t="shared" si="19"/>
        <v>0</v>
      </c>
      <c r="N32" s="523">
        <f t="shared" si="19"/>
        <v>0</v>
      </c>
      <c r="O32" s="523">
        <f t="shared" si="19"/>
        <v>0</v>
      </c>
      <c r="P32" s="523">
        <f t="shared" si="19"/>
        <v>0</v>
      </c>
      <c r="Q32" s="523">
        <f t="shared" si="19"/>
        <v>0</v>
      </c>
      <c r="R32" s="523">
        <f t="shared" si="19"/>
        <v>0</v>
      </c>
      <c r="S32" s="523">
        <f t="shared" si="19"/>
        <v>0</v>
      </c>
      <c r="T32" s="523">
        <f t="shared" si="19"/>
        <v>0</v>
      </c>
      <c r="U32" s="523">
        <f t="shared" si="19"/>
        <v>0</v>
      </c>
      <c r="V32" s="523">
        <f t="shared" si="19"/>
        <v>0</v>
      </c>
      <c r="W32" s="523">
        <f t="shared" si="19"/>
        <v>0</v>
      </c>
      <c r="X32" s="523">
        <f t="shared" si="19"/>
        <v>0</v>
      </c>
      <c r="Y32" s="523">
        <f t="shared" si="19"/>
        <v>0</v>
      </c>
      <c r="Z32" s="523">
        <f t="shared" si="19"/>
        <v>0</v>
      </c>
      <c r="AA32" s="523">
        <f t="shared" si="19"/>
        <v>0</v>
      </c>
      <c r="AB32" s="523">
        <f t="shared" si="15"/>
        <v>0</v>
      </c>
      <c r="AC32" s="523">
        <f t="shared" si="15"/>
        <v>0</v>
      </c>
    </row>
    <row r="33" spans="1:29">
      <c r="A33" s="72" t="s">
        <v>75</v>
      </c>
      <c r="B33" s="74"/>
      <c r="C33" s="74"/>
      <c r="D33" s="524">
        <f>SUM(D29:D32)</f>
        <v>59625</v>
      </c>
      <c r="E33" s="523">
        <f>SUM(E29:E32)</f>
        <v>61803.992289375732</v>
      </c>
      <c r="F33" s="523">
        <f>SUM(F29:F32)</f>
        <v>64065.526145538053</v>
      </c>
      <c r="G33" s="523">
        <f>SUM(G29:G32)</f>
        <v>66412.825558589859</v>
      </c>
      <c r="H33" s="523">
        <f>SUM(H29:H32)</f>
        <v>68849.243580360926</v>
      </c>
      <c r="I33" s="524">
        <f>I40*I62</f>
        <v>70765.635936660081</v>
      </c>
      <c r="J33" s="524">
        <f t="shared" ref="J33:AC33" si="20">J40*J62</f>
        <v>71554.203659126491</v>
      </c>
      <c r="K33" s="524">
        <f t="shared" si="20"/>
        <v>74280.885116882608</v>
      </c>
      <c r="L33" s="524">
        <f t="shared" si="20"/>
        <v>77111.707157445693</v>
      </c>
      <c r="M33" s="524">
        <f t="shared" si="20"/>
        <v>80050.749073316067</v>
      </c>
      <c r="N33" s="524">
        <f t="shared" si="20"/>
        <v>83102.25409887245</v>
      </c>
      <c r="O33" s="524">
        <f t="shared" si="20"/>
        <v>86270.636131826483</v>
      </c>
      <c r="P33" s="524">
        <f t="shared" si="20"/>
        <v>89560.486733306199</v>
      </c>
      <c r="Q33" s="524">
        <f t="shared" si="20"/>
        <v>92976.582418192978</v>
      </c>
      <c r="R33" s="524">
        <f t="shared" si="20"/>
        <v>96523.892247825046</v>
      </c>
      <c r="S33" s="524">
        <f t="shared" si="20"/>
        <v>100207.58573769261</v>
      </c>
      <c r="T33" s="524">
        <f t="shared" si="20"/>
        <v>104033.04109328205</v>
      </c>
      <c r="U33" s="524">
        <f t="shared" si="20"/>
        <v>108005.85378778217</v>
      </c>
      <c r="V33" s="524">
        <f t="shared" si="20"/>
        <v>112131.84549594429</v>
      </c>
      <c r="W33" s="524">
        <f t="shared" si="20"/>
        <v>116417.07339899214</v>
      </c>
      <c r="X33" s="524">
        <f t="shared" si="20"/>
        <v>120867.83987610605</v>
      </c>
      <c r="Y33" s="524">
        <f t="shared" si="20"/>
        <v>125490.7025986628</v>
      </c>
      <c r="Z33" s="524">
        <f t="shared" si="20"/>
        <v>130292.48504409578</v>
      </c>
      <c r="AA33" s="524">
        <f t="shared" si="20"/>
        <v>135280.28744695327</v>
      </c>
      <c r="AB33" s="524">
        <f t="shared" si="20"/>
        <v>140461.49820547531</v>
      </c>
      <c r="AC33" s="524">
        <f t="shared" si="20"/>
        <v>146441.1487715712</v>
      </c>
    </row>
    <row r="34" spans="1:29">
      <c r="B34" s="74"/>
      <c r="C34" s="74"/>
      <c r="D34" s="444"/>
      <c r="E34" s="74"/>
      <c r="F34" s="74"/>
      <c r="G34" s="74"/>
      <c r="H34" s="74"/>
      <c r="I34" s="444"/>
      <c r="J34" s="74"/>
      <c r="K34" s="74"/>
      <c r="L34" s="74"/>
      <c r="M34" s="74"/>
      <c r="N34" s="74"/>
      <c r="O34" s="74"/>
      <c r="P34" s="74"/>
      <c r="Q34" s="74"/>
      <c r="R34" s="74"/>
      <c r="S34" s="74"/>
      <c r="T34" s="74"/>
      <c r="U34" s="74"/>
      <c r="V34" s="74"/>
      <c r="W34" s="74"/>
      <c r="X34" s="74"/>
      <c r="Y34" s="74"/>
    </row>
    <row r="35" spans="1:29" ht="17.25">
      <c r="A35" s="87" t="s">
        <v>173</v>
      </c>
      <c r="B35" s="74"/>
      <c r="C35" s="74"/>
      <c r="D35" s="444"/>
      <c r="E35" s="74"/>
      <c r="F35" s="74"/>
      <c r="G35" s="74"/>
      <c r="H35" s="74"/>
      <c r="I35" s="444"/>
      <c r="J35" s="74"/>
      <c r="K35" s="74"/>
      <c r="L35" s="74"/>
      <c r="M35" s="74"/>
      <c r="N35" s="74"/>
      <c r="O35" s="74"/>
      <c r="P35" s="74"/>
      <c r="Q35" s="74"/>
      <c r="R35" s="74"/>
      <c r="S35" s="74"/>
      <c r="T35" s="74"/>
      <c r="U35" s="74"/>
      <c r="V35" s="74"/>
      <c r="W35" s="74"/>
      <c r="X35" s="74"/>
      <c r="Y35" s="74"/>
    </row>
    <row r="36" spans="1:29">
      <c r="A36" s="72" t="s">
        <v>69</v>
      </c>
      <c r="B36" s="74">
        <v>8</v>
      </c>
      <c r="C36" s="109">
        <f>C21</f>
        <v>8</v>
      </c>
      <c r="D36" s="446">
        <f>C36*(1+D28)</f>
        <v>8</v>
      </c>
      <c r="E36" s="109">
        <f t="shared" ref="E36:Y36" si="21">D36*(1+E28)</f>
        <v>8.2288516811868639</v>
      </c>
      <c r="F36" s="109">
        <f t="shared" si="21"/>
        <v>8.4642499988714839</v>
      </c>
      <c r="G36" s="109">
        <f t="shared" si="21"/>
        <v>8.7063822291499395</v>
      </c>
      <c r="H36" s="109">
        <f t="shared" si="21"/>
        <v>8.9554410054244897</v>
      </c>
      <c r="I36" s="446">
        <f t="shared" si="21"/>
        <v>9.1325621336147851</v>
      </c>
      <c r="J36" s="109">
        <f t="shared" si="21"/>
        <v>9.1615344623149024</v>
      </c>
      <c r="K36" s="109">
        <f t="shared" si="21"/>
        <v>9.4352508898121599</v>
      </c>
      <c r="L36" s="109">
        <f t="shared" si="21"/>
        <v>9.7167388955712752</v>
      </c>
      <c r="M36" s="109">
        <f t="shared" si="21"/>
        <v>10.006219136168577</v>
      </c>
      <c r="N36" s="109">
        <f t="shared" si="21"/>
        <v>10.303918609368322</v>
      </c>
      <c r="O36" s="109">
        <f t="shared" si="21"/>
        <v>10.610070837356695</v>
      </c>
      <c r="P36" s="109">
        <f t="shared" si="21"/>
        <v>10.924916055145815</v>
      </c>
      <c r="Q36" s="109">
        <f t="shared" si="21"/>
        <v>11.248701404291641</v>
      </c>
      <c r="R36" s="109">
        <f t="shared" si="21"/>
        <v>11.581681132074019</v>
      </c>
      <c r="S36" s="109">
        <f t="shared" si="21"/>
        <v>11.924116796291694</v>
      </c>
      <c r="T36" s="109">
        <f t="shared" si="21"/>
        <v>12.276277475830007</v>
      </c>
      <c r="U36" s="109">
        <f t="shared" si="21"/>
        <v>12.638439987163704</v>
      </c>
      <c r="V36" s="109">
        <f t="shared" si="21"/>
        <v>13.010889106962418</v>
      </c>
      <c r="W36" s="109">
        <f t="shared" si="21"/>
        <v>13.393917800971566</v>
      </c>
      <c r="X36" s="109">
        <f t="shared" si="21"/>
        <v>13.787827459346625</v>
      </c>
      <c r="Y36" s="109">
        <f t="shared" si="21"/>
        <v>14.192928138624382</v>
      </c>
      <c r="Z36" s="109">
        <f>Y36*(1+Z28)</f>
        <v>14.609538810520229</v>
      </c>
      <c r="AA36" s="109">
        <f>Z36*(1+AA28)</f>
        <v>15.03798761774644</v>
      </c>
      <c r="AB36" s="109">
        <f>AA36*(1+AB28)</f>
        <v>15.478612137052224</v>
      </c>
      <c r="AC36" s="109">
        <f>AB36*(1+AC28)</f>
        <v>15.997012508356166</v>
      </c>
    </row>
    <row r="37" spans="1:29">
      <c r="A37" s="72" t="s">
        <v>70</v>
      </c>
      <c r="B37" s="312">
        <v>4</v>
      </c>
      <c r="C37" s="109">
        <f>C22</f>
        <v>4</v>
      </c>
      <c r="D37" s="446">
        <f>C37*(1+D28)</f>
        <v>4</v>
      </c>
      <c r="E37" s="109">
        <f t="shared" ref="E37:Y37" si="22">D37*(1+E28)</f>
        <v>4.114425840593432</v>
      </c>
      <c r="F37" s="109">
        <f t="shared" si="22"/>
        <v>4.2321249994357419</v>
      </c>
      <c r="G37" s="109">
        <f t="shared" si="22"/>
        <v>4.3531911145749698</v>
      </c>
      <c r="H37" s="109">
        <f t="shared" si="22"/>
        <v>4.4777205027122449</v>
      </c>
      <c r="I37" s="446">
        <f t="shared" si="22"/>
        <v>4.5662810668073925</v>
      </c>
      <c r="J37" s="109">
        <f t="shared" si="22"/>
        <v>4.5807672311574512</v>
      </c>
      <c r="K37" s="109">
        <f t="shared" si="22"/>
        <v>4.7176254449060799</v>
      </c>
      <c r="L37" s="109">
        <f t="shared" si="22"/>
        <v>4.8583694477856376</v>
      </c>
      <c r="M37" s="109">
        <f t="shared" si="22"/>
        <v>5.0031095680842883</v>
      </c>
      <c r="N37" s="109">
        <f t="shared" si="22"/>
        <v>5.1519593046841612</v>
      </c>
      <c r="O37" s="109">
        <f t="shared" si="22"/>
        <v>5.3050354186783473</v>
      </c>
      <c r="P37" s="109">
        <f t="shared" si="22"/>
        <v>5.4624580275729073</v>
      </c>
      <c r="Q37" s="109">
        <f t="shared" si="22"/>
        <v>5.6243507021458203</v>
      </c>
      <c r="R37" s="109">
        <f t="shared" si="22"/>
        <v>5.7908405660370095</v>
      </c>
      <c r="S37" s="109">
        <f t="shared" si="22"/>
        <v>5.9620583981458468</v>
      </c>
      <c r="T37" s="109">
        <f t="shared" si="22"/>
        <v>6.1381387379150034</v>
      </c>
      <c r="U37" s="109">
        <f t="shared" si="22"/>
        <v>6.3192199935818518</v>
      </c>
      <c r="V37" s="109">
        <f t="shared" si="22"/>
        <v>6.5054445534812091</v>
      </c>
      <c r="W37" s="109">
        <f t="shared" si="22"/>
        <v>6.6969589004857832</v>
      </c>
      <c r="X37" s="109">
        <f t="shared" si="22"/>
        <v>6.8939137296733124</v>
      </c>
      <c r="Y37" s="109">
        <f t="shared" si="22"/>
        <v>7.0964640693121908</v>
      </c>
      <c r="Z37" s="109">
        <f>Y37*(1+Z28)</f>
        <v>7.3047694052601146</v>
      </c>
      <c r="AA37" s="109">
        <f>Z37*(1+AA28)</f>
        <v>7.51899380887322</v>
      </c>
      <c r="AB37" s="109">
        <f>AA37*(1+AB28)</f>
        <v>7.7393060685261119</v>
      </c>
      <c r="AC37" s="109">
        <f>AB37*(1+AC28)</f>
        <v>7.9985062541780829</v>
      </c>
    </row>
    <row r="38" spans="1:29">
      <c r="B38" s="646"/>
      <c r="C38" s="74"/>
      <c r="D38" s="444"/>
      <c r="E38" s="74"/>
      <c r="F38" s="74"/>
      <c r="G38" s="74"/>
      <c r="H38" s="74"/>
      <c r="I38" s="444"/>
      <c r="J38" s="74"/>
      <c r="K38" s="74"/>
      <c r="L38" s="74"/>
      <c r="M38" s="74"/>
      <c r="N38" s="74"/>
      <c r="O38" s="74"/>
      <c r="P38" s="74"/>
      <c r="Q38" s="74"/>
      <c r="R38" s="74"/>
      <c r="S38" s="74"/>
      <c r="T38" s="74"/>
      <c r="U38" s="74"/>
      <c r="V38" s="74"/>
      <c r="W38" s="74"/>
      <c r="X38" s="74"/>
      <c r="Y38" s="74"/>
    </row>
    <row r="39" spans="1:29">
      <c r="A39" s="87" t="s">
        <v>145</v>
      </c>
      <c r="B39" s="74"/>
      <c r="C39" s="74"/>
      <c r="D39" s="444"/>
      <c r="E39" s="74"/>
      <c r="F39" s="74"/>
      <c r="G39" s="74"/>
      <c r="H39" s="74"/>
      <c r="I39" s="444"/>
      <c r="J39" s="74"/>
      <c r="K39" s="74"/>
      <c r="L39" s="74"/>
      <c r="M39" s="74"/>
      <c r="N39" s="74"/>
      <c r="O39" s="74"/>
      <c r="P39" s="74"/>
      <c r="Q39" s="74"/>
      <c r="R39" s="74"/>
      <c r="S39" s="74"/>
      <c r="T39" s="74"/>
      <c r="U39" s="74"/>
      <c r="V39" s="74"/>
      <c r="W39" s="74"/>
      <c r="X39" s="74"/>
      <c r="Y39" s="74"/>
    </row>
    <row r="40" spans="1:29">
      <c r="A40" s="72" t="s">
        <v>252</v>
      </c>
      <c r="B40" s="86"/>
      <c r="C40" s="74"/>
      <c r="D40" s="444"/>
      <c r="E40" s="74"/>
      <c r="F40" s="523">
        <f>F25-F41</f>
        <v>3031.6169851670197</v>
      </c>
      <c r="G40" s="523">
        <f>G25-G41</f>
        <v>3143.402965982682</v>
      </c>
      <c r="H40" s="523">
        <f t="shared" ref="H40:AA40" si="23">H25-H41</f>
        <v>3259.7496366981841</v>
      </c>
      <c r="I40" s="524">
        <f t="shared" si="23"/>
        <v>3351.8376546138625</v>
      </c>
      <c r="J40" s="523">
        <f t="shared" si="23"/>
        <v>3390.8565018175696</v>
      </c>
      <c r="K40" s="523">
        <f t="shared" si="23"/>
        <v>3522.1098783848015</v>
      </c>
      <c r="L40" s="523">
        <f t="shared" si="23"/>
        <v>3658.7711129301911</v>
      </c>
      <c r="M40" s="523">
        <f t="shared" si="23"/>
        <v>3801.0760912679375</v>
      </c>
      <c r="N40" s="523">
        <f t="shared" si="23"/>
        <v>3949.2712039715179</v>
      </c>
      <c r="O40" s="523">
        <f t="shared" si="23"/>
        <v>4103.6138136573154</v>
      </c>
      <c r="P40" s="523">
        <f t="shared" si="23"/>
        <v>4264.3727428524708</v>
      </c>
      <c r="Q40" s="523">
        <f t="shared" si="23"/>
        <v>4431.8287833445465</v>
      </c>
      <c r="R40" s="523">
        <f t="shared" si="23"/>
        <v>4606.2752279494262</v>
      </c>
      <c r="S40" s="523">
        <f t="shared" si="23"/>
        <v>4788.0184256744369</v>
      </c>
      <c r="T40" s="523">
        <f t="shared" si="23"/>
        <v>4977.3783612959423</v>
      </c>
      <c r="U40" s="523">
        <f t="shared" si="23"/>
        <v>5174.6892604147606</v>
      </c>
      <c r="V40" s="523">
        <f t="shared" si="23"/>
        <v>5380.3002210987861</v>
      </c>
      <c r="W40" s="523">
        <f t="shared" si="23"/>
        <v>5594.5758732701597</v>
      </c>
      <c r="X40" s="523">
        <f t="shared" si="23"/>
        <v>5817.897067044405</v>
      </c>
      <c r="Y40" s="523">
        <f t="shared" si="23"/>
        <v>6050.661591281134</v>
      </c>
      <c r="Z40" s="523">
        <f t="shared" si="23"/>
        <v>6293.2849236604325</v>
      </c>
      <c r="AA40" s="523">
        <f t="shared" si="23"/>
        <v>6546.2010136557883</v>
      </c>
      <c r="AB40" s="523">
        <f>AB25-AB41</f>
        <v>6809.8630998337285</v>
      </c>
      <c r="AC40" s="523">
        <f>AC25-AC41</f>
        <v>7113.762062972085</v>
      </c>
    </row>
    <row r="41" spans="1:29">
      <c r="A41" s="72" t="s">
        <v>253</v>
      </c>
      <c r="B41" s="74"/>
      <c r="C41" s="74"/>
      <c r="D41" s="444"/>
      <c r="E41" s="74"/>
      <c r="F41" s="523">
        <v>0</v>
      </c>
      <c r="G41" s="523">
        <v>0</v>
      </c>
      <c r="H41" s="523">
        <v>0</v>
      </c>
      <c r="I41" s="524">
        <f>Newcom!D7/10^6</f>
        <v>29.017499999999998</v>
      </c>
      <c r="J41" s="524">
        <f>Newcom!E7/10^6</f>
        <v>116.07</v>
      </c>
      <c r="K41" s="524">
        <f>Newcom!F7/10^6</f>
        <v>116.07</v>
      </c>
      <c r="L41" s="524">
        <f>Newcom!G7/10^6</f>
        <v>116.07</v>
      </c>
      <c r="M41" s="524">
        <f>Newcom!H7/10^6</f>
        <v>116.07</v>
      </c>
      <c r="N41" s="524">
        <f>Newcom!I7/10^6</f>
        <v>116.07</v>
      </c>
      <c r="O41" s="524">
        <f>Newcom!J7/10^6</f>
        <v>116.07</v>
      </c>
      <c r="P41" s="524">
        <f>Newcom!K7/10^6</f>
        <v>116.07</v>
      </c>
      <c r="Q41" s="524">
        <f>Newcom!L7/10^6</f>
        <v>116.07</v>
      </c>
      <c r="R41" s="524">
        <f>Newcom!M7/10^6</f>
        <v>116.07</v>
      </c>
      <c r="S41" s="524">
        <f>Newcom!N7/10^6</f>
        <v>116.07</v>
      </c>
      <c r="T41" s="524">
        <f>Newcom!O7/10^6</f>
        <v>116.07</v>
      </c>
      <c r="U41" s="524">
        <f>Newcom!P7/10^6</f>
        <v>116.07</v>
      </c>
      <c r="V41" s="524">
        <f>Newcom!Q7/10^6</f>
        <v>116.07</v>
      </c>
      <c r="W41" s="524">
        <f>Newcom!R7/10^6</f>
        <v>116.07</v>
      </c>
      <c r="X41" s="524">
        <f>Newcom!S7/10^6</f>
        <v>116.07</v>
      </c>
      <c r="Y41" s="524">
        <f>Newcom!T7/10^6</f>
        <v>116.07</v>
      </c>
      <c r="Z41" s="524">
        <f>Newcom!U7/10^6</f>
        <v>116.07</v>
      </c>
      <c r="AA41" s="524">
        <f>Newcom!V7/10^6</f>
        <v>116.07</v>
      </c>
      <c r="AB41" s="524">
        <f>Newcom!W7/10^6</f>
        <v>116.07</v>
      </c>
      <c r="AC41" s="524">
        <f>Newcom!X7/10^6</f>
        <v>87.052499999999995</v>
      </c>
    </row>
    <row r="42" spans="1:29">
      <c r="A42" s="72" t="s">
        <v>254</v>
      </c>
      <c r="B42" s="74"/>
      <c r="C42" s="74"/>
      <c r="D42" s="444"/>
      <c r="E42" s="74"/>
      <c r="F42" s="523">
        <f>SUM(F40:F41)</f>
        <v>3031.6169851670197</v>
      </c>
      <c r="G42" s="523">
        <f t="shared" ref="G42:AA42" si="24">SUM(G40:G41)</f>
        <v>3143.402965982682</v>
      </c>
      <c r="H42" s="523">
        <f t="shared" si="24"/>
        <v>3259.7496366981841</v>
      </c>
      <c r="I42" s="524">
        <f t="shared" si="24"/>
        <v>3380.8551546138624</v>
      </c>
      <c r="J42" s="523">
        <f t="shared" si="24"/>
        <v>3506.9265018175697</v>
      </c>
      <c r="K42" s="523">
        <f t="shared" si="24"/>
        <v>3638.1798783848017</v>
      </c>
      <c r="L42" s="523">
        <f t="shared" si="24"/>
        <v>3774.8411129301912</v>
      </c>
      <c r="M42" s="523">
        <f t="shared" si="24"/>
        <v>3917.1460912679377</v>
      </c>
      <c r="N42" s="523">
        <f t="shared" si="24"/>
        <v>4065.3412039715181</v>
      </c>
      <c r="O42" s="523">
        <f t="shared" si="24"/>
        <v>4219.6838136573151</v>
      </c>
      <c r="P42" s="523">
        <f t="shared" si="24"/>
        <v>4380.4427428524705</v>
      </c>
      <c r="Q42" s="523">
        <f t="shared" si="24"/>
        <v>4547.8987833445462</v>
      </c>
      <c r="R42" s="523">
        <f t="shared" si="24"/>
        <v>4722.3452279494259</v>
      </c>
      <c r="S42" s="523">
        <f t="shared" si="24"/>
        <v>4904.0884256744366</v>
      </c>
      <c r="T42" s="523">
        <f t="shared" si="24"/>
        <v>5093.448361295942</v>
      </c>
      <c r="U42" s="523">
        <f t="shared" si="24"/>
        <v>5290.7592604147603</v>
      </c>
      <c r="V42" s="523">
        <f t="shared" si="24"/>
        <v>5496.3702210987858</v>
      </c>
      <c r="W42" s="523">
        <f t="shared" si="24"/>
        <v>5710.6458732701594</v>
      </c>
      <c r="X42" s="523">
        <f t="shared" si="24"/>
        <v>5933.9670670444048</v>
      </c>
      <c r="Y42" s="523">
        <f t="shared" si="24"/>
        <v>6166.7315912811337</v>
      </c>
      <c r="Z42" s="523">
        <f t="shared" si="24"/>
        <v>6409.3549236604322</v>
      </c>
      <c r="AA42" s="523">
        <f t="shared" si="24"/>
        <v>6662.271013655788</v>
      </c>
      <c r="AB42" s="523">
        <f>SUM(AB40:AB41)</f>
        <v>6925.9330998337282</v>
      </c>
      <c r="AC42" s="523">
        <f>SUM(AC40:AC41)</f>
        <v>7200.8145629720848</v>
      </c>
    </row>
    <row r="43" spans="1:29">
      <c r="D43" s="441"/>
    </row>
    <row r="44" spans="1:29" s="68" customFormat="1">
      <c r="A44" s="67" t="s">
        <v>74</v>
      </c>
      <c r="D44" s="447"/>
      <c r="I44" s="447"/>
    </row>
    <row r="45" spans="1:29">
      <c r="A45" s="87" t="s">
        <v>146</v>
      </c>
      <c r="D45" s="441"/>
    </row>
    <row r="46" spans="1:29">
      <c r="A46" s="72" t="s">
        <v>69</v>
      </c>
      <c r="D46" s="563"/>
      <c r="E46" s="507"/>
      <c r="F46" s="523">
        <f t="shared" ref="F46:AA46" si="25">F8-F29</f>
        <v>0</v>
      </c>
      <c r="G46" s="523">
        <f>G8-G29</f>
        <v>0</v>
      </c>
      <c r="H46" s="523">
        <f t="shared" si="25"/>
        <v>0</v>
      </c>
      <c r="I46" s="524">
        <f t="shared" si="25"/>
        <v>183.71122523365557</v>
      </c>
      <c r="J46" s="523">
        <f t="shared" si="25"/>
        <v>728.69339541534646</v>
      </c>
      <c r="K46" s="523">
        <f t="shared" si="25"/>
        <v>722.49788032501965</v>
      </c>
      <c r="L46" s="523">
        <f t="shared" si="25"/>
        <v>716.26101863532313</v>
      </c>
      <c r="M46" s="523">
        <f t="shared" si="25"/>
        <v>709.98548656731873</v>
      </c>
      <c r="N46" s="523">
        <f t="shared" si="25"/>
        <v>703.67396955046206</v>
      </c>
      <c r="O46" s="523">
        <f t="shared" si="25"/>
        <v>697.3291582220445</v>
      </c>
      <c r="P46" s="523">
        <f t="shared" si="25"/>
        <v>690.95374447869835</v>
      </c>
      <c r="Q46" s="523">
        <f t="shared" si="25"/>
        <v>684.55041759081723</v>
      </c>
      <c r="R46" s="523">
        <f t="shared" si="25"/>
        <v>678.12186039039079</v>
      </c>
      <c r="S46" s="523">
        <f t="shared" si="25"/>
        <v>671.67074554234205</v>
      </c>
      <c r="T46" s="523">
        <f t="shared" si="25"/>
        <v>665.19973190854216</v>
      </c>
      <c r="U46" s="523">
        <f t="shared" si="25"/>
        <v>658.71146101339764</v>
      </c>
      <c r="V46" s="523">
        <f t="shared" si="25"/>
        <v>652.20855361908616</v>
      </c>
      <c r="W46" s="523">
        <f t="shared" si="25"/>
        <v>645.6936064178808</v>
      </c>
      <c r="X46" s="523">
        <f t="shared" si="25"/>
        <v>639.16918884846018</v>
      </c>
      <c r="Y46" s="523">
        <f t="shared" si="25"/>
        <v>632.63784004215267</v>
      </c>
      <c r="Z46" s="523">
        <f t="shared" si="25"/>
        <v>626.10206590464077</v>
      </c>
      <c r="AA46" s="523">
        <f t="shared" si="25"/>
        <v>619.56433633781853</v>
      </c>
      <c r="AB46" s="523">
        <f t="shared" ref="AB46:AC50" si="26">AB8-AB29</f>
        <v>613.0270826058113</v>
      </c>
      <c r="AC46" s="523">
        <f t="shared" si="26"/>
        <v>454.86952113625739</v>
      </c>
    </row>
    <row r="47" spans="1:29">
      <c r="A47" s="72" t="s">
        <v>70</v>
      </c>
      <c r="D47" s="563"/>
      <c r="E47" s="507"/>
      <c r="F47" s="523">
        <f t="shared" ref="F47:AA47" si="27">F9-F30</f>
        <v>0</v>
      </c>
      <c r="G47" s="523">
        <f t="shared" si="27"/>
        <v>0</v>
      </c>
      <c r="H47" s="523">
        <f t="shared" si="27"/>
        <v>0</v>
      </c>
      <c r="I47" s="524">
        <f t="shared" si="27"/>
        <v>73.488443210366313</v>
      </c>
      <c r="J47" s="523">
        <f t="shared" si="27"/>
        <v>291.49303826502364</v>
      </c>
      <c r="K47" s="523">
        <f t="shared" si="27"/>
        <v>289.01469891316628</v>
      </c>
      <c r="L47" s="523">
        <f t="shared" si="27"/>
        <v>286.51982003186095</v>
      </c>
      <c r="M47" s="523">
        <f t="shared" si="27"/>
        <v>284.00947216711938</v>
      </c>
      <c r="N47" s="523">
        <f t="shared" si="27"/>
        <v>281.48472954850877</v>
      </c>
      <c r="O47" s="523">
        <f t="shared" si="27"/>
        <v>278.94666848884481</v>
      </c>
      <c r="P47" s="523">
        <f t="shared" si="27"/>
        <v>276.39636580470324</v>
      </c>
      <c r="Q47" s="523">
        <f t="shared" si="27"/>
        <v>273.83489726210792</v>
      </c>
      <c r="R47" s="523">
        <f t="shared" si="27"/>
        <v>271.2633360515847</v>
      </c>
      <c r="S47" s="523">
        <f t="shared" si="27"/>
        <v>268.68275129661743</v>
      </c>
      <c r="T47" s="523">
        <f t="shared" si="27"/>
        <v>266.09420659916759</v>
      </c>
      <c r="U47" s="523">
        <f t="shared" si="27"/>
        <v>263.49875862583394</v>
      </c>
      <c r="V47" s="523">
        <f t="shared" si="27"/>
        <v>260.89745573788241</v>
      </c>
      <c r="W47" s="523">
        <f t="shared" si="27"/>
        <v>258.2913366681023</v>
      </c>
      <c r="X47" s="523">
        <f t="shared" si="27"/>
        <v>255.6814292472518</v>
      </c>
      <c r="Y47" s="523">
        <f t="shared" si="27"/>
        <v>253.06874918249741</v>
      </c>
      <c r="Z47" s="523">
        <f t="shared" si="27"/>
        <v>250.45429889003935</v>
      </c>
      <c r="AA47" s="523">
        <f t="shared" si="27"/>
        <v>247.83906638377812</v>
      </c>
      <c r="AB47" s="523">
        <f t="shared" si="26"/>
        <v>245.22402422167943</v>
      </c>
      <c r="AC47" s="523">
        <f t="shared" si="26"/>
        <v>181.95759638330128</v>
      </c>
    </row>
    <row r="48" spans="1:29">
      <c r="A48" s="72" t="s">
        <v>71</v>
      </c>
      <c r="D48" s="563"/>
      <c r="E48" s="507"/>
      <c r="F48" s="523">
        <f>F10-F31</f>
        <v>0</v>
      </c>
      <c r="G48" s="523">
        <f t="shared" ref="G48:AA48" si="28">G10-G31</f>
        <v>0</v>
      </c>
      <c r="H48" s="523">
        <f t="shared" si="28"/>
        <v>0</v>
      </c>
      <c r="I48" s="524">
        <f t="shared" si="28"/>
        <v>355.43198391700571</v>
      </c>
      <c r="J48" s="523">
        <f t="shared" si="28"/>
        <v>1429.1346786294598</v>
      </c>
      <c r="K48" s="523">
        <f t="shared" si="28"/>
        <v>1436.3901362416655</v>
      </c>
      <c r="L48" s="523">
        <f t="shared" si="28"/>
        <v>1443.4929438424588</v>
      </c>
      <c r="M48" s="523">
        <f t="shared" si="28"/>
        <v>1450.4418854226096</v>
      </c>
      <c r="N48" s="523">
        <f t="shared" si="28"/>
        <v>1457.2358934922304</v>
      </c>
      <c r="O48" s="523">
        <f t="shared" si="28"/>
        <v>1463.8740486246606</v>
      </c>
      <c r="P48" s="523">
        <f t="shared" si="28"/>
        <v>1470.3555786853613</v>
      </c>
      <c r="Q48" s="523">
        <f t="shared" si="28"/>
        <v>1476.6798577540976</v>
      </c>
      <c r="R48" s="523">
        <f t="shared" si="28"/>
        <v>1482.8464047497109</v>
      </c>
      <c r="S48" s="523">
        <f t="shared" si="28"/>
        <v>1488.8548817682386</v>
      </c>
      <c r="T48" s="523">
        <f t="shared" si="28"/>
        <v>1494.7050921453047</v>
      </c>
      <c r="U48" s="523">
        <f t="shared" si="28"/>
        <v>1500.3969782552012</v>
      </c>
      <c r="V48" s="523">
        <f t="shared" si="28"/>
        <v>1505.9306190593197</v>
      </c>
      <c r="W48" s="523">
        <f t="shared" si="28"/>
        <v>1511.306227417459</v>
      </c>
      <c r="X48" s="523">
        <f t="shared" si="28"/>
        <v>1516.5241471760673</v>
      </c>
      <c r="Y48" s="523">
        <f t="shared" si="28"/>
        <v>1521.5848500479769</v>
      </c>
      <c r="Z48" s="523">
        <f t="shared" si="28"/>
        <v>1526.4889322982781</v>
      </c>
      <c r="AA48" s="523">
        <f t="shared" si="28"/>
        <v>1531.2371112516848</v>
      </c>
      <c r="AB48" s="523">
        <f t="shared" si="26"/>
        <v>1535.8302216367447</v>
      </c>
      <c r="AC48" s="523">
        <f t="shared" si="26"/>
        <v>1155.2019088365778</v>
      </c>
    </row>
    <row r="49" spans="1:29">
      <c r="A49" s="72" t="s">
        <v>73</v>
      </c>
      <c r="D49" s="563"/>
      <c r="E49" s="507"/>
      <c r="F49" s="523">
        <f t="shared" ref="F49:AA49" si="29">F11-F32</f>
        <v>0</v>
      </c>
      <c r="G49" s="523">
        <f t="shared" si="29"/>
        <v>0</v>
      </c>
      <c r="H49" s="523">
        <f t="shared" si="29"/>
        <v>0</v>
      </c>
      <c r="I49" s="524">
        <f t="shared" si="29"/>
        <v>0</v>
      </c>
      <c r="J49" s="523">
        <f t="shared" si="29"/>
        <v>0</v>
      </c>
      <c r="K49" s="523">
        <f t="shared" si="29"/>
        <v>0</v>
      </c>
      <c r="L49" s="523">
        <f t="shared" si="29"/>
        <v>0</v>
      </c>
      <c r="M49" s="523">
        <f t="shared" si="29"/>
        <v>0</v>
      </c>
      <c r="N49" s="523">
        <f t="shared" si="29"/>
        <v>0</v>
      </c>
      <c r="O49" s="523">
        <f t="shared" si="29"/>
        <v>0</v>
      </c>
      <c r="P49" s="523">
        <f t="shared" si="29"/>
        <v>0</v>
      </c>
      <c r="Q49" s="523">
        <f t="shared" si="29"/>
        <v>0</v>
      </c>
      <c r="R49" s="523">
        <f t="shared" si="29"/>
        <v>0</v>
      </c>
      <c r="S49" s="523">
        <f t="shared" si="29"/>
        <v>0</v>
      </c>
      <c r="T49" s="523">
        <f t="shared" si="29"/>
        <v>0</v>
      </c>
      <c r="U49" s="523">
        <f t="shared" si="29"/>
        <v>0</v>
      </c>
      <c r="V49" s="523">
        <f t="shared" si="29"/>
        <v>0</v>
      </c>
      <c r="W49" s="523">
        <f t="shared" si="29"/>
        <v>0</v>
      </c>
      <c r="X49" s="523">
        <f t="shared" si="29"/>
        <v>0</v>
      </c>
      <c r="Y49" s="523">
        <f t="shared" si="29"/>
        <v>0</v>
      </c>
      <c r="Z49" s="523">
        <f t="shared" si="29"/>
        <v>0</v>
      </c>
      <c r="AA49" s="523">
        <f t="shared" si="29"/>
        <v>0</v>
      </c>
      <c r="AB49" s="523">
        <f t="shared" si="26"/>
        <v>0</v>
      </c>
      <c r="AC49" s="523">
        <f t="shared" si="26"/>
        <v>0</v>
      </c>
    </row>
    <row r="50" spans="1:29">
      <c r="A50" s="72" t="s">
        <v>75</v>
      </c>
      <c r="B50" s="74"/>
      <c r="C50" s="74"/>
      <c r="D50" s="524">
        <f>D12-D33</f>
        <v>0</v>
      </c>
      <c r="E50" s="523">
        <f>E12-E33</f>
        <v>0</v>
      </c>
      <c r="F50" s="523">
        <f t="shared" ref="F50:AA50" si="30">F12-F33</f>
        <v>0</v>
      </c>
      <c r="G50" s="523">
        <f t="shared" si="30"/>
        <v>0</v>
      </c>
      <c r="H50" s="523">
        <f t="shared" si="30"/>
        <v>0</v>
      </c>
      <c r="I50" s="524">
        <f t="shared" si="30"/>
        <v>612.63165236102941</v>
      </c>
      <c r="J50" s="523">
        <f t="shared" si="30"/>
        <v>2449.3211123098299</v>
      </c>
      <c r="K50" s="523">
        <f t="shared" si="30"/>
        <v>2447.9027154798532</v>
      </c>
      <c r="L50" s="523">
        <f t="shared" si="30"/>
        <v>2446.273782509641</v>
      </c>
      <c r="M50" s="523">
        <f t="shared" si="30"/>
        <v>2444.4368441570405</v>
      </c>
      <c r="N50" s="523">
        <f t="shared" si="30"/>
        <v>2442.3945925911976</v>
      </c>
      <c r="O50" s="523">
        <f t="shared" si="30"/>
        <v>2440.1498753355409</v>
      </c>
      <c r="P50" s="523">
        <f t="shared" si="30"/>
        <v>2437.7056889687665</v>
      </c>
      <c r="Q50" s="523">
        <f t="shared" si="30"/>
        <v>2435.0651726070209</v>
      </c>
      <c r="R50" s="523">
        <f t="shared" si="30"/>
        <v>2432.2316011916846</v>
      </c>
      <c r="S50" s="523">
        <f t="shared" si="30"/>
        <v>2429.2083786071889</v>
      </c>
      <c r="T50" s="523">
        <f t="shared" si="30"/>
        <v>2425.999030653009</v>
      </c>
      <c r="U50" s="523">
        <f t="shared" si="30"/>
        <v>2422.6071978944383</v>
      </c>
      <c r="V50" s="523">
        <f t="shared" si="30"/>
        <v>2419.0366284162883</v>
      </c>
      <c r="W50" s="523">
        <f t="shared" si="30"/>
        <v>2415.2911705034348</v>
      </c>
      <c r="X50" s="523">
        <f t="shared" si="30"/>
        <v>2411.374765271772</v>
      </c>
      <c r="Y50" s="523">
        <f t="shared" si="30"/>
        <v>2407.2914392726234</v>
      </c>
      <c r="Z50" s="523">
        <f t="shared" si="30"/>
        <v>2403.0452970929618</v>
      </c>
      <c r="AA50" s="523">
        <f t="shared" si="30"/>
        <v>2398.6405139732815</v>
      </c>
      <c r="AB50" s="523">
        <f t="shared" si="26"/>
        <v>2394.0813284642354</v>
      </c>
      <c r="AC50" s="523">
        <f t="shared" si="26"/>
        <v>1792.0290263561474</v>
      </c>
    </row>
    <row r="51" spans="1:29">
      <c r="B51" s="74"/>
      <c r="C51" s="74"/>
      <c r="D51" s="444"/>
      <c r="E51" s="74"/>
      <c r="F51" s="74"/>
      <c r="G51" s="74"/>
      <c r="H51" s="74"/>
      <c r="I51" s="444"/>
      <c r="J51" s="74"/>
      <c r="K51" s="74"/>
      <c r="L51" s="74"/>
      <c r="M51" s="74"/>
      <c r="N51" s="74"/>
      <c r="O51" s="74"/>
      <c r="P51" s="74"/>
      <c r="Q51" s="74"/>
      <c r="R51" s="74"/>
      <c r="S51" s="74"/>
      <c r="T51" s="74"/>
      <c r="U51" s="74"/>
      <c r="V51" s="74"/>
      <c r="W51" s="74"/>
      <c r="X51" s="74"/>
      <c r="Y51" s="74"/>
      <c r="Z51" s="74"/>
      <c r="AA51" s="74"/>
      <c r="AB51" s="74"/>
      <c r="AC51" s="74"/>
    </row>
    <row r="52" spans="1:29" ht="17.25">
      <c r="A52" s="87" t="s">
        <v>173</v>
      </c>
      <c r="B52" s="74"/>
      <c r="C52" s="74"/>
      <c r="D52" s="444"/>
      <c r="E52" s="74"/>
      <c r="F52" s="74"/>
      <c r="G52" s="74"/>
      <c r="H52" s="74"/>
      <c r="I52" s="444"/>
      <c r="J52" s="74"/>
      <c r="K52" s="74"/>
      <c r="L52" s="74"/>
      <c r="M52" s="74"/>
      <c r="N52" s="74"/>
      <c r="O52" s="74"/>
      <c r="P52" s="74"/>
      <c r="Q52" s="74"/>
      <c r="R52" s="74"/>
      <c r="S52" s="74"/>
      <c r="T52" s="74"/>
      <c r="U52" s="74"/>
      <c r="V52" s="74"/>
      <c r="W52" s="74"/>
      <c r="X52" s="74"/>
      <c r="Y52" s="74"/>
      <c r="Z52" s="74"/>
      <c r="AA52" s="74"/>
      <c r="AB52" s="74"/>
      <c r="AC52" s="74"/>
    </row>
    <row r="53" spans="1:29">
      <c r="A53" s="72" t="s">
        <v>69</v>
      </c>
      <c r="B53" s="109"/>
      <c r="C53" s="109"/>
      <c r="D53" s="446">
        <f t="shared" ref="D53:AA53" si="31">D21-D36</f>
        <v>0</v>
      </c>
      <c r="E53" s="109">
        <f t="shared" si="31"/>
        <v>0</v>
      </c>
      <c r="F53" s="109">
        <f t="shared" si="31"/>
        <v>0</v>
      </c>
      <c r="G53" s="109">
        <f t="shared" si="31"/>
        <v>0</v>
      </c>
      <c r="H53" s="109">
        <f t="shared" si="31"/>
        <v>0</v>
      </c>
      <c r="I53" s="446">
        <f t="shared" si="31"/>
        <v>7.9062338042351854E-2</v>
      </c>
      <c r="J53" s="109">
        <f t="shared" si="31"/>
        <v>0.31360197769233444</v>
      </c>
      <c r="K53" s="109">
        <f t="shared" si="31"/>
        <v>0.31093566316639887</v>
      </c>
      <c r="L53" s="109">
        <f t="shared" si="31"/>
        <v>0.30825155463352694</v>
      </c>
      <c r="M53" s="109">
        <f t="shared" si="31"/>
        <v>0.3055508038376793</v>
      </c>
      <c r="N53" s="109">
        <f t="shared" si="31"/>
        <v>0.30283456648575857</v>
      </c>
      <c r="O53" s="109">
        <f t="shared" si="31"/>
        <v>0.30010400052592523</v>
      </c>
      <c r="P53" s="109">
        <f t="shared" si="31"/>
        <v>0.29736026444831154</v>
      </c>
      <c r="Q53" s="109">
        <f t="shared" si="31"/>
        <v>0.29460451561281609</v>
      </c>
      <c r="R53" s="109">
        <f t="shared" si="31"/>
        <v>0.29183790860848902</v>
      </c>
      <c r="S53" s="109">
        <f t="shared" si="31"/>
        <v>0.28906159364886896</v>
      </c>
      <c r="T53" s="109">
        <f t="shared" si="31"/>
        <v>0.28627671500717788</v>
      </c>
      <c r="U53" s="109">
        <f t="shared" si="31"/>
        <v>0.28348440949525333</v>
      </c>
      <c r="V53" s="109">
        <f t="shared" si="31"/>
        <v>0.280685804989659</v>
      </c>
      <c r="W53" s="109">
        <f t="shared" si="31"/>
        <v>0.27788201900818343</v>
      </c>
      <c r="X53" s="109">
        <f t="shared" si="31"/>
        <v>0.27507415733970397</v>
      </c>
      <c r="Y53" s="109">
        <f t="shared" si="31"/>
        <v>0.2722633127299634</v>
      </c>
      <c r="Z53" s="109">
        <f t="shared" si="31"/>
        <v>0.2694505636256519</v>
      </c>
      <c r="AA53" s="109">
        <f t="shared" si="31"/>
        <v>0.26663697297878741</v>
      </c>
      <c r="AB53" s="109">
        <f>AB21-AB36</f>
        <v>0.26382358711316378</v>
      </c>
      <c r="AC53" s="109">
        <f>AC21-AC36</f>
        <v>0.19575857599064683</v>
      </c>
    </row>
    <row r="54" spans="1:29">
      <c r="A54" s="72" t="s">
        <v>70</v>
      </c>
      <c r="B54" s="109"/>
      <c r="C54" s="109"/>
      <c r="D54" s="446">
        <f t="shared" ref="D54:AA54" si="32">D22-D37</f>
        <v>0</v>
      </c>
      <c r="E54" s="109">
        <f t="shared" si="32"/>
        <v>0</v>
      </c>
      <c r="F54" s="109">
        <f t="shared" si="32"/>
        <v>0</v>
      </c>
      <c r="G54" s="109">
        <f>G22-G37</f>
        <v>0</v>
      </c>
      <c r="H54" s="109">
        <f t="shared" si="32"/>
        <v>0</v>
      </c>
      <c r="I54" s="446">
        <f t="shared" si="32"/>
        <v>3.9531169021175927E-2</v>
      </c>
      <c r="J54" s="109">
        <f t="shared" si="32"/>
        <v>0.15680098884616722</v>
      </c>
      <c r="K54" s="109">
        <f t="shared" si="32"/>
        <v>0.15546783158319943</v>
      </c>
      <c r="L54" s="109">
        <f t="shared" si="32"/>
        <v>0.15412577731676347</v>
      </c>
      <c r="M54" s="109">
        <f t="shared" si="32"/>
        <v>0.15277540191883965</v>
      </c>
      <c r="N54" s="109">
        <f t="shared" si="32"/>
        <v>0.15141728324287929</v>
      </c>
      <c r="O54" s="109">
        <f t="shared" si="32"/>
        <v>0.15005200026296261</v>
      </c>
      <c r="P54" s="109">
        <f t="shared" si="32"/>
        <v>0.14868013222415577</v>
      </c>
      <c r="Q54" s="109">
        <f t="shared" si="32"/>
        <v>0.14730225780640804</v>
      </c>
      <c r="R54" s="109">
        <f t="shared" si="32"/>
        <v>0.14591895430424451</v>
      </c>
      <c r="S54" s="109">
        <f t="shared" si="32"/>
        <v>0.14453079682443448</v>
      </c>
      <c r="T54" s="109">
        <f t="shared" si="32"/>
        <v>0.14313835750358894</v>
      </c>
      <c r="U54" s="109">
        <f t="shared" si="32"/>
        <v>0.14174220474762667</v>
      </c>
      <c r="V54" s="109">
        <f t="shared" si="32"/>
        <v>0.1403429024948295</v>
      </c>
      <c r="W54" s="109">
        <f t="shared" si="32"/>
        <v>0.13894100950409172</v>
      </c>
      <c r="X54" s="109">
        <f t="shared" si="32"/>
        <v>0.13753707866985199</v>
      </c>
      <c r="Y54" s="109">
        <f t="shared" si="32"/>
        <v>0.1361316563649817</v>
      </c>
      <c r="Z54" s="109">
        <f t="shared" si="32"/>
        <v>0.13472528181282595</v>
      </c>
      <c r="AA54" s="109">
        <f t="shared" si="32"/>
        <v>0.13331848648939371</v>
      </c>
      <c r="AB54" s="109">
        <f>AB22-AB37</f>
        <v>0.13191179355658189</v>
      </c>
      <c r="AC54" s="109">
        <f>AC22-AC37</f>
        <v>9.7879287995323416E-2</v>
      </c>
    </row>
    <row r="55" spans="1:29">
      <c r="B55" s="109"/>
      <c r="C55" s="109"/>
      <c r="D55" s="109"/>
      <c r="E55" s="109"/>
      <c r="F55" s="109"/>
      <c r="G55" s="109"/>
      <c r="H55" s="109"/>
      <c r="I55" s="446"/>
      <c r="J55" s="109"/>
      <c r="K55" s="109"/>
      <c r="L55" s="109"/>
      <c r="M55" s="109"/>
      <c r="N55" s="109"/>
      <c r="O55" s="109"/>
      <c r="P55" s="109"/>
      <c r="Q55" s="109"/>
      <c r="R55" s="109"/>
      <c r="S55" s="109"/>
      <c r="T55" s="109"/>
      <c r="U55" s="109"/>
      <c r="V55" s="109"/>
      <c r="W55" s="109"/>
      <c r="X55" s="109"/>
      <c r="Y55" s="109"/>
    </row>
    <row r="56" spans="1:29" ht="19.5" customHeight="1"/>
    <row r="57" spans="1:29" ht="21.75" customHeight="1">
      <c r="A57" s="679" t="s">
        <v>563</v>
      </c>
    </row>
    <row r="59" spans="1:29">
      <c r="A59" s="78" t="s">
        <v>21</v>
      </c>
      <c r="B59" s="98"/>
      <c r="C59" s="98"/>
      <c r="D59" s="98"/>
      <c r="E59" s="98"/>
      <c r="F59" s="98"/>
      <c r="G59" s="98"/>
      <c r="H59" s="98"/>
    </row>
    <row r="60" spans="1:29">
      <c r="A60" s="98" t="s">
        <v>159</v>
      </c>
      <c r="B60" s="98"/>
      <c r="C60" s="98"/>
      <c r="D60" s="98"/>
      <c r="E60" s="98"/>
      <c r="F60" s="99">
        <f>Assumptions!C25</f>
        <v>2821</v>
      </c>
      <c r="G60" s="98" t="s">
        <v>158</v>
      </c>
      <c r="H60" s="98"/>
    </row>
    <row r="61" spans="1:29">
      <c r="A61" s="98"/>
      <c r="B61" s="98"/>
      <c r="C61" s="98"/>
      <c r="D61" s="98"/>
      <c r="E61" s="98"/>
      <c r="F61" s="677"/>
      <c r="G61" s="98"/>
      <c r="H61" s="98"/>
    </row>
    <row r="62" spans="1:29">
      <c r="A62" s="98" t="s">
        <v>197</v>
      </c>
      <c r="B62" s="98" t="s">
        <v>160</v>
      </c>
      <c r="D62" s="678">
        <f>D12/D25</f>
        <v>21.136121942573556</v>
      </c>
      <c r="E62" s="678">
        <f>E12/E25</f>
        <v>21.135336273947324</v>
      </c>
      <c r="F62" s="678">
        <f t="shared" ref="F62:AC62" si="33">F12/F25</f>
        <v>21.13246048527747</v>
      </c>
      <c r="G62" s="678">
        <f t="shared" si="33"/>
        <v>21.127684320876774</v>
      </c>
      <c r="H62" s="678">
        <f t="shared" si="33"/>
        <v>21.121021935322201</v>
      </c>
      <c r="I62" s="678">
        <f t="shared" si="33"/>
        <v>21.112489096615391</v>
      </c>
      <c r="J62" s="678">
        <f t="shared" si="33"/>
        <v>21.102103147323383</v>
      </c>
      <c r="K62" s="678">
        <f t="shared" si="33"/>
        <v>21.089882962693643</v>
      </c>
      <c r="L62" s="678">
        <f t="shared" si="33"/>
        <v>21.075848905915688</v>
      </c>
      <c r="M62" s="678">
        <f t="shared" si="33"/>
        <v>21.060022780710309</v>
      </c>
      <c r="N62" s="678">
        <f t="shared" si="33"/>
        <v>21.042427781435237</v>
      </c>
      <c r="O62" s="678">
        <f t="shared" si="33"/>
        <v>21.023088440902391</v>
      </c>
      <c r="P62" s="678">
        <f t="shared" si="33"/>
        <v>21.002030576107312</v>
      </c>
      <c r="Q62" s="678">
        <f t="shared" si="33"/>
        <v>20.979281232075667</v>
      </c>
      <c r="R62" s="678">
        <f t="shared" si="33"/>
        <v>20.954868624034553</v>
      </c>
      <c r="S62" s="678">
        <f t="shared" si="33"/>
        <v>20.928822078118348</v>
      </c>
      <c r="T62" s="678">
        <f t="shared" si="33"/>
        <v>20.901171970819462</v>
      </c>
      <c r="U62" s="678">
        <f t="shared" si="33"/>
        <v>20.871949667394194</v>
      </c>
      <c r="V62" s="678">
        <f t="shared" si="33"/>
        <v>20.841187459432195</v>
      </c>
      <c r="W62" s="678">
        <f t="shared" si="33"/>
        <v>20.808918501795858</v>
      </c>
      <c r="X62" s="678">
        <f t="shared" si="33"/>
        <v>20.775176749132321</v>
      </c>
      <c r="Y62" s="678">
        <f t="shared" si="33"/>
        <v>20.739996892156729</v>
      </c>
      <c r="Z62" s="678">
        <f t="shared" si="33"/>
        <v>20.703414293899844</v>
      </c>
      <c r="AA62" s="678">
        <f t="shared" si="33"/>
        <v>20.665464926107532</v>
      </c>
      <c r="AB62" s="678">
        <f t="shared" si="33"/>
        <v>20.626185305972577</v>
      </c>
      <c r="AC62" s="678">
        <f t="shared" si="33"/>
        <v>20.585612433372422</v>
      </c>
    </row>
    <row r="63" spans="1:29">
      <c r="A63" s="72" t="s">
        <v>147</v>
      </c>
    </row>
    <row r="64" spans="1:29">
      <c r="G64" s="73"/>
    </row>
    <row r="65" spans="1:6" ht="15.75" thickBot="1"/>
    <row r="66" spans="1:6">
      <c r="A66" s="528" t="s">
        <v>452</v>
      </c>
      <c r="B66" s="529" t="s">
        <v>453</v>
      </c>
      <c r="C66" s="529" t="s">
        <v>454</v>
      </c>
      <c r="D66" s="529" t="s">
        <v>455</v>
      </c>
      <c r="E66" s="530" t="s">
        <v>75</v>
      </c>
    </row>
    <row r="67" spans="1:6">
      <c r="A67" s="531" t="s">
        <v>456</v>
      </c>
      <c r="B67" s="509">
        <v>21.5</v>
      </c>
      <c r="C67" s="509">
        <v>148</v>
      </c>
      <c r="D67" s="509">
        <v>540</v>
      </c>
      <c r="E67" s="532">
        <f>SUM(B67:D67)</f>
        <v>709.5</v>
      </c>
    </row>
    <row r="68" spans="1:6">
      <c r="A68" s="531" t="s">
        <v>457</v>
      </c>
      <c r="B68" s="509">
        <v>106</v>
      </c>
      <c r="C68" s="509">
        <v>565</v>
      </c>
      <c r="D68" s="509">
        <v>2150</v>
      </c>
      <c r="E68" s="532">
        <f>SUM(B68:D68)</f>
        <v>2821</v>
      </c>
    </row>
    <row r="69" spans="1:6">
      <c r="A69" s="531" t="s">
        <v>460</v>
      </c>
      <c r="B69" s="509">
        <v>183437</v>
      </c>
      <c r="C69" s="509">
        <v>1007508</v>
      </c>
      <c r="D69" s="509">
        <v>2616962</v>
      </c>
      <c r="E69" s="532">
        <f>SUM(B69:D69)</f>
        <v>3807907</v>
      </c>
    </row>
    <row r="70" spans="1:6">
      <c r="A70" s="531" t="s">
        <v>462</v>
      </c>
      <c r="B70" s="509">
        <v>2641.5</v>
      </c>
      <c r="C70" s="509">
        <v>14508.1</v>
      </c>
      <c r="D70" s="509">
        <v>1439.9</v>
      </c>
      <c r="E70" s="532">
        <f>SUM(B70:D70)</f>
        <v>18589.5</v>
      </c>
      <c r="F70" s="72">
        <f>SUM(E70:E72)</f>
        <v>59625.5</v>
      </c>
    </row>
    <row r="71" spans="1:6">
      <c r="A71" s="531" t="s">
        <v>463</v>
      </c>
      <c r="B71" s="509"/>
      <c r="C71" s="509"/>
      <c r="D71" s="509"/>
      <c r="E71" s="532">
        <v>7436</v>
      </c>
      <c r="F71" s="72">
        <f>F70/E68</f>
        <v>21.13629918468628</v>
      </c>
    </row>
    <row r="72" spans="1:6" ht="15.75" thickBot="1">
      <c r="A72" s="533" t="s">
        <v>464</v>
      </c>
      <c r="B72" s="534"/>
      <c r="C72" s="534"/>
      <c r="D72" s="534"/>
      <c r="E72" s="535">
        <f>D10</f>
        <v>33600</v>
      </c>
    </row>
    <row r="73" spans="1:6" ht="15.75" thickBot="1">
      <c r="A73" s="536" t="s">
        <v>506</v>
      </c>
      <c r="B73" s="537">
        <f>B69/B68</f>
        <v>1730.5377358490566</v>
      </c>
      <c r="C73" s="537">
        <f>C69/C68</f>
        <v>1783.2</v>
      </c>
      <c r="D73" s="537">
        <f>D69/D68</f>
        <v>1217.1916279069767</v>
      </c>
      <c r="E73" s="538">
        <f>E69/E68</f>
        <v>1349.8429634881247</v>
      </c>
    </row>
    <row r="74" spans="1:6">
      <c r="A74" s="528" t="s">
        <v>461</v>
      </c>
      <c r="B74" s="539">
        <f>B70/B68</f>
        <v>24.919811320754718</v>
      </c>
      <c r="C74" s="539">
        <f>C70/C68</f>
        <v>25.678053097345135</v>
      </c>
      <c r="D74" s="539">
        <f>D70/D68</f>
        <v>0.66972093023255819</v>
      </c>
      <c r="E74" s="540">
        <f>E70/E68</f>
        <v>6.5896845090393477</v>
      </c>
    </row>
    <row r="75" spans="1:6">
      <c r="A75" s="531" t="s">
        <v>465</v>
      </c>
      <c r="B75" s="541"/>
      <c r="C75" s="541"/>
      <c r="D75" s="541"/>
      <c r="E75" s="542">
        <f>E71/E68</f>
        <v>2.6359447004608296</v>
      </c>
    </row>
    <row r="76" spans="1:6" ht="15.75" thickBot="1">
      <c r="A76" s="533" t="s">
        <v>466</v>
      </c>
      <c r="B76" s="543"/>
      <c r="C76" s="543"/>
      <c r="D76" s="543"/>
      <c r="E76" s="544">
        <f>E72/E68</f>
        <v>11.910669975186105</v>
      </c>
    </row>
    <row r="77" spans="1:6">
      <c r="A77" s="72" t="s">
        <v>458</v>
      </c>
    </row>
    <row r="78" spans="1:6" ht="15.75">
      <c r="A78" s="385" t="s">
        <v>459</v>
      </c>
    </row>
    <row r="81" spans="1:1">
      <c r="A81" s="72" t="s">
        <v>503</v>
      </c>
    </row>
  </sheetData>
  <hyperlinks>
    <hyperlink ref="A78" r:id="rId1"/>
  </hyperlinks>
  <pageMargins left="0.7" right="0.7" top="0.75" bottom="0.75" header="0.3" footer="0.3"/>
  <pageSetup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126"/>
  <sheetViews>
    <sheetView zoomScale="80" zoomScaleNormal="80" workbookViewId="0">
      <pane ySplit="4" topLeftCell="A5" activePane="bottomLeft" state="frozen"/>
      <selection pane="bottomLeft" sqref="A1:XFD2"/>
    </sheetView>
  </sheetViews>
  <sheetFormatPr defaultColWidth="8.88671875" defaultRowHeight="15"/>
  <cols>
    <col min="1" max="1" width="39.6640625" style="19" customWidth="1"/>
    <col min="2" max="2" width="11" style="19" customWidth="1"/>
    <col min="3" max="3" width="10.6640625" style="19" customWidth="1"/>
    <col min="4" max="4" width="11.109375" style="19" customWidth="1"/>
    <col min="5" max="5" width="11.88671875" style="117" bestFit="1" customWidth="1"/>
    <col min="6" max="22" width="11.88671875" style="19" bestFit="1" customWidth="1"/>
    <col min="23" max="24" width="9" style="19" bestFit="1" customWidth="1"/>
    <col min="25" max="16384" width="8.88671875" style="19"/>
  </cols>
  <sheetData>
    <row r="1" spans="1:26" s="1" customFormat="1" ht="20.25">
      <c r="A1" s="2" t="s">
        <v>576</v>
      </c>
      <c r="B1" s="2"/>
      <c r="C1" s="3"/>
    </row>
    <row r="2" spans="1:26" s="1" customFormat="1" ht="15.75">
      <c r="A2" s="702" t="s">
        <v>595</v>
      </c>
      <c r="B2" s="9"/>
    </row>
    <row r="3" spans="1:26" s="1" customFormat="1" ht="15.75">
      <c r="A3" s="702"/>
      <c r="B3" s="9"/>
    </row>
    <row r="4" spans="1:26" ht="21">
      <c r="A4" s="21" t="s">
        <v>149</v>
      </c>
      <c r="B4" s="19">
        <v>2009</v>
      </c>
      <c r="C4" s="19">
        <v>2010</v>
      </c>
      <c r="D4" s="19">
        <v>2011</v>
      </c>
      <c r="E4" s="117">
        <v>2012</v>
      </c>
      <c r="F4" s="19">
        <v>2013</v>
      </c>
      <c r="G4" s="19">
        <v>2014</v>
      </c>
      <c r="H4" s="19">
        <v>2015</v>
      </c>
      <c r="I4" s="19">
        <v>2016</v>
      </c>
      <c r="J4" s="19">
        <v>2017</v>
      </c>
      <c r="K4" s="19">
        <v>2018</v>
      </c>
      <c r="L4" s="19">
        <v>2019</v>
      </c>
      <c r="M4" s="19">
        <v>2020</v>
      </c>
      <c r="N4" s="19">
        <v>2021</v>
      </c>
      <c r="O4" s="19">
        <v>2022</v>
      </c>
      <c r="P4" s="19">
        <v>2023</v>
      </c>
      <c r="Q4" s="19">
        <v>2024</v>
      </c>
      <c r="R4" s="19">
        <v>2025</v>
      </c>
      <c r="S4" s="19">
        <v>2026</v>
      </c>
      <c r="T4" s="19">
        <v>2027</v>
      </c>
      <c r="U4" s="19">
        <v>2028</v>
      </c>
      <c r="V4" s="19">
        <v>2029</v>
      </c>
      <c r="W4" s="19">
        <v>2030</v>
      </c>
      <c r="X4" s="19">
        <v>2031</v>
      </c>
      <c r="Y4" s="19">
        <v>2032</v>
      </c>
      <c r="Z4" s="19">
        <v>2033</v>
      </c>
    </row>
    <row r="5" spans="1:26" ht="18.75">
      <c r="A5" s="104" t="s">
        <v>180</v>
      </c>
    </row>
    <row r="6" spans="1:26" ht="15.75">
      <c r="A6" s="519"/>
    </row>
    <row r="7" spans="1:26">
      <c r="A7" s="19" t="s">
        <v>150</v>
      </c>
      <c r="B7" s="633">
        <f>Population!D21</f>
        <v>1112300</v>
      </c>
      <c r="C7" s="523">
        <f>B7*(1+$C$57)</f>
        <v>1156792</v>
      </c>
      <c r="D7" s="523">
        <f t="shared" ref="D7:V7" si="0">C7*(1+$C$57)</f>
        <v>1203063.68</v>
      </c>
      <c r="E7" s="524">
        <f t="shared" si="0"/>
        <v>1251186.2272000001</v>
      </c>
      <c r="F7" s="523">
        <f t="shared" si="0"/>
        <v>1301233.6762880001</v>
      </c>
      <c r="G7" s="523">
        <f t="shared" si="0"/>
        <v>1353283.0233395202</v>
      </c>
      <c r="H7" s="523">
        <f t="shared" si="0"/>
        <v>1407414.3442731011</v>
      </c>
      <c r="I7" s="523">
        <f t="shared" si="0"/>
        <v>1463710.9180440251</v>
      </c>
      <c r="J7" s="523">
        <f t="shared" si="0"/>
        <v>1522259.3547657861</v>
      </c>
      <c r="K7" s="523">
        <f t="shared" si="0"/>
        <v>1583149.7289564176</v>
      </c>
      <c r="L7" s="523">
        <f t="shared" si="0"/>
        <v>1646475.7181146743</v>
      </c>
      <c r="M7" s="523">
        <f t="shared" si="0"/>
        <v>1712334.7468392614</v>
      </c>
      <c r="N7" s="523">
        <f t="shared" si="0"/>
        <v>1780828.1367128319</v>
      </c>
      <c r="O7" s="523">
        <f t="shared" si="0"/>
        <v>1852061.2621813451</v>
      </c>
      <c r="P7" s="523">
        <f t="shared" si="0"/>
        <v>1926143.7126685991</v>
      </c>
      <c r="Q7" s="523">
        <f t="shared" si="0"/>
        <v>2003189.461175343</v>
      </c>
      <c r="R7" s="523">
        <f t="shared" si="0"/>
        <v>2083317.0396223569</v>
      </c>
      <c r="S7" s="523">
        <f t="shared" si="0"/>
        <v>2166649.7212072513</v>
      </c>
      <c r="T7" s="523">
        <f t="shared" si="0"/>
        <v>2253315.7100555412</v>
      </c>
      <c r="U7" s="523">
        <f t="shared" si="0"/>
        <v>2343448.3384577632</v>
      </c>
      <c r="V7" s="523">
        <f t="shared" si="0"/>
        <v>2437186.2719960739</v>
      </c>
      <c r="W7" s="523">
        <f>V7*(1+$C$57)</f>
        <v>2534673.7228759169</v>
      </c>
      <c r="X7" s="523">
        <f>W7*(1+$C$57)</f>
        <v>2636060.6717909537</v>
      </c>
      <c r="Y7" s="523">
        <f t="shared" ref="Y7:Z7" si="1">X7*(1+$C$57)</f>
        <v>2741503.098662592</v>
      </c>
      <c r="Z7" s="523">
        <f t="shared" si="1"/>
        <v>2851163.2226090957</v>
      </c>
    </row>
    <row r="8" spans="1:26">
      <c r="A8" s="19" t="s">
        <v>257</v>
      </c>
      <c r="B8" s="110">
        <f>'Power Quality'!B15</f>
        <v>2607.1799999999998</v>
      </c>
      <c r="C8" s="110">
        <f>'Power Quality'!C15</f>
        <v>0</v>
      </c>
      <c r="D8" s="110">
        <f>'Power Quality'!D15</f>
        <v>0</v>
      </c>
      <c r="E8" s="110">
        <f>'Power Quality'!E15</f>
        <v>4138.9985271296391</v>
      </c>
      <c r="F8" s="110">
        <f>'Power Quality'!F15</f>
        <v>4913.8860914920187</v>
      </c>
      <c r="G8" s="110">
        <f>'Power Quality'!G15</f>
        <v>5595.0991488591071</v>
      </c>
      <c r="H8" s="110">
        <f>'Power Quality'!H15</f>
        <v>5960.3474159952821</v>
      </c>
      <c r="I8" s="110">
        <f>'Power Quality'!I15</f>
        <v>6936.3684665949841</v>
      </c>
      <c r="J8" s="110">
        <f>'Power Quality'!J15</f>
        <v>7738.0031968576941</v>
      </c>
      <c r="K8" s="110">
        <f>'Power Quality'!K15</f>
        <v>8666.5635804806188</v>
      </c>
      <c r="L8" s="110">
        <f>'Power Quality'!L15</f>
        <v>9706.5512101382938</v>
      </c>
      <c r="M8" s="110">
        <f>'Power Quality'!M15</f>
        <v>10871.337355354888</v>
      </c>
      <c r="N8" s="110">
        <f>'Power Quality'!N15</f>
        <v>12175.897837997476</v>
      </c>
      <c r="O8" s="110">
        <f>'Power Quality'!O15</f>
        <v>13637.005578557177</v>
      </c>
      <c r="P8" s="110">
        <f>'Power Quality'!P15</f>
        <v>15273.446247984039</v>
      </c>
      <c r="Q8" s="110">
        <f>'Power Quality'!Q15</f>
        <v>17106.259797742125</v>
      </c>
      <c r="R8" s="110">
        <f>'Power Quality'!R15</f>
        <v>19159.01097347118</v>
      </c>
      <c r="S8" s="110">
        <f>'Power Quality'!S15</f>
        <v>21458.092290287725</v>
      </c>
      <c r="T8" s="110">
        <f>'Power Quality'!T15</f>
        <v>24033.063365122252</v>
      </c>
      <c r="U8" s="110">
        <f>'Power Quality'!U15</f>
        <v>26917.030968936924</v>
      </c>
      <c r="V8" s="110">
        <f>'Power Quality'!V15</f>
        <v>30147.074685209354</v>
      </c>
      <c r="W8" s="110">
        <f>'Power Quality'!W15</f>
        <v>33764.723647434483</v>
      </c>
      <c r="X8" s="110">
        <f>'Power Quality'!X15</f>
        <v>37816.490485126618</v>
      </c>
      <c r="Y8" s="110">
        <f>'Power Quality'!Y15</f>
        <v>42354.469343341814</v>
      </c>
      <c r="Z8" s="110">
        <f>'Power Quality'!Z15</f>
        <v>47437.005664542841</v>
      </c>
    </row>
    <row r="9" spans="1:26">
      <c r="A9" s="19" t="s">
        <v>345</v>
      </c>
      <c r="B9" s="110">
        <f>(B8*10^6)/B7</f>
        <v>2343.9539692528992</v>
      </c>
      <c r="C9" s="110">
        <f t="shared" ref="C9:X9" si="2">(C8*10^6)/C7</f>
        <v>0</v>
      </c>
      <c r="D9" s="110">
        <f t="shared" si="2"/>
        <v>0</v>
      </c>
      <c r="E9" s="660">
        <f t="shared" si="2"/>
        <v>3308.0595335453822</v>
      </c>
      <c r="F9" s="110">
        <f t="shared" si="2"/>
        <v>3776.3287110042761</v>
      </c>
      <c r="G9" s="110">
        <f t="shared" si="2"/>
        <v>4134.4634140550897</v>
      </c>
      <c r="H9" s="110">
        <f t="shared" si="2"/>
        <v>4234.9628169191865</v>
      </c>
      <c r="I9" s="110">
        <f t="shared" si="2"/>
        <v>4738.8923462182947</v>
      </c>
      <c r="J9" s="110">
        <f t="shared" si="2"/>
        <v>5083.2357657268321</v>
      </c>
      <c r="K9" s="110">
        <f t="shared" si="2"/>
        <v>5474.2539015519742</v>
      </c>
      <c r="L9" s="110">
        <f t="shared" si="2"/>
        <v>5895.3503555175112</v>
      </c>
      <c r="M9" s="110">
        <f t="shared" si="2"/>
        <v>6348.8388444034726</v>
      </c>
      <c r="N9" s="110">
        <f t="shared" si="2"/>
        <v>6837.2110632037402</v>
      </c>
      <c r="O9" s="110">
        <f t="shared" si="2"/>
        <v>7363.1503757578757</v>
      </c>
      <c r="P9" s="110">
        <f t="shared" si="2"/>
        <v>7929.5465585084812</v>
      </c>
      <c r="Q9" s="110">
        <f t="shared" si="2"/>
        <v>8539.5116783937501</v>
      </c>
      <c r="R9" s="110">
        <f t="shared" si="2"/>
        <v>9196.3971921163447</v>
      </c>
      <c r="S9" s="110">
        <f t="shared" si="2"/>
        <v>9903.8123607406797</v>
      </c>
      <c r="T9" s="110">
        <f t="shared" si="2"/>
        <v>10665.644080797658</v>
      </c>
      <c r="U9" s="110">
        <f t="shared" si="2"/>
        <v>11486.078240859015</v>
      </c>
      <c r="V9" s="110">
        <f t="shared" si="2"/>
        <v>12369.62272092509</v>
      </c>
      <c r="W9" s="110">
        <f t="shared" si="2"/>
        <v>13321.132160996254</v>
      </c>
      <c r="X9" s="110">
        <f t="shared" si="2"/>
        <v>14345.83463491904</v>
      </c>
      <c r="Y9" s="110">
        <f t="shared" ref="Y9:Z9" si="3">(Y8*10^6)/Y7</f>
        <v>15449.360376066659</v>
      </c>
      <c r="Z9" s="110">
        <f t="shared" si="3"/>
        <v>16637.772712687172</v>
      </c>
    </row>
    <row r="11" spans="1:26" s="88" customFormat="1">
      <c r="A11" s="80" t="s">
        <v>77</v>
      </c>
      <c r="E11" s="560"/>
    </row>
    <row r="12" spans="1:26" s="72" customFormat="1">
      <c r="A12" s="87" t="s">
        <v>343</v>
      </c>
      <c r="E12" s="441"/>
    </row>
    <row r="13" spans="1:26" s="72" customFormat="1">
      <c r="A13" s="72" t="s">
        <v>339</v>
      </c>
      <c r="B13" s="313">
        <f>Pollution!E12*10^12/365</f>
        <v>169326006272262.28</v>
      </c>
      <c r="C13" s="313">
        <f>Pollution!F12*10^12/365</f>
        <v>175521989439830.28</v>
      </c>
      <c r="D13" s="313">
        <f>Pollution!G12*10^12/365</f>
        <v>181952946735862.62</v>
      </c>
      <c r="E13" s="661">
        <f>Pollution!H12*10^12/365</f>
        <v>188628064603728.56</v>
      </c>
      <c r="F13" s="313">
        <f>Pollution!I12*10^12/365</f>
        <v>195556897504167.44</v>
      </c>
      <c r="G13" s="313">
        <f>Pollution!J12*10^12/365</f>
        <v>202749382935441.97</v>
      </c>
      <c r="H13" s="313">
        <f>Pollution!K12*10^12/365</f>
        <v>210215857074965.66</v>
      </c>
      <c r="I13" s="313">
        <f>Pollution!L12*10^12/365</f>
        <v>217967071068370.75</v>
      </c>
      <c r="J13" s="313">
        <f>Pollution!M12*10^12/365</f>
        <v>226014207993077</v>
      </c>
      <c r="K13" s="313">
        <f>Pollution!N12*10^12/365</f>
        <v>234368900524557.94</v>
      </c>
      <c r="L13" s="313">
        <f>Pollution!O12*10^12/365</f>
        <v>243043249334690.47</v>
      </c>
      <c r="M13" s="313">
        <f>Pollution!P12*10^12/365</f>
        <v>252049842252808.12</v>
      </c>
      <c r="N13" s="313">
        <f>Pollution!Q12*10^12/365</f>
        <v>261401774221369.87</v>
      </c>
      <c r="O13" s="313">
        <f>Pollution!R12*10^12/365</f>
        <v>271112668079497.91</v>
      </c>
      <c r="P13" s="313">
        <f>Pollution!S12*10^12/365</f>
        <v>281196696209040.56</v>
      </c>
      <c r="Q13" s="313">
        <f>Pollution!T12*10^12/365</f>
        <v>291668603079274.12</v>
      </c>
      <c r="R13" s="313">
        <f>Pollution!U12*10^12/365</f>
        <v>302543728727881.12</v>
      </c>
      <c r="S13" s="313">
        <f>Pollution!V12*10^12/365</f>
        <v>313838033217426.25</v>
      </c>
      <c r="T13" s="313">
        <f>Pollution!W12*10^12/365</f>
        <v>325568122108207.06</v>
      </c>
      <c r="U13" s="313">
        <f>Pollution!X12*10^12/365</f>
        <v>337751272990076.25</v>
      </c>
      <c r="V13" s="313">
        <f>Pollution!Y12*10^12/365</f>
        <v>350405463117631.31</v>
      </c>
      <c r="W13" s="313">
        <f>Pollution!Z12*10^12/365</f>
        <v>363549398195037.62</v>
      </c>
      <c r="X13" s="313">
        <f>Pollution!AA12*10^12/365</f>
        <v>377202542358702.87</v>
      </c>
      <c r="Y13" s="313">
        <f>Pollution!AB12*10^12/365</f>
        <v>391385149408053.5</v>
      </c>
      <c r="Z13" s="313">
        <f>Pollution!AC12*10^12/365</f>
        <v>406118295336787.31</v>
      </c>
    </row>
    <row r="14" spans="1:26" s="72" customFormat="1">
      <c r="A14" s="72" t="s">
        <v>338</v>
      </c>
      <c r="B14" s="312">
        <f>Pollution!E21</f>
        <v>8.2288516811868639</v>
      </c>
      <c r="C14" s="312">
        <f>Pollution!F21</f>
        <v>8.4642499988714839</v>
      </c>
      <c r="D14" s="312">
        <f>Pollution!G21</f>
        <v>8.7063822291499395</v>
      </c>
      <c r="E14" s="579">
        <f>Pollution!H21</f>
        <v>8.9554410054244897</v>
      </c>
      <c r="F14" s="312">
        <f>Pollution!I21</f>
        <v>9.2116244716571369</v>
      </c>
      <c r="G14" s="312">
        <f>Pollution!J21</f>
        <v>9.4751364400072369</v>
      </c>
      <c r="H14" s="312">
        <f>Pollution!K21</f>
        <v>9.7461865529785587</v>
      </c>
      <c r="I14" s="312">
        <f>Pollution!L21</f>
        <v>10.024990450204802</v>
      </c>
      <c r="J14" s="312">
        <f>Pollution!M21</f>
        <v>10.311769940006256</v>
      </c>
      <c r="K14" s="312">
        <f>Pollution!N21</f>
        <v>10.606753175854081</v>
      </c>
      <c r="L14" s="312">
        <f>Pollution!O21</f>
        <v>10.91017483788262</v>
      </c>
      <c r="M14" s="312">
        <f>Pollution!P21</f>
        <v>11.222276319594126</v>
      </c>
      <c r="N14" s="312">
        <f>Pollution!Q21</f>
        <v>11.543305919904457</v>
      </c>
      <c r="O14" s="312">
        <f>Pollution!R21</f>
        <v>11.873519040682508</v>
      </c>
      <c r="P14" s="312">
        <f>Pollution!S21</f>
        <v>12.213178389940563</v>
      </c>
      <c r="Q14" s="312">
        <f>Pollution!T21</f>
        <v>12.562554190837185</v>
      </c>
      <c r="R14" s="312">
        <f>Pollution!U21</f>
        <v>12.921924396658957</v>
      </c>
      <c r="S14" s="312">
        <f>Pollution!V21</f>
        <v>13.291574911952077</v>
      </c>
      <c r="T14" s="312">
        <f>Pollution!W21</f>
        <v>13.67179981997975</v>
      </c>
      <c r="U14" s="312">
        <f>Pollution!X21</f>
        <v>14.062901616686329</v>
      </c>
      <c r="V14" s="312">
        <f>Pollution!Y21</f>
        <v>14.465191451354345</v>
      </c>
      <c r="W14" s="312">
        <f>Pollution!Z21</f>
        <v>14.878989374145881</v>
      </c>
      <c r="X14" s="312">
        <f>Pollution!AA21</f>
        <v>15.304624590725227</v>
      </c>
      <c r="Y14" s="312">
        <f>Pollution!AB21</f>
        <v>15.742435724165388</v>
      </c>
      <c r="Z14" s="312">
        <f>Pollution!AC21</f>
        <v>16.192771084346813</v>
      </c>
    </row>
    <row r="15" spans="1:26" s="72" customFormat="1">
      <c r="A15" s="72" t="s">
        <v>337</v>
      </c>
      <c r="B15" s="313">
        <f t="shared" ref="B15:X15" si="4">(20*B7*B14)/B13</f>
        <v>1.0811040697749589E-6</v>
      </c>
      <c r="C15" s="313">
        <f t="shared" si="4"/>
        <v>1.1156866117964176E-6</v>
      </c>
      <c r="D15" s="313">
        <f t="shared" si="4"/>
        <v>1.1513231779964633E-6</v>
      </c>
      <c r="E15" s="661">
        <f t="shared" si="4"/>
        <v>1.1880442571500314E-6</v>
      </c>
      <c r="F15" s="313">
        <f t="shared" si="4"/>
        <v>1.2258811761506377E-6</v>
      </c>
      <c r="G15" s="313">
        <f t="shared" si="4"/>
        <v>1.2648661221494633E-6</v>
      </c>
      <c r="H15" s="313">
        <f t="shared" si="4"/>
        <v>1.3050321652692456E-6</v>
      </c>
      <c r="I15" s="313">
        <f t="shared" si="4"/>
        <v>1.3464132819079898E-6</v>
      </c>
      <c r="J15" s="313">
        <f t="shared" si="4"/>
        <v>1.3890443786479095E-6</v>
      </c>
      <c r="K15" s="313">
        <f t="shared" si="4"/>
        <v>1.432961316785414E-6</v>
      </c>
      <c r="L15" s="313">
        <f t="shared" si="4"/>
        <v>1.4782009374983664E-6</v>
      </c>
      <c r="M15" s="313">
        <f t="shared" si="4"/>
        <v>1.5248010876672828E-6</v>
      </c>
      <c r="N15" s="313">
        <f t="shared" si="4"/>
        <v>1.5728006463675433E-6</v>
      </c>
      <c r="O15" s="313">
        <f t="shared" si="4"/>
        <v>1.6222395520501791E-6</v>
      </c>
      <c r="P15" s="313">
        <f t="shared" si="4"/>
        <v>1.6731588304292251E-6</v>
      </c>
      <c r="Q15" s="313">
        <f t="shared" si="4"/>
        <v>1.7256006230941088E-6</v>
      </c>
      <c r="R15" s="313">
        <f t="shared" si="4"/>
        <v>1.7796082168660448E-6</v>
      </c>
      <c r="S15" s="313">
        <f t="shared" si="4"/>
        <v>1.8352260739178765E-6</v>
      </c>
      <c r="T15" s="313">
        <f t="shared" si="4"/>
        <v>1.8924998626773293E-6</v>
      </c>
      <c r="U15" s="313">
        <f t="shared" si="4"/>
        <v>1.9514764895341708E-6</v>
      </c>
      <c r="V15" s="313">
        <f t="shared" si="4"/>
        <v>2.0122041313722818E-6</v>
      </c>
      <c r="W15" s="313">
        <f t="shared" si="4"/>
        <v>2.074732268948222E-6</v>
      </c>
      <c r="X15" s="313">
        <f t="shared" si="4"/>
        <v>2.1391117211384124E-6</v>
      </c>
      <c r="Y15" s="313">
        <f t="shared" ref="Y15:Z15" si="5">(20*Y7*Y14)/Y13</f>
        <v>2.2053946800776618E-6</v>
      </c>
      <c r="Z15" s="313">
        <f t="shared" si="5"/>
        <v>2.2736347472123152E-6</v>
      </c>
    </row>
    <row r="16" spans="1:26" s="72" customFormat="1">
      <c r="A16" s="72" t="s">
        <v>340</v>
      </c>
      <c r="B16" s="74">
        <f>B15*Pollution!E12*10^6</f>
        <v>66816.54759238429</v>
      </c>
      <c r="C16" s="74">
        <f>C15*Pollution!F12*10^6</f>
        <v>71477.049798270164</v>
      </c>
      <c r="D16" s="74">
        <f>D15*Pollution!G12*10^6</f>
        <v>76462.625381840422</v>
      </c>
      <c r="E16" s="444">
        <f>E15*Pollution!H12*10^6</f>
        <v>81795.948444771464</v>
      </c>
      <c r="F16" s="74">
        <f>F15*Pollution!I12*10^6</f>
        <v>87501.274623624136</v>
      </c>
      <c r="G16" s="74">
        <f>G15*Pollution!J12*10^6</f>
        <v>93604.551403038407</v>
      </c>
      <c r="H16" s="74">
        <f>H15*Pollution!K12*10^6</f>
        <v>100133.53612335253</v>
      </c>
      <c r="I16" s="74">
        <f>I15*Pollution!L12*10^6</f>
        <v>107117.92221933856</v>
      </c>
      <c r="J16" s="74">
        <f>J15*Pollution!M12*10^6</f>
        <v>114589.4742641802</v>
      </c>
      <c r="K16" s="74">
        <f>K15*Pollution!N12*10^6</f>
        <v>122582.17243286538</v>
      </c>
      <c r="L16" s="74">
        <f>L15*Pollution!O12*10^6</f>
        <v>131132.36704200387</v>
      </c>
      <c r="M16" s="74">
        <f>M15*Pollution!P12*10^6</f>
        <v>140278.94386890886</v>
      </c>
      <c r="N16" s="74">
        <f>N15*Pollution!Q12*10^6</f>
        <v>150063.50100180248</v>
      </c>
      <c r="O16" s="74">
        <f>O15*Pollution!R12*10^6</f>
        <v>160530.53802545095</v>
      </c>
      <c r="P16" s="74">
        <f>P15*Pollution!S12*10^6</f>
        <v>171727.65840263336</v>
      </c>
      <c r="Q16" s="74">
        <f>Q15*Pollution!T12*10^6</f>
        <v>183705.78597186308</v>
      </c>
      <c r="R16" s="74">
        <f>R15*Pollution!U12*10^6</f>
        <v>196519.39654598155</v>
      </c>
      <c r="S16" s="74">
        <f>S15*Pollution!V12*10^6</f>
        <v>210226.76566491972</v>
      </c>
      <c r="T16" s="74">
        <f>T15*Pollution!W12*10^6</f>
        <v>224890.23362939269</v>
      </c>
      <c r="U16" s="74">
        <f>U15*Pollution!X12*10^6</f>
        <v>240576.48902088555</v>
      </c>
      <c r="V16" s="74">
        <f>V15*Pollution!Y12*10^6</f>
        <v>257356.87199736113</v>
      </c>
      <c r="W16" s="74">
        <f>W15*Pollution!Z12*10^6</f>
        <v>275307.69874406216</v>
      </c>
      <c r="X16" s="74">
        <f>X15*Pollution!AA12*10^6</f>
        <v>294510.60855498904</v>
      </c>
      <c r="Y16" s="74">
        <f>Y15*Pollution!AB12*10^6</f>
        <v>315052.93512356159</v>
      </c>
      <c r="Z16" s="74">
        <f>Z15*Pollution!AC12*10^6</f>
        <v>337028.10373106872</v>
      </c>
    </row>
    <row r="17" spans="1:26" s="72" customFormat="1">
      <c r="B17" s="74"/>
      <c r="C17" s="74"/>
      <c r="D17" s="74"/>
      <c r="E17" s="444"/>
      <c r="F17" s="74"/>
      <c r="G17" s="74"/>
      <c r="H17" s="74"/>
      <c r="I17" s="74"/>
      <c r="J17" s="74"/>
      <c r="K17" s="74"/>
      <c r="L17" s="74"/>
      <c r="M17" s="74"/>
      <c r="N17" s="74"/>
      <c r="O17" s="74"/>
      <c r="P17" s="74"/>
      <c r="Q17" s="74"/>
      <c r="R17" s="74"/>
      <c r="S17" s="74"/>
      <c r="T17" s="74"/>
      <c r="U17" s="74"/>
      <c r="V17" s="74"/>
      <c r="W17" s="74"/>
      <c r="X17" s="74"/>
      <c r="Y17" s="74"/>
      <c r="Z17" s="74"/>
    </row>
    <row r="18" spans="1:26" s="72" customFormat="1">
      <c r="A18" s="87" t="s">
        <v>178</v>
      </c>
      <c r="B18" s="313"/>
      <c r="C18" s="313"/>
      <c r="D18" s="313"/>
      <c r="E18" s="661"/>
      <c r="F18" s="313"/>
      <c r="G18" s="313"/>
      <c r="H18" s="313"/>
      <c r="I18" s="313"/>
      <c r="J18" s="313"/>
      <c r="K18" s="313"/>
      <c r="L18" s="313"/>
      <c r="M18" s="313"/>
      <c r="N18" s="313"/>
      <c r="O18" s="313"/>
      <c r="P18" s="313"/>
      <c r="Q18" s="313"/>
      <c r="R18" s="313"/>
      <c r="S18" s="313"/>
      <c r="T18" s="313"/>
      <c r="U18" s="313"/>
      <c r="V18" s="313"/>
      <c r="W18" s="313"/>
      <c r="X18" s="313"/>
      <c r="Y18" s="313"/>
      <c r="Z18" s="313"/>
    </row>
    <row r="19" spans="1:26">
      <c r="A19" s="19" t="s">
        <v>154</v>
      </c>
      <c r="B19" s="22">
        <f>B7*$C$55*$C$54</f>
        <v>42267.4</v>
      </c>
      <c r="C19" s="22">
        <f>C7*$C$55*$C$54</f>
        <v>43958.095999999998</v>
      </c>
      <c r="D19" s="22">
        <f t="shared" ref="D19:X19" si="6">D7*$C$55*$C$54</f>
        <v>45716.419839999995</v>
      </c>
      <c r="E19" s="581">
        <f t="shared" si="6"/>
        <v>47545.076633600002</v>
      </c>
      <c r="F19" s="22">
        <f t="shared" si="6"/>
        <v>49446.879698944002</v>
      </c>
      <c r="G19" s="22">
        <f t="shared" si="6"/>
        <v>51424.75488690177</v>
      </c>
      <c r="H19" s="22">
        <f t="shared" si="6"/>
        <v>53481.745082377842</v>
      </c>
      <c r="I19" s="22">
        <f t="shared" si="6"/>
        <v>55621.01488567295</v>
      </c>
      <c r="J19" s="22">
        <f t="shared" si="6"/>
        <v>57845.855481099868</v>
      </c>
      <c r="K19" s="22">
        <f t="shared" si="6"/>
        <v>60159.689700343872</v>
      </c>
      <c r="L19" s="22">
        <f t="shared" si="6"/>
        <v>62566.077288357621</v>
      </c>
      <c r="M19" s="22">
        <f t="shared" si="6"/>
        <v>65068.720379891929</v>
      </c>
      <c r="N19" s="22">
        <f t="shared" si="6"/>
        <v>67671.469195087615</v>
      </c>
      <c r="O19" s="22">
        <f t="shared" si="6"/>
        <v>70378.327962891111</v>
      </c>
      <c r="P19" s="22">
        <f t="shared" si="6"/>
        <v>73193.461081406771</v>
      </c>
      <c r="Q19" s="22">
        <f t="shared" si="6"/>
        <v>76121.199524663039</v>
      </c>
      <c r="R19" s="22">
        <f t="shared" si="6"/>
        <v>79166.047505649563</v>
      </c>
      <c r="S19" s="22">
        <f t="shared" si="6"/>
        <v>82332.689405875542</v>
      </c>
      <c r="T19" s="22">
        <f t="shared" si="6"/>
        <v>85625.996982110562</v>
      </c>
      <c r="U19" s="22">
        <f t="shared" si="6"/>
        <v>89051.036861394998</v>
      </c>
      <c r="V19" s="22">
        <f t="shared" si="6"/>
        <v>92613.078335850805</v>
      </c>
      <c r="W19" s="22">
        <f t="shared" si="6"/>
        <v>96317.60146928484</v>
      </c>
      <c r="X19" s="22">
        <f t="shared" si="6"/>
        <v>100170.30552805624</v>
      </c>
      <c r="Y19" s="22">
        <f t="shared" ref="Y19:Z19" si="7">Y7*$C$55*$C$54</f>
        <v>104177.11774917849</v>
      </c>
      <c r="Z19" s="22">
        <f t="shared" si="7"/>
        <v>108344.20245914563</v>
      </c>
    </row>
    <row r="20" spans="1:26">
      <c r="A20" s="19" t="s">
        <v>260</v>
      </c>
      <c r="B20" s="22">
        <f t="shared" ref="B20:X20" si="8">B19*$C$53/$C$56</f>
        <v>3359480.6679410441</v>
      </c>
      <c r="C20" s="22">
        <f t="shared" si="8"/>
        <v>3493859.8946586857</v>
      </c>
      <c r="D20" s="22">
        <f t="shared" si="8"/>
        <v>3633614.290445033</v>
      </c>
      <c r="E20" s="581">
        <f t="shared" si="8"/>
        <v>3778958.8620628347</v>
      </c>
      <c r="F20" s="22">
        <f t="shared" si="8"/>
        <v>3930117.2165453485</v>
      </c>
      <c r="G20" s="22">
        <f t="shared" si="8"/>
        <v>4087321.9052071627</v>
      </c>
      <c r="H20" s="22">
        <f t="shared" si="8"/>
        <v>4250814.7814154495</v>
      </c>
      <c r="I20" s="22">
        <f t="shared" si="8"/>
        <v>4420847.372672067</v>
      </c>
      <c r="J20" s="22">
        <f t="shared" si="8"/>
        <v>4597681.2675789502</v>
      </c>
      <c r="K20" s="22">
        <f t="shared" si="8"/>
        <v>4781588.5182821089</v>
      </c>
      <c r="L20" s="22">
        <f t="shared" si="8"/>
        <v>4972852.0590133928</v>
      </c>
      <c r="M20" s="22">
        <f t="shared" si="8"/>
        <v>5171766.1413739277</v>
      </c>
      <c r="N20" s="22">
        <f t="shared" si="8"/>
        <v>5378636.7870288864</v>
      </c>
      <c r="O20" s="22">
        <f t="shared" si="8"/>
        <v>5593782.2585100411</v>
      </c>
      <c r="P20" s="22">
        <f t="shared" si="8"/>
        <v>5817533.5488504441</v>
      </c>
      <c r="Q20" s="22">
        <f t="shared" si="8"/>
        <v>6050234.8908044612</v>
      </c>
      <c r="R20" s="22">
        <f t="shared" si="8"/>
        <v>6292244.2864366397</v>
      </c>
      <c r="S20" s="22">
        <f t="shared" si="8"/>
        <v>6543934.0578941051</v>
      </c>
      <c r="T20" s="22">
        <f t="shared" si="8"/>
        <v>6805691.4202098688</v>
      </c>
      <c r="U20" s="22">
        <f t="shared" si="8"/>
        <v>7077919.0770182647</v>
      </c>
      <c r="V20" s="22">
        <f t="shared" si="8"/>
        <v>7361035.8400989966</v>
      </c>
      <c r="W20" s="22">
        <f t="shared" si="8"/>
        <v>7655477.2737029567</v>
      </c>
      <c r="X20" s="22">
        <f t="shared" si="8"/>
        <v>7961696.3646510756</v>
      </c>
      <c r="Y20" s="22">
        <f t="shared" ref="Y20:Z20" si="9">Y19*$C$53/$C$56</f>
        <v>8280164.219237118</v>
      </c>
      <c r="Z20" s="22">
        <f t="shared" si="9"/>
        <v>8611370.7880066037</v>
      </c>
    </row>
    <row r="21" spans="1:26">
      <c r="A21" s="19" t="s">
        <v>342</v>
      </c>
      <c r="B21" s="24"/>
      <c r="C21" s="23">
        <f t="shared" ref="C21:X21" si="10">C20/C16</f>
        <v>48.88086322140343</v>
      </c>
      <c r="D21" s="23">
        <f t="shared" si="10"/>
        <v>47.52144295725428</v>
      </c>
      <c r="E21" s="662">
        <f t="shared" si="10"/>
        <v>46.199829379255668</v>
      </c>
      <c r="F21" s="23">
        <f t="shared" si="10"/>
        <v>44.914971049853385</v>
      </c>
      <c r="G21" s="23">
        <f t="shared" si="10"/>
        <v>43.66584577290638</v>
      </c>
      <c r="H21" s="23">
        <f t="shared" si="10"/>
        <v>42.451459780457114</v>
      </c>
      <c r="I21" s="23">
        <f t="shared" si="10"/>
        <v>41.270846942118411</v>
      </c>
      <c r="J21" s="23">
        <f t="shared" si="10"/>
        <v>40.123067996448171</v>
      </c>
      <c r="K21" s="23">
        <f t="shared" si="10"/>
        <v>39.007209803699986</v>
      </c>
      <c r="L21" s="23">
        <f t="shared" si="10"/>
        <v>37.922384619355689</v>
      </c>
      <c r="M21" s="23">
        <f t="shared" si="10"/>
        <v>36.867729387861381</v>
      </c>
      <c r="N21" s="23">
        <f t="shared" si="10"/>
        <v>35.842405056005468</v>
      </c>
      <c r="O21" s="23">
        <f t="shared" si="10"/>
        <v>34.845595905392081</v>
      </c>
      <c r="P21" s="23">
        <f t="shared" si="10"/>
        <v>33.876508903479206</v>
      </c>
      <c r="Q21" s="23">
        <f t="shared" si="10"/>
        <v>32.934373072664862</v>
      </c>
      <c r="R21" s="23">
        <f t="shared" si="10"/>
        <v>32.018438876919625</v>
      </c>
      <c r="S21" s="23">
        <f t="shared" si="10"/>
        <v>31.127977625477417</v>
      </c>
      <c r="T21" s="23">
        <f t="shared" si="10"/>
        <v>30.26228089311024</v>
      </c>
      <c r="U21" s="23">
        <f t="shared" si="10"/>
        <v>29.420659956525501</v>
      </c>
      <c r="V21" s="23">
        <f t="shared" si="10"/>
        <v>28.602445246437696</v>
      </c>
      <c r="W21" s="23">
        <f t="shared" si="10"/>
        <v>27.806985814878416</v>
      </c>
      <c r="X21" s="23">
        <f t="shared" si="10"/>
        <v>27.033648817321026</v>
      </c>
      <c r="Y21" s="23">
        <f t="shared" ref="Y21:Z21" si="11">Y20/Y16</f>
        <v>26.281819009207751</v>
      </c>
      <c r="Z21" s="23">
        <f t="shared" si="11"/>
        <v>25.550898256479048</v>
      </c>
    </row>
    <row r="22" spans="1:26">
      <c r="B22" s="24"/>
      <c r="C22" s="23"/>
      <c r="D22" s="23"/>
      <c r="E22" s="662"/>
      <c r="F22" s="23"/>
      <c r="G22" s="23"/>
      <c r="H22" s="23"/>
      <c r="I22" s="23"/>
      <c r="J22" s="23"/>
      <c r="K22" s="23"/>
      <c r="L22" s="23"/>
      <c r="M22" s="23"/>
      <c r="N22" s="23"/>
      <c r="O22" s="23"/>
      <c r="P22" s="23"/>
      <c r="Q22" s="23"/>
      <c r="R22" s="23"/>
      <c r="S22" s="23"/>
      <c r="T22" s="23"/>
      <c r="U22" s="23"/>
      <c r="V22" s="23"/>
      <c r="W22" s="23"/>
      <c r="X22" s="23"/>
      <c r="Y22" s="23"/>
      <c r="Z22" s="23"/>
    </row>
    <row r="23" spans="1:26">
      <c r="A23" s="105" t="s">
        <v>344</v>
      </c>
      <c r="B23" s="22"/>
      <c r="C23" s="22"/>
      <c r="D23" s="22"/>
      <c r="E23" s="581"/>
      <c r="F23" s="22"/>
      <c r="G23" s="22"/>
      <c r="H23" s="22"/>
      <c r="I23" s="22"/>
      <c r="J23" s="22"/>
      <c r="K23" s="22"/>
      <c r="L23" s="22"/>
      <c r="M23" s="22"/>
      <c r="N23" s="22"/>
      <c r="O23" s="22"/>
      <c r="P23" s="22"/>
      <c r="Q23" s="22"/>
      <c r="R23" s="22"/>
      <c r="S23" s="22"/>
      <c r="T23" s="22"/>
      <c r="U23" s="22"/>
      <c r="V23" s="22"/>
      <c r="W23" s="22"/>
      <c r="X23" s="22"/>
      <c r="Y23" s="22"/>
      <c r="Z23" s="22"/>
    </row>
    <row r="24" spans="1:26">
      <c r="A24" s="19" t="s">
        <v>333</v>
      </c>
      <c r="B24" s="22">
        <f t="shared" ref="B24:X24" si="12">(B7/100000)*$I$55</f>
        <v>23420.435098388578</v>
      </c>
      <c r="C24" s="22">
        <f>(C7/100000)*$I$55</f>
        <v>24357.252502324125</v>
      </c>
      <c r="D24" s="22">
        <f t="shared" si="12"/>
        <v>25331.542602417088</v>
      </c>
      <c r="E24" s="581">
        <f t="shared" si="12"/>
        <v>26344.804306513772</v>
      </c>
      <c r="F24" s="22">
        <f t="shared" si="12"/>
        <v>27398.596478774325</v>
      </c>
      <c r="G24" s="22">
        <f t="shared" si="12"/>
        <v>28494.5403379253</v>
      </c>
      <c r="H24" s="22">
        <f t="shared" si="12"/>
        <v>29634.321951442314</v>
      </c>
      <c r="I24" s="22">
        <f t="shared" si="12"/>
        <v>30819.694829500004</v>
      </c>
      <c r="J24" s="22">
        <f t="shared" si="12"/>
        <v>32052.482622680003</v>
      </c>
      <c r="K24" s="22">
        <f t="shared" si="12"/>
        <v>33334.581927587205</v>
      </c>
      <c r="L24" s="22">
        <f t="shared" si="12"/>
        <v>34667.965204690699</v>
      </c>
      <c r="M24" s="22">
        <f t="shared" si="12"/>
        <v>36054.68381287832</v>
      </c>
      <c r="N24" s="22">
        <f t="shared" si="12"/>
        <v>37496.871165393459</v>
      </c>
      <c r="O24" s="22">
        <f t="shared" si="12"/>
        <v>38996.7460120092</v>
      </c>
      <c r="P24" s="22">
        <f t="shared" si="12"/>
        <v>40556.615852489565</v>
      </c>
      <c r="Q24" s="22">
        <f t="shared" si="12"/>
        <v>42178.880486589151</v>
      </c>
      <c r="R24" s="22">
        <f t="shared" si="12"/>
        <v>43866.035706052717</v>
      </c>
      <c r="S24" s="22">
        <f t="shared" si="12"/>
        <v>45620.677134294834</v>
      </c>
      <c r="T24" s="22">
        <f t="shared" si="12"/>
        <v>47445.504219666625</v>
      </c>
      <c r="U24" s="22">
        <f t="shared" si="12"/>
        <v>49343.324388453293</v>
      </c>
      <c r="V24" s="22">
        <f t="shared" si="12"/>
        <v>51317.057363991429</v>
      </c>
      <c r="W24" s="22">
        <f t="shared" si="12"/>
        <v>53369.739658551087</v>
      </c>
      <c r="X24" s="22">
        <f t="shared" si="12"/>
        <v>55504.529244893136</v>
      </c>
      <c r="Y24" s="22">
        <f t="shared" ref="Y24:Z24" si="13">(Y7/100000)*$I$55</f>
        <v>57724.71041468886</v>
      </c>
      <c r="Z24" s="22">
        <f t="shared" si="13"/>
        <v>60033.698831276415</v>
      </c>
    </row>
    <row r="25" spans="1:26">
      <c r="A25" s="19" t="s">
        <v>331</v>
      </c>
      <c r="B25" s="22"/>
      <c r="C25" s="23">
        <f>C24/Pollution!F12</f>
        <v>0.38019281145044531</v>
      </c>
      <c r="D25" s="23">
        <f>D24/Pollution!G12</f>
        <v>0.3814254609611426</v>
      </c>
      <c r="E25" s="662">
        <f>E24/Pollution!H12</f>
        <v>0.38264478934709112</v>
      </c>
      <c r="F25" s="23">
        <f>F24/Pollution!I12</f>
        <v>0.3838506789843773</v>
      </c>
      <c r="G25" s="23">
        <f>G24/Pollution!J12</f>
        <v>0.38504301553111353</v>
      </c>
      <c r="H25" s="23">
        <f>H24/Pollution!K12</f>
        <v>0.38622168795612366</v>
      </c>
      <c r="I25" s="23">
        <f>I24/Pollution!L12</f>
        <v>0.38738658856564628</v>
      </c>
      <c r="J25" s="23">
        <f>J24/Pollution!M12</f>
        <v>0.38853761302804757</v>
      </c>
      <c r="K25" s="23">
        <f>K24/Pollution!N12</f>
        <v>0.38967466039653753</v>
      </c>
      <c r="L25" s="23">
        <f>L24/Pollution!O12</f>
        <v>0.39079763312988569</v>
      </c>
      <c r="M25" s="23">
        <f>M24/Pollution!P12</f>
        <v>0.39190643711113415</v>
      </c>
      <c r="N25" s="23">
        <f>N24/Pollution!Q12</f>
        <v>0.39300098166430852</v>
      </c>
      <c r="O25" s="23">
        <f>O24/Pollution!R12</f>
        <v>0.39408117956912769</v>
      </c>
      <c r="P25" s="23">
        <f>P24/Pollution!S12</f>
        <v>0.39514694707371756</v>
      </c>
      <c r="Q25" s="23">
        <f>Q24/Pollution!T12</f>
        <v>0.39619820390533583</v>
      </c>
      <c r="R25" s="23">
        <f>R24/Pollution!U12</f>
        <v>0.397234873279113</v>
      </c>
      <c r="S25" s="23">
        <f>S24/Pollution!V12</f>
        <v>0.39825688190482356</v>
      </c>
      <c r="T25" s="23">
        <f>T24/Pollution!W12</f>
        <v>0.39926415999169595</v>
      </c>
      <c r="U25" s="23">
        <f>U24/Pollution!X12</f>
        <v>0.40025664125127824</v>
      </c>
      <c r="V25" s="23">
        <f>V24/Pollution!Y12</f>
        <v>0.40123426289837227</v>
      </c>
      <c r="W25" s="23">
        <f>W24/Pollution!Z12</f>
        <v>0.40219696565005625</v>
      </c>
      <c r="X25" s="23">
        <f>X24/Pollution!AA12</f>
        <v>0.4031446937228142</v>
      </c>
      <c r="Y25" s="23">
        <f>Y24/Pollution!AB12</f>
        <v>0.40407739482779292</v>
      </c>
      <c r="Z25" s="23">
        <f>Z24/Pollution!AC12</f>
        <v>0.40499502016420935</v>
      </c>
    </row>
    <row r="26" spans="1:26">
      <c r="A26" s="19" t="s">
        <v>346</v>
      </c>
      <c r="B26" s="22"/>
      <c r="C26" s="24">
        <f>C24*C9/10^6</f>
        <v>0</v>
      </c>
      <c r="D26" s="24">
        <f t="shared" ref="D26:X26" si="14">D24*D9/10^6</f>
        <v>0</v>
      </c>
      <c r="E26" s="582">
        <f t="shared" si="14"/>
        <v>87.150181045550326</v>
      </c>
      <c r="F26" s="24">
        <f t="shared" si="14"/>
        <v>103.46610652401614</v>
      </c>
      <c r="G26" s="24">
        <f t="shared" si="14"/>
        <v>117.80963452746911</v>
      </c>
      <c r="H26" s="24">
        <f t="shared" si="14"/>
        <v>125.50025156897023</v>
      </c>
      <c r="I26" s="24">
        <f t="shared" si="14"/>
        <v>146.05121594030112</v>
      </c>
      <c r="J26" s="24">
        <f t="shared" si="14"/>
        <v>162.93032604794476</v>
      </c>
      <c r="K26" s="24">
        <f t="shared" si="14"/>
        <v>182.4819651736982</v>
      </c>
      <c r="L26" s="24">
        <f t="shared" si="14"/>
        <v>204.37980099454202</v>
      </c>
      <c r="M26" s="24">
        <f t="shared" si="14"/>
        <v>228.90537711388697</v>
      </c>
      <c r="N26" s="24">
        <f t="shared" si="14"/>
        <v>256.37402236755349</v>
      </c>
      <c r="O26" s="24">
        <f t="shared" si="14"/>
        <v>287.13890505166</v>
      </c>
      <c r="P26" s="24">
        <f t="shared" si="14"/>
        <v>321.59557365785912</v>
      </c>
      <c r="Q26" s="24">
        <f t="shared" si="14"/>
        <v>360.18704249680235</v>
      </c>
      <c r="R26" s="24">
        <f t="shared" si="14"/>
        <v>403.4094875964185</v>
      </c>
      <c r="S26" s="24">
        <f t="shared" si="14"/>
        <v>451.81862610798891</v>
      </c>
      <c r="T26" s="24">
        <f t="shared" si="14"/>
        <v>506.03686124094764</v>
      </c>
      <c r="U26" s="24">
        <f t="shared" si="14"/>
        <v>566.76128458986125</v>
      </c>
      <c r="V26" s="24">
        <f t="shared" si="14"/>
        <v>634.77263874064454</v>
      </c>
      <c r="W26" s="24">
        <f t="shared" si="14"/>
        <v>710.94535538952209</v>
      </c>
      <c r="X26" s="24">
        <f t="shared" si="14"/>
        <v>796.25879803626469</v>
      </c>
      <c r="Y26" s="24">
        <f t="shared" ref="Y26:Z26" si="15">Y24*Y9/10^6</f>
        <v>891.80985380061645</v>
      </c>
      <c r="Z26" s="24">
        <f t="shared" si="15"/>
        <v>998.82703625669046</v>
      </c>
    </row>
    <row r="28" spans="1:26" s="91" customFormat="1">
      <c r="A28" s="90" t="s">
        <v>76</v>
      </c>
      <c r="E28" s="663"/>
    </row>
    <row r="29" spans="1:26" s="72" customFormat="1">
      <c r="A29" s="87" t="s">
        <v>343</v>
      </c>
      <c r="E29" s="441"/>
    </row>
    <row r="30" spans="1:26">
      <c r="A30" s="19" t="s">
        <v>341</v>
      </c>
      <c r="C30" s="95">
        <f>Pollution!F50/Pollution!F12</f>
        <v>0</v>
      </c>
      <c r="D30" s="95">
        <f>Pollution!G50/Pollution!G12</f>
        <v>0</v>
      </c>
      <c r="E30" s="664">
        <f>Pollution!H50/Pollution!H12</f>
        <v>0</v>
      </c>
      <c r="F30" s="95">
        <f>Pollution!I50/Pollution!I12</f>
        <v>8.5828876639093433E-3</v>
      </c>
      <c r="G30" s="95">
        <f>Pollution!J50/Pollution!J12</f>
        <v>3.309735745526559E-2</v>
      </c>
      <c r="H30" s="95">
        <f>Pollution!K50/Pollution!K12</f>
        <v>3.1903315360957432E-2</v>
      </c>
      <c r="I30" s="95">
        <f>Pollution!L50/Pollution!L12</f>
        <v>3.0748314042256971E-2</v>
      </c>
      <c r="J30" s="95">
        <f>Pollution!M50/Pollution!M12</f>
        <v>2.963126656387461E-2</v>
      </c>
      <c r="K30" s="95">
        <f>Pollution!N50/Pollution!N12</f>
        <v>2.8551109040148761E-2</v>
      </c>
      <c r="L30" s="95">
        <f>Pollution!O50/Pollution!O12</f>
        <v>2.7506800302034711E-2</v>
      </c>
      <c r="M30" s="95">
        <f>Pollution!P50/Pollution!P12</f>
        <v>2.6497321575402383E-2</v>
      </c>
      <c r="N30" s="95">
        <f>Pollution!Q50/Pollution!Q12</f>
        <v>2.5521676169459842E-2</v>
      </c>
      <c r="O30" s="95">
        <f>Pollution!R50/Pollution!R12</f>
        <v>2.4578889174182748E-2</v>
      </c>
      <c r="P30" s="95">
        <f>Pollution!S50/Pollution!S12</f>
        <v>2.3668007165681775E-2</v>
      </c>
      <c r="Q30" s="95">
        <f>Pollution!T50/Pollution!T12</f>
        <v>2.2788097918493014E-2</v>
      </c>
      <c r="R30" s="95">
        <f>Pollution!U50/Pollution!U12</f>
        <v>2.1938250123839619E-2</v>
      </c>
      <c r="S30" s="95">
        <f>Pollution!V50/Pollution!V12</f>
        <v>2.111757311296909E-2</v>
      </c>
      <c r="T30" s="95">
        <f>Pollution!W50/Pollution!W12</f>
        <v>2.0325196584731121E-2</v>
      </c>
      <c r="U30" s="95">
        <f>Pollution!X50/Pollution!X12</f>
        <v>1.956027033662178E-2</v>
      </c>
      <c r="V30" s="95">
        <f>Pollution!Y50/Pollution!Y12</f>
        <v>1.8821963998580025E-2</v>
      </c>
      <c r="W30" s="95">
        <f>Pollution!Z50/Pollution!Z12</f>
        <v>1.8109466768882233E-2</v>
      </c>
      <c r="X30" s="95">
        <f>Pollution!AA50/Pollution!AA12</f>
        <v>1.7421987151541581E-2</v>
      </c>
      <c r="Y30" s="95">
        <f>Pollution!AB50/Pollution!AB12</f>
        <v>1.6758752694678272E-2</v>
      </c>
      <c r="Z30" s="95">
        <f>Pollution!AC50/Pollution!AC12</f>
        <v>1.2089257297034106E-2</v>
      </c>
    </row>
    <row r="31" spans="1:26" s="72" customFormat="1">
      <c r="A31" s="72" t="s">
        <v>339</v>
      </c>
      <c r="B31" s="314">
        <f>Pollution!E33*10^12/365</f>
        <v>169326006272262.28</v>
      </c>
      <c r="C31" s="314">
        <f>Pollution!F33*10^12/365</f>
        <v>175521989439830.28</v>
      </c>
      <c r="D31" s="314">
        <f>Pollution!G33*10^12/365</f>
        <v>181952946735862.62</v>
      </c>
      <c r="E31" s="665">
        <f>Pollution!H33*10^12/365</f>
        <v>188628064603728.56</v>
      </c>
      <c r="F31" s="314">
        <f>Pollution!I33*10^12/365</f>
        <v>193878454620986.53</v>
      </c>
      <c r="G31" s="314">
        <f>Pollution!J33*10^12/365</f>
        <v>196038914134593.12</v>
      </c>
      <c r="H31" s="314">
        <f>Pollution!K33*10^12/365</f>
        <v>203509274292829.06</v>
      </c>
      <c r="I31" s="314">
        <f>Pollution!L33*10^12/365</f>
        <v>211264951116289.56</v>
      </c>
      <c r="J31" s="314">
        <f>Pollution!M33*10^12/365</f>
        <v>219317120748811.12</v>
      </c>
      <c r="K31" s="314">
        <f>Pollution!N33*10^12/365</f>
        <v>227677408490061.5</v>
      </c>
      <c r="L31" s="314">
        <f>Pollution!O33*10^12/365</f>
        <v>236357907210483.5</v>
      </c>
      <c r="M31" s="314">
        <f>Pollution!P33*10^12/365</f>
        <v>245371196529606</v>
      </c>
      <c r="N31" s="314">
        <f>Pollution!Q33*10^12/365</f>
        <v>254730362789569.81</v>
      </c>
      <c r="O31" s="314">
        <f>Pollution!R33*10^12/365</f>
        <v>264449019857054.91</v>
      </c>
      <c r="P31" s="314">
        <f>Pollution!S33*10^12/365</f>
        <v>274541330788198.94</v>
      </c>
      <c r="Q31" s="314">
        <f>Pollution!T33*10^12/365</f>
        <v>285022030392553.56</v>
      </c>
      <c r="R31" s="314">
        <f>Pollution!U33*10^12/365</f>
        <v>295906448733649.75</v>
      </c>
      <c r="S31" s="314">
        <f>Pollution!V33*10^12/365</f>
        <v>307210535605326.81</v>
      </c>
      <c r="T31" s="314">
        <f>Pollution!W33*10^12/365</f>
        <v>318950886024636</v>
      </c>
      <c r="U31" s="314">
        <f>Pollution!X33*10^12/365</f>
        <v>331144766783852.19</v>
      </c>
      <c r="V31" s="314">
        <f>Pollution!Y33*10^12/365</f>
        <v>343810144105925.5</v>
      </c>
      <c r="W31" s="314">
        <f>Pollution!Z33*10^12/365</f>
        <v>356965712449577.44</v>
      </c>
      <c r="X31" s="314">
        <f>Pollution!AA33*10^12/365</f>
        <v>370630924512200.75</v>
      </c>
      <c r="Y31" s="314">
        <f>Pollution!AB33*10^12/365</f>
        <v>384826022480754.25</v>
      </c>
      <c r="Z31" s="314">
        <f>Pollution!AC33*10^12/365</f>
        <v>401208626771427.94</v>
      </c>
    </row>
    <row r="32" spans="1:26" s="72" customFormat="1">
      <c r="A32" s="72" t="s">
        <v>338</v>
      </c>
      <c r="B32" s="312">
        <f>Pollution!E36</f>
        <v>8.2288516811868639</v>
      </c>
      <c r="C32" s="312">
        <f>Pollution!F36</f>
        <v>8.4642499988714839</v>
      </c>
      <c r="D32" s="312">
        <f>Pollution!G36</f>
        <v>8.7063822291499395</v>
      </c>
      <c r="E32" s="579">
        <f>Pollution!H36</f>
        <v>8.9554410054244897</v>
      </c>
      <c r="F32" s="312">
        <f>Pollution!I36</f>
        <v>9.1325621336147851</v>
      </c>
      <c r="G32" s="312">
        <f>Pollution!J36</f>
        <v>9.1615344623149024</v>
      </c>
      <c r="H32" s="312">
        <f>Pollution!K36</f>
        <v>9.4352508898121599</v>
      </c>
      <c r="I32" s="312">
        <f>Pollution!L36</f>
        <v>9.7167388955712752</v>
      </c>
      <c r="J32" s="312">
        <f>Pollution!M36</f>
        <v>10.006219136168577</v>
      </c>
      <c r="K32" s="312">
        <f>Pollution!N36</f>
        <v>10.303918609368322</v>
      </c>
      <c r="L32" s="312">
        <f>Pollution!O36</f>
        <v>10.610070837356695</v>
      </c>
      <c r="M32" s="312">
        <f>Pollution!P36</f>
        <v>10.924916055145815</v>
      </c>
      <c r="N32" s="312">
        <f>Pollution!Q36</f>
        <v>11.248701404291641</v>
      </c>
      <c r="O32" s="312">
        <f>Pollution!R36</f>
        <v>11.581681132074019</v>
      </c>
      <c r="P32" s="312">
        <f>Pollution!S36</f>
        <v>11.924116796291694</v>
      </c>
      <c r="Q32" s="312">
        <f>Pollution!T36</f>
        <v>12.276277475830007</v>
      </c>
      <c r="R32" s="312">
        <f>Pollution!U36</f>
        <v>12.638439987163704</v>
      </c>
      <c r="S32" s="312">
        <f>Pollution!V36</f>
        <v>13.010889106962418</v>
      </c>
      <c r="T32" s="312">
        <f>Pollution!W36</f>
        <v>13.393917800971566</v>
      </c>
      <c r="U32" s="312">
        <f>Pollution!X36</f>
        <v>13.787827459346625</v>
      </c>
      <c r="V32" s="312">
        <f>Pollution!Y36</f>
        <v>14.192928138624382</v>
      </c>
      <c r="W32" s="312">
        <f>Pollution!Z36</f>
        <v>14.609538810520229</v>
      </c>
      <c r="X32" s="312">
        <f>Pollution!AA36</f>
        <v>15.03798761774644</v>
      </c>
      <c r="Y32" s="312">
        <f>Pollution!AB36</f>
        <v>15.478612137052224</v>
      </c>
      <c r="Z32" s="312">
        <f>Pollution!AC36</f>
        <v>15.997012508356166</v>
      </c>
    </row>
    <row r="33" spans="1:26" s="72" customFormat="1">
      <c r="A33" s="72" t="s">
        <v>337</v>
      </c>
      <c r="B33" s="314">
        <f t="shared" ref="B33:X33" si="16">(20*B7*B32)/B31</f>
        <v>1.0811040697749589E-6</v>
      </c>
      <c r="C33" s="314">
        <f t="shared" si="16"/>
        <v>1.1156866117964176E-6</v>
      </c>
      <c r="D33" s="314">
        <f>(20*D7*D32)/D31</f>
        <v>1.1513231779964633E-6</v>
      </c>
      <c r="E33" s="665">
        <f t="shared" si="16"/>
        <v>1.1880442571500314E-6</v>
      </c>
      <c r="F33" s="314">
        <f t="shared" si="16"/>
        <v>1.2258811761506375E-6</v>
      </c>
      <c r="G33" s="314">
        <f t="shared" si="16"/>
        <v>1.2648661221494629E-6</v>
      </c>
      <c r="H33" s="314">
        <f t="shared" si="16"/>
        <v>1.3050321652692454E-6</v>
      </c>
      <c r="I33" s="314">
        <f t="shared" si="16"/>
        <v>1.3464132819079894E-6</v>
      </c>
      <c r="J33" s="314">
        <f t="shared" si="16"/>
        <v>1.3890443786479088E-6</v>
      </c>
      <c r="K33" s="314">
        <f t="shared" si="16"/>
        <v>1.4329613167854132E-6</v>
      </c>
      <c r="L33" s="314">
        <f t="shared" si="16"/>
        <v>1.4782009374983662E-6</v>
      </c>
      <c r="M33" s="314">
        <f t="shared" si="16"/>
        <v>1.5248010876672828E-6</v>
      </c>
      <c r="N33" s="314">
        <f t="shared" si="16"/>
        <v>1.5728006463675424E-6</v>
      </c>
      <c r="O33" s="314">
        <f t="shared" si="16"/>
        <v>1.6222395520501787E-6</v>
      </c>
      <c r="P33" s="314">
        <f t="shared" si="16"/>
        <v>1.6731588304292241E-6</v>
      </c>
      <c r="Q33" s="314">
        <f t="shared" si="16"/>
        <v>1.7256006230941082E-6</v>
      </c>
      <c r="R33" s="314">
        <f t="shared" si="16"/>
        <v>1.7796082168660446E-6</v>
      </c>
      <c r="S33" s="314">
        <f t="shared" si="16"/>
        <v>1.8352260739178761E-6</v>
      </c>
      <c r="T33" s="314">
        <f t="shared" si="16"/>
        <v>1.8924998626773286E-6</v>
      </c>
      <c r="U33" s="314">
        <f t="shared" si="16"/>
        <v>1.9514764895341703E-6</v>
      </c>
      <c r="V33" s="314">
        <f t="shared" si="16"/>
        <v>2.012204131372281E-6</v>
      </c>
      <c r="W33" s="314">
        <f t="shared" si="16"/>
        <v>2.0747322689482212E-6</v>
      </c>
      <c r="X33" s="314">
        <f t="shared" si="16"/>
        <v>2.139111721138412E-6</v>
      </c>
      <c r="Y33" s="314">
        <f t="shared" ref="Y33:Z33" si="17">(20*Y7*Y32)/Y31</f>
        <v>2.2053946800776605E-6</v>
      </c>
      <c r="Z33" s="314">
        <f t="shared" si="17"/>
        <v>2.2736347472123148E-6</v>
      </c>
    </row>
    <row r="34" spans="1:26" s="72" customFormat="1">
      <c r="A34" s="72" t="s">
        <v>340</v>
      </c>
      <c r="B34" s="74">
        <f>B33*Pollution!E33*10^6</f>
        <v>66816.54759238429</v>
      </c>
      <c r="C34" s="74">
        <f>C33*Pollution!F33*10^6</f>
        <v>71477.049798270164</v>
      </c>
      <c r="D34" s="74">
        <f>D33*Pollution!G33*10^6</f>
        <v>76462.625381840422</v>
      </c>
      <c r="E34" s="444">
        <f>E33*Pollution!H33*10^6</f>
        <v>81795.948444771464</v>
      </c>
      <c r="F34" s="74">
        <f>F33*Pollution!I33*10^6</f>
        <v>86750.261013080686</v>
      </c>
      <c r="G34" s="74">
        <f>G33*Pollution!J33*10^6</f>
        <v>90506.488105812226</v>
      </c>
      <c r="H34" s="74">
        <f>H33*Pollution!K33*10^6</f>
        <v>96938.944342201372</v>
      </c>
      <c r="I34" s="74">
        <f>I33*Pollution!L33*10^6</f>
        <v>103824.22670738425</v>
      </c>
      <c r="J34" s="74">
        <f>J33*Pollution!M33*10^6</f>
        <v>111194.04300684397</v>
      </c>
      <c r="K34" s="74">
        <f>K33*Pollution!N33*10^6</f>
        <v>119082.31546135627</v>
      </c>
      <c r="L34" s="74">
        <f>L33*Pollution!O33*10^6</f>
        <v>127525.33520864634</v>
      </c>
      <c r="M34" s="74">
        <f>M33*Pollution!P33*10^6</f>
        <v>136561.92758295653</v>
      </c>
      <c r="N34" s="74">
        <f>N33*Pollution!Q33*10^6</f>
        <v>146233.62892437901</v>
      </c>
      <c r="O34" s="74">
        <f>O33*Pollution!R33*10^6</f>
        <v>156584.8757222514</v>
      </c>
      <c r="P34" s="74">
        <f>P33*Pollution!S33*10^6</f>
        <v>167663.20695301399</v>
      </c>
      <c r="Q34" s="74">
        <f>Q33*Pollution!T33*10^6</f>
        <v>179519.48053294249</v>
      </c>
      <c r="R34" s="74">
        <f>R33*Pollution!U33*10^6</f>
        <v>192208.10487036975</v>
      </c>
      <c r="S34" s="74">
        <f>S33*Pollution!V33*10^6</f>
        <v>205787.28657068769</v>
      </c>
      <c r="T34" s="74">
        <f>T33*Pollution!W33*10^6</f>
        <v>220319.29542088913</v>
      </c>
      <c r="U34" s="74">
        <f>U33*Pollution!X33*10^6</f>
        <v>235870.74785900163</v>
      </c>
      <c r="V34" s="74">
        <f>V33*Pollution!Y33*10^6</f>
        <v>252512.9102178395</v>
      </c>
      <c r="W34" s="74">
        <f>W33*Pollution!Z33*10^6</f>
        <v>270322.02312243904</v>
      </c>
      <c r="X34" s="74">
        <f>X33*Pollution!AA33*10^6</f>
        <v>289379.6485167513</v>
      </c>
      <c r="Y34" s="74">
        <f>Y33*Pollution!AB33*10^6</f>
        <v>309773.04089809308</v>
      </c>
      <c r="Z34" s="74">
        <f>Z33*Pollution!AC33*10^6</f>
        <v>332953.68426873226</v>
      </c>
    </row>
    <row r="35" spans="1:26" s="72" customFormat="1">
      <c r="B35" s="74"/>
      <c r="C35" s="74"/>
      <c r="D35" s="74"/>
      <c r="E35" s="444"/>
      <c r="F35" s="74"/>
      <c r="G35" s="74"/>
      <c r="H35" s="74"/>
      <c r="I35" s="74"/>
      <c r="J35" s="74"/>
      <c r="K35" s="74"/>
      <c r="L35" s="74"/>
      <c r="M35" s="74"/>
      <c r="N35" s="74"/>
      <c r="O35" s="74"/>
      <c r="P35" s="74"/>
      <c r="Q35" s="74"/>
      <c r="R35" s="74"/>
      <c r="S35" s="74"/>
      <c r="T35" s="74"/>
      <c r="U35" s="74"/>
      <c r="V35" s="74"/>
      <c r="W35" s="74"/>
      <c r="X35" s="74"/>
      <c r="Y35" s="74"/>
      <c r="Z35" s="74"/>
    </row>
    <row r="36" spans="1:26" s="72" customFormat="1">
      <c r="A36" s="87" t="s">
        <v>178</v>
      </c>
      <c r="E36" s="441"/>
    </row>
    <row r="37" spans="1:26" s="417" customFormat="1">
      <c r="A37" s="417" t="s">
        <v>154</v>
      </c>
      <c r="C37" s="376">
        <f t="shared" ref="C37:Z37" si="18">C38*$C$56/$C$53</f>
        <v>43958.095999999998</v>
      </c>
      <c r="D37" s="376">
        <f>D38*$C$56/$C$53</f>
        <v>45716.419839999995</v>
      </c>
      <c r="E37" s="666">
        <f t="shared" si="18"/>
        <v>47545.076633600002</v>
      </c>
      <c r="F37" s="376">
        <f t="shared" si="18"/>
        <v>49022.482685157134</v>
      </c>
      <c r="G37" s="376">
        <f t="shared" si="18"/>
        <v>49722.73139236054</v>
      </c>
      <c r="H37" s="376">
        <f t="shared" si="18"/>
        <v>51775.500102960395</v>
      </c>
      <c r="I37" s="376">
        <f t="shared" si="18"/>
        <v>53910.762452619208</v>
      </c>
      <c r="J37" s="376">
        <f t="shared" si="18"/>
        <v>56131.809517724003</v>
      </c>
      <c r="K37" s="376">
        <f t="shared" si="18"/>
        <v>58442.063839887815</v>
      </c>
      <c r="L37" s="376">
        <f t="shared" si="18"/>
        <v>60845.084694705089</v>
      </c>
      <c r="M37" s="376">
        <f t="shared" si="18"/>
        <v>63344.573571485977</v>
      </c>
      <c r="N37" s="376">
        <f t="shared" si="18"/>
        <v>65944.379872378995</v>
      </c>
      <c r="O37" s="376">
        <f t="shared" si="18"/>
        <v>68648.506839626891</v>
      </c>
      <c r="P37" s="376">
        <f t="shared" si="18"/>
        <v>71461.117720050956</v>
      </c>
      <c r="Q37" s="376">
        <f t="shared" si="18"/>
        <v>74386.542176221847</v>
      </c>
      <c r="R37" s="376">
        <f t="shared" si="18"/>
        <v>77429.282954154827</v>
      </c>
      <c r="S37" s="376">
        <f t="shared" si="18"/>
        <v>80594.022817759556</v>
      </c>
      <c r="T37" s="376">
        <f t="shared" si="18"/>
        <v>83885.63176068553</v>
      </c>
      <c r="U37" s="376">
        <f t="shared" si="18"/>
        <v>87309.174506629613</v>
      </c>
      <c r="V37" s="376">
        <f t="shared" si="18"/>
        <v>90869.918309615692</v>
      </c>
      <c r="W37" s="376">
        <f t="shared" si="18"/>
        <v>94573.341066218374</v>
      </c>
      <c r="X37" s="376">
        <f t="shared" si="18"/>
        <v>98425.139752180432</v>
      </c>
      <c r="Y37" s="376">
        <f t="shared" si="18"/>
        <v>102431.23919637555</v>
      </c>
      <c r="Z37" s="376">
        <f t="shared" si="18"/>
        <v>107034.40151897505</v>
      </c>
    </row>
    <row r="38" spans="1:26">
      <c r="A38" s="19" t="s">
        <v>260</v>
      </c>
      <c r="C38" s="22">
        <f>C39*C34</f>
        <v>3493859.8946586857</v>
      </c>
      <c r="D38" s="22">
        <f>D39*D34</f>
        <v>3633614.290445033</v>
      </c>
      <c r="E38" s="581">
        <f t="shared" ref="E38:X38" si="19">E39*E34</f>
        <v>3778958.8620628347</v>
      </c>
      <c r="F38" s="22">
        <f t="shared" si="19"/>
        <v>3896385.4619697439</v>
      </c>
      <c r="G38" s="22">
        <f t="shared" si="19"/>
        <v>3952042.3510757824</v>
      </c>
      <c r="H38" s="22">
        <f t="shared" si="19"/>
        <v>4115199.6969029321</v>
      </c>
      <c r="I38" s="22">
        <f t="shared" si="19"/>
        <v>4284913.769324258</v>
      </c>
      <c r="J38" s="22">
        <f t="shared" si="19"/>
        <v>4461446.1483635828</v>
      </c>
      <c r="K38" s="22">
        <f t="shared" si="19"/>
        <v>4645068.8631115109</v>
      </c>
      <c r="L38" s="22">
        <f t="shared" si="19"/>
        <v>4836064.8104945486</v>
      </c>
      <c r="M38" s="22">
        <f t="shared" si="19"/>
        <v>5034728.1908131642</v>
      </c>
      <c r="N38" s="22">
        <f t="shared" si="19"/>
        <v>5241364.9607171901</v>
      </c>
      <c r="O38" s="22">
        <f t="shared" si="19"/>
        <v>5456293.3043136112</v>
      </c>
      <c r="P38" s="22">
        <f t="shared" si="19"/>
        <v>5679844.1231296547</v>
      </c>
      <c r="Q38" s="22">
        <f t="shared" si="19"/>
        <v>5912361.5456829248</v>
      </c>
      <c r="R38" s="22">
        <f t="shared" si="19"/>
        <v>6154203.4574404908</v>
      </c>
      <c r="S38" s="22">
        <f t="shared" si="19"/>
        <v>6405742.0519800754</v>
      </c>
      <c r="T38" s="22">
        <f t="shared" si="19"/>
        <v>6667364.4041990833</v>
      </c>
      <c r="U38" s="22">
        <f t="shared" si="19"/>
        <v>6939473.0664510522</v>
      </c>
      <c r="V38" s="22">
        <f t="shared" si="19"/>
        <v>7222486.6885243924</v>
      </c>
      <c r="W38" s="22">
        <f t="shared" si="19"/>
        <v>7516840.6624148982</v>
      </c>
      <c r="X38" s="22">
        <f t="shared" si="19"/>
        <v>7822987.7928816481</v>
      </c>
      <c r="Y38" s="22">
        <f t="shared" ref="Y38:Z38" si="20">Y39*Y34</f>
        <v>8141398.9948155927</v>
      </c>
      <c r="Z38" s="22">
        <f t="shared" si="20"/>
        <v>8507265.7108702268</v>
      </c>
    </row>
    <row r="39" spans="1:26">
      <c r="A39" s="19" t="s">
        <v>342</v>
      </c>
      <c r="C39" s="23">
        <f t="shared" ref="C39:X39" si="21">C21</f>
        <v>48.88086322140343</v>
      </c>
      <c r="D39" s="23">
        <f t="shared" si="21"/>
        <v>47.52144295725428</v>
      </c>
      <c r="E39" s="662">
        <f t="shared" si="21"/>
        <v>46.199829379255668</v>
      </c>
      <c r="F39" s="23">
        <f t="shared" si="21"/>
        <v>44.914971049853385</v>
      </c>
      <c r="G39" s="23">
        <f t="shared" si="21"/>
        <v>43.66584577290638</v>
      </c>
      <c r="H39" s="23">
        <f t="shared" si="21"/>
        <v>42.451459780457114</v>
      </c>
      <c r="I39" s="23">
        <f t="shared" si="21"/>
        <v>41.270846942118411</v>
      </c>
      <c r="J39" s="23">
        <f t="shared" si="21"/>
        <v>40.123067996448171</v>
      </c>
      <c r="K39" s="23">
        <f t="shared" si="21"/>
        <v>39.007209803699986</v>
      </c>
      <c r="L39" s="23">
        <f t="shared" si="21"/>
        <v>37.922384619355689</v>
      </c>
      <c r="M39" s="23">
        <f t="shared" si="21"/>
        <v>36.867729387861381</v>
      </c>
      <c r="N39" s="23">
        <f t="shared" si="21"/>
        <v>35.842405056005468</v>
      </c>
      <c r="O39" s="23">
        <f t="shared" si="21"/>
        <v>34.845595905392081</v>
      </c>
      <c r="P39" s="23">
        <f t="shared" si="21"/>
        <v>33.876508903479206</v>
      </c>
      <c r="Q39" s="23">
        <f t="shared" si="21"/>
        <v>32.934373072664862</v>
      </c>
      <c r="R39" s="23">
        <f t="shared" si="21"/>
        <v>32.018438876919625</v>
      </c>
      <c r="S39" s="23">
        <f t="shared" si="21"/>
        <v>31.127977625477417</v>
      </c>
      <c r="T39" s="23">
        <f t="shared" si="21"/>
        <v>30.26228089311024</v>
      </c>
      <c r="U39" s="23">
        <f t="shared" si="21"/>
        <v>29.420659956525501</v>
      </c>
      <c r="V39" s="23">
        <f t="shared" si="21"/>
        <v>28.602445246437696</v>
      </c>
      <c r="W39" s="23">
        <f t="shared" si="21"/>
        <v>27.806985814878416</v>
      </c>
      <c r="X39" s="23">
        <f t="shared" si="21"/>
        <v>27.033648817321026</v>
      </c>
      <c r="Y39" s="23">
        <f t="shared" ref="Y39:Z39" si="22">Y21</f>
        <v>26.281819009207751</v>
      </c>
      <c r="Z39" s="23">
        <f t="shared" si="22"/>
        <v>25.550898256479048</v>
      </c>
    </row>
    <row r="40" spans="1:26">
      <c r="C40" s="23"/>
      <c r="D40" s="23"/>
      <c r="E40" s="662"/>
      <c r="F40" s="23"/>
      <c r="G40" s="23"/>
      <c r="H40" s="23"/>
      <c r="I40" s="23"/>
      <c r="J40" s="23"/>
      <c r="K40" s="23"/>
      <c r="L40" s="23"/>
      <c r="M40" s="23"/>
      <c r="N40" s="23"/>
      <c r="O40" s="23"/>
      <c r="P40" s="23"/>
      <c r="Q40" s="23"/>
      <c r="R40" s="23"/>
      <c r="S40" s="23"/>
      <c r="T40" s="23"/>
      <c r="U40" s="23"/>
      <c r="V40" s="23"/>
      <c r="W40" s="23"/>
      <c r="X40" s="23"/>
      <c r="Y40" s="23"/>
      <c r="Z40" s="23"/>
    </row>
    <row r="41" spans="1:26">
      <c r="A41" s="105" t="s">
        <v>344</v>
      </c>
      <c r="C41" s="22"/>
      <c r="D41" s="22"/>
      <c r="E41" s="581"/>
      <c r="F41" s="22"/>
      <c r="G41" s="22"/>
      <c r="H41" s="22"/>
      <c r="I41" s="22"/>
      <c r="J41" s="22"/>
      <c r="K41" s="22"/>
      <c r="L41" s="22"/>
      <c r="M41" s="22"/>
      <c r="N41" s="22"/>
      <c r="O41" s="22"/>
      <c r="P41" s="22"/>
      <c r="Q41" s="22"/>
      <c r="R41" s="22"/>
      <c r="S41" s="22"/>
      <c r="T41" s="22"/>
      <c r="U41" s="22"/>
      <c r="V41" s="22"/>
      <c r="W41" s="22"/>
      <c r="X41" s="22"/>
      <c r="Y41" s="22"/>
      <c r="Z41" s="22"/>
    </row>
    <row r="42" spans="1:26">
      <c r="A42" s="19" t="s">
        <v>333</v>
      </c>
      <c r="C42" s="22">
        <f>C43*Pollution!F33</f>
        <v>24357.252502324125</v>
      </c>
      <c r="D42" s="22">
        <f>D43*Pollution!G33</f>
        <v>25331.542602417088</v>
      </c>
      <c r="E42" s="581">
        <f>E43*Pollution!H33</f>
        <v>26344.804306513772</v>
      </c>
      <c r="F42" s="22">
        <f>F43*Pollution!I33</f>
        <v>27163.437403048221</v>
      </c>
      <c r="G42" s="22">
        <f>G43*Pollution!J33</f>
        <v>27551.446350837501</v>
      </c>
      <c r="H42" s="22">
        <f>H43*Pollution!K33</f>
        <v>28688.888832717304</v>
      </c>
      <c r="I42" s="22">
        <f>I43*Pollution!L33</f>
        <v>29872.041174196016</v>
      </c>
      <c r="J42" s="22">
        <f>J43*Pollution!M33</f>
        <v>31102.726966053415</v>
      </c>
      <c r="K42" s="22">
        <f>K43*Pollution!N33</f>
        <v>32382.842644164892</v>
      </c>
      <c r="L42" s="22">
        <f>L43*Pollution!O33</f>
        <v>33714.360408927387</v>
      </c>
      <c r="M42" s="22">
        <f>M43*Pollution!P33</f>
        <v>35099.331261589032</v>
      </c>
      <c r="N42" s="22">
        <f>N43*Pollution!Q33</f>
        <v>36539.888162142328</v>
      </c>
      <c r="O42" s="22">
        <f>O43*Pollution!R33</f>
        <v>38038.249313626271</v>
      </c>
      <c r="P42" s="22">
        <f>P43*Pollution!S33</f>
        <v>39596.721577877041</v>
      </c>
      <c r="Q42" s="22">
        <f>Q43*Pollution!T33</f>
        <v>41217.704027968342</v>
      </c>
      <c r="R42" s="22">
        <f>R43*Pollution!U33</f>
        <v>42903.691642792059</v>
      </c>
      <c r="S42" s="22">
        <f>S43*Pollution!V33</f>
        <v>44657.279149448208</v>
      </c>
      <c r="T42" s="22">
        <f>T43*Pollution!W33</f>
        <v>46481.165019340209</v>
      </c>
      <c r="U42" s="22">
        <f>U43*Pollution!X33</f>
        <v>48378.155624107523</v>
      </c>
      <c r="V42" s="22">
        <f>V43*Pollution!Y33</f>
        <v>50351.169557773319</v>
      </c>
      <c r="W42" s="22">
        <f>W43*Pollution!Z33</f>
        <v>52403.242131740655</v>
      </c>
      <c r="X42" s="22">
        <f>X43*Pollution!AA33</f>
        <v>54537.530049536239</v>
      </c>
      <c r="Y42" s="22">
        <f>Y43*Pollution!AB33</f>
        <v>56757.316268477174</v>
      </c>
      <c r="Z42" s="22">
        <f>Z43*Pollution!AC33</f>
        <v>59307.935999612462</v>
      </c>
    </row>
    <row r="43" spans="1:26">
      <c r="A43" s="19" t="s">
        <v>331</v>
      </c>
      <c r="C43" s="110">
        <f>C25</f>
        <v>0.38019281145044531</v>
      </c>
      <c r="D43" s="110">
        <f t="shared" ref="D43:X43" si="23">D25</f>
        <v>0.3814254609611426</v>
      </c>
      <c r="E43" s="660">
        <f t="shared" si="23"/>
        <v>0.38264478934709112</v>
      </c>
      <c r="F43" s="110">
        <f t="shared" si="23"/>
        <v>0.3838506789843773</v>
      </c>
      <c r="G43" s="110">
        <f t="shared" si="23"/>
        <v>0.38504301553111353</v>
      </c>
      <c r="H43" s="110">
        <f t="shared" si="23"/>
        <v>0.38622168795612366</v>
      </c>
      <c r="I43" s="110">
        <f t="shared" si="23"/>
        <v>0.38738658856564628</v>
      </c>
      <c r="J43" s="110">
        <f t="shared" si="23"/>
        <v>0.38853761302804757</v>
      </c>
      <c r="K43" s="110">
        <f t="shared" si="23"/>
        <v>0.38967466039653753</v>
      </c>
      <c r="L43" s="110">
        <f t="shared" si="23"/>
        <v>0.39079763312988569</v>
      </c>
      <c r="M43" s="110">
        <f t="shared" si="23"/>
        <v>0.39190643711113415</v>
      </c>
      <c r="N43" s="110">
        <f t="shared" si="23"/>
        <v>0.39300098166430852</v>
      </c>
      <c r="O43" s="110">
        <f t="shared" si="23"/>
        <v>0.39408117956912769</v>
      </c>
      <c r="P43" s="110">
        <f t="shared" si="23"/>
        <v>0.39514694707371756</v>
      </c>
      <c r="Q43" s="110">
        <f t="shared" si="23"/>
        <v>0.39619820390533583</v>
      </c>
      <c r="R43" s="110">
        <f t="shared" si="23"/>
        <v>0.397234873279113</v>
      </c>
      <c r="S43" s="110">
        <f t="shared" si="23"/>
        <v>0.39825688190482356</v>
      </c>
      <c r="T43" s="110">
        <f t="shared" si="23"/>
        <v>0.39926415999169595</v>
      </c>
      <c r="U43" s="110">
        <f t="shared" si="23"/>
        <v>0.40025664125127824</v>
      </c>
      <c r="V43" s="110">
        <f t="shared" si="23"/>
        <v>0.40123426289837227</v>
      </c>
      <c r="W43" s="110">
        <f t="shared" si="23"/>
        <v>0.40219696565005625</v>
      </c>
      <c r="X43" s="110">
        <f t="shared" si="23"/>
        <v>0.4031446937228142</v>
      </c>
      <c r="Y43" s="110">
        <f t="shared" ref="Y43:Z43" si="24">Y25</f>
        <v>0.40407739482779292</v>
      </c>
      <c r="Z43" s="110">
        <f t="shared" si="24"/>
        <v>0.40499502016420935</v>
      </c>
    </row>
    <row r="44" spans="1:26">
      <c r="A44" s="19" t="s">
        <v>346</v>
      </c>
      <c r="C44" s="24">
        <f t="shared" ref="C44:X44" si="25">C42*C9/10^6</f>
        <v>0</v>
      </c>
      <c r="D44" s="24">
        <f t="shared" si="25"/>
        <v>0</v>
      </c>
      <c r="E44" s="582">
        <f t="shared" si="25"/>
        <v>87.150181045550326</v>
      </c>
      <c r="F44" s="24">
        <f t="shared" si="25"/>
        <v>102.57806855469843</v>
      </c>
      <c r="G44" s="24">
        <f t="shared" si="25"/>
        <v>113.91044694183927</v>
      </c>
      <c r="H44" s="24">
        <f t="shared" si="25"/>
        <v>121.49637746528586</v>
      </c>
      <c r="I44" s="24">
        <f t="shared" si="25"/>
        <v>141.56038728631526</v>
      </c>
      <c r="J44" s="24">
        <f t="shared" si="25"/>
        <v>158.10249412547913</v>
      </c>
      <c r="K44" s="24">
        <f t="shared" si="25"/>
        <v>177.27190268816332</v>
      </c>
      <c r="L44" s="24">
        <f t="shared" si="25"/>
        <v>198.75796662281559</v>
      </c>
      <c r="M44" s="24">
        <f t="shared" si="25"/>
        <v>222.83999772616161</v>
      </c>
      <c r="N44" s="24">
        <f t="shared" si="25"/>
        <v>249.83092759042688</v>
      </c>
      <c r="O44" s="24">
        <f t="shared" si="25"/>
        <v>280.08134972679903</v>
      </c>
      <c r="P44" s="24">
        <f t="shared" si="25"/>
        <v>313.98404731607343</v>
      </c>
      <c r="Q44" s="24">
        <f t="shared" si="25"/>
        <v>351.97906490341273</v>
      </c>
      <c r="R44" s="24">
        <f t="shared" si="25"/>
        <v>394.55938935519839</v>
      </c>
      <c r="S44" s="24">
        <f t="shared" si="25"/>
        <v>442.27731323735219</v>
      </c>
      <c r="T44" s="24">
        <f t="shared" si="25"/>
        <v>495.75156255710505</v>
      </c>
      <c r="U44" s="24">
        <f t="shared" si="25"/>
        <v>555.67528064695261</v>
      </c>
      <c r="V44" s="24">
        <f t="shared" si="25"/>
        <v>622.82497098698457</v>
      </c>
      <c r="W44" s="24">
        <f t="shared" si="25"/>
        <v>698.07051410160432</v>
      </c>
      <c r="X44" s="24">
        <f t="shared" si="25"/>
        <v>782.38638748757478</v>
      </c>
      <c r="Y44" s="24">
        <f t="shared" ref="Y44:Z44" si="26">Y42*Y9/10^6</f>
        <v>876.86423301009484</v>
      </c>
      <c r="Z44" s="24">
        <f t="shared" si="26"/>
        <v>986.75195922014939</v>
      </c>
    </row>
    <row r="45" spans="1:26">
      <c r="C45" s="23"/>
      <c r="D45" s="23"/>
      <c r="E45" s="662"/>
      <c r="F45" s="23"/>
      <c r="G45" s="23"/>
      <c r="H45" s="23"/>
      <c r="I45" s="23"/>
      <c r="J45" s="23"/>
      <c r="K45" s="23"/>
      <c r="L45" s="23"/>
      <c r="M45" s="23"/>
      <c r="N45" s="23"/>
      <c r="O45" s="23"/>
      <c r="P45" s="23"/>
      <c r="Q45" s="23"/>
      <c r="R45" s="23"/>
      <c r="S45" s="23"/>
      <c r="T45" s="23"/>
      <c r="U45" s="23"/>
      <c r="V45" s="23"/>
      <c r="W45" s="23"/>
      <c r="X45" s="23"/>
      <c r="Y45" s="23"/>
      <c r="Z45" s="23"/>
    </row>
    <row r="46" spans="1:26" s="68" customFormat="1">
      <c r="A46" s="67" t="s">
        <v>30</v>
      </c>
      <c r="C46" s="309"/>
      <c r="D46" s="309"/>
      <c r="E46" s="667"/>
      <c r="F46" s="309"/>
      <c r="G46" s="309"/>
      <c r="H46" s="309"/>
      <c r="I46" s="309"/>
      <c r="J46" s="309"/>
      <c r="K46" s="309"/>
      <c r="L46" s="309"/>
      <c r="M46" s="309"/>
      <c r="N46" s="309"/>
      <c r="O46" s="309"/>
      <c r="P46" s="309"/>
      <c r="Q46" s="309"/>
      <c r="R46" s="309"/>
      <c r="S46" s="309"/>
      <c r="T46" s="309"/>
      <c r="U46" s="309"/>
      <c r="V46" s="309"/>
      <c r="W46" s="309"/>
      <c r="X46" s="309"/>
      <c r="Y46" s="309"/>
      <c r="Z46" s="309"/>
    </row>
    <row r="47" spans="1:26" s="72" customFormat="1">
      <c r="A47" s="72" t="s">
        <v>347</v>
      </c>
      <c r="C47" s="74">
        <f>C20-C38</f>
        <v>0</v>
      </c>
      <c r="D47" s="74">
        <f>D20-D38</f>
        <v>0</v>
      </c>
      <c r="E47" s="444">
        <f t="shared" ref="E47:X47" si="27">E20-E38</f>
        <v>0</v>
      </c>
      <c r="F47" s="74">
        <f t="shared" si="27"/>
        <v>33731.754575604573</v>
      </c>
      <c r="G47" s="74">
        <f t="shared" si="27"/>
        <v>135279.55413138028</v>
      </c>
      <c r="H47" s="74">
        <f t="shared" si="27"/>
        <v>135615.08451251732</v>
      </c>
      <c r="I47" s="74">
        <f t="shared" si="27"/>
        <v>135933.60334780905</v>
      </c>
      <c r="J47" s="74">
        <f t="shared" si="27"/>
        <v>136235.11921536736</v>
      </c>
      <c r="K47" s="74">
        <f t="shared" si="27"/>
        <v>136519.65517059807</v>
      </c>
      <c r="L47" s="74">
        <f t="shared" si="27"/>
        <v>136787.24851884414</v>
      </c>
      <c r="M47" s="74">
        <f t="shared" si="27"/>
        <v>137037.95056076348</v>
      </c>
      <c r="N47" s="74">
        <f t="shared" si="27"/>
        <v>137271.82631169632</v>
      </c>
      <c r="O47" s="74">
        <f t="shared" si="27"/>
        <v>137488.95419642981</v>
      </c>
      <c r="P47" s="74">
        <f t="shared" si="27"/>
        <v>137689.42572078947</v>
      </c>
      <c r="Q47" s="74">
        <f t="shared" si="27"/>
        <v>137873.3451215364</v>
      </c>
      <c r="R47" s="74">
        <f t="shared" si="27"/>
        <v>138040.82899614889</v>
      </c>
      <c r="S47" s="74">
        <f t="shared" si="27"/>
        <v>138192.00591402967</v>
      </c>
      <c r="T47" s="74">
        <f t="shared" si="27"/>
        <v>138327.01601078548</v>
      </c>
      <c r="U47" s="74">
        <f t="shared" si="27"/>
        <v>138446.01056721248</v>
      </c>
      <c r="V47" s="74">
        <f t="shared" si="27"/>
        <v>138549.15157460421</v>
      </c>
      <c r="W47" s="73">
        <f t="shared" si="27"/>
        <v>138636.61128805857</v>
      </c>
      <c r="X47" s="73">
        <f t="shared" si="27"/>
        <v>138708.57176942751</v>
      </c>
      <c r="Y47" s="73">
        <f t="shared" ref="Y47:Z47" si="28">Y20-Y38</f>
        <v>138765.22442152537</v>
      </c>
      <c r="Z47" s="73">
        <f t="shared" si="28"/>
        <v>104105.07713637687</v>
      </c>
    </row>
    <row r="48" spans="1:26">
      <c r="A48" s="19" t="s">
        <v>348</v>
      </c>
      <c r="C48" s="22">
        <f>(C26-C44)*10^6</f>
        <v>0</v>
      </c>
      <c r="D48" s="22">
        <f>(D26-D44)*10^6</f>
        <v>0</v>
      </c>
      <c r="E48" s="581">
        <f t="shared" ref="E48:X48" si="29">(E26-E44)*10^6</f>
        <v>0</v>
      </c>
      <c r="F48" s="22">
        <f t="shared" si="29"/>
        <v>888037.96931770758</v>
      </c>
      <c r="G48" s="22">
        <f t="shared" si="29"/>
        <v>3899187.5856298464</v>
      </c>
      <c r="H48" s="22">
        <f t="shared" si="29"/>
        <v>4003874.1036843676</v>
      </c>
      <c r="I48" s="22">
        <f t="shared" si="29"/>
        <v>4490828.653985858</v>
      </c>
      <c r="J48" s="22">
        <f t="shared" si="29"/>
        <v>4827831.9224656345</v>
      </c>
      <c r="K48" s="22">
        <f t="shared" si="29"/>
        <v>5210062.4855348766</v>
      </c>
      <c r="L48" s="22">
        <f t="shared" si="29"/>
        <v>5621834.3717264365</v>
      </c>
      <c r="M48" s="22">
        <f t="shared" si="29"/>
        <v>6065379.3877253579</v>
      </c>
      <c r="N48" s="22">
        <f t="shared" si="29"/>
        <v>6543094.7771266121</v>
      </c>
      <c r="O48" s="22">
        <f t="shared" si="29"/>
        <v>7057555.3248609705</v>
      </c>
      <c r="P48" s="22">
        <f t="shared" si="29"/>
        <v>7611526.3417856907</v>
      </c>
      <c r="Q48" s="22">
        <f t="shared" si="29"/>
        <v>8207977.5933896145</v>
      </c>
      <c r="R48" s="22">
        <f t="shared" si="29"/>
        <v>8850098.2412201092</v>
      </c>
      <c r="S48" s="22">
        <f t="shared" si="29"/>
        <v>9541312.8706367165</v>
      </c>
      <c r="T48" s="22">
        <f t="shared" si="29"/>
        <v>10285298.683842598</v>
      </c>
      <c r="U48" s="22">
        <f t="shared" si="29"/>
        <v>11086003.942908634</v>
      </c>
      <c r="V48" s="22">
        <f t="shared" si="29"/>
        <v>11947667.753659971</v>
      </c>
      <c r="W48" s="22">
        <f t="shared" si="29"/>
        <v>12874841.287917774</v>
      </c>
      <c r="X48" s="22">
        <f t="shared" si="29"/>
        <v>13872410.548689913</v>
      </c>
      <c r="Y48" s="22">
        <f t="shared" ref="Y48:Z48" si="30">(Y26-Y44)*10^6</f>
        <v>14945620.790521616</v>
      </c>
      <c r="Z48" s="22">
        <f t="shared" si="30"/>
        <v>12075077.036541075</v>
      </c>
    </row>
    <row r="49" spans="1:26" s="67" customFormat="1">
      <c r="A49" s="67" t="s">
        <v>261</v>
      </c>
      <c r="C49" s="97">
        <f>SUM(C47:C48)</f>
        <v>0</v>
      </c>
      <c r="D49" s="97">
        <f t="shared" ref="D49:X49" si="31">SUM(D47:D48)</f>
        <v>0</v>
      </c>
      <c r="E49" s="584">
        <f t="shared" si="31"/>
        <v>0</v>
      </c>
      <c r="F49" s="97">
        <f t="shared" si="31"/>
        <v>921769.72389331216</v>
      </c>
      <c r="G49" s="97">
        <f t="shared" si="31"/>
        <v>4034467.1397612267</v>
      </c>
      <c r="H49" s="97">
        <f t="shared" si="31"/>
        <v>4139489.1881968849</v>
      </c>
      <c r="I49" s="97">
        <f t="shared" si="31"/>
        <v>4626762.257333667</v>
      </c>
      <c r="J49" s="97">
        <f t="shared" si="31"/>
        <v>4964067.0416810019</v>
      </c>
      <c r="K49" s="97">
        <f t="shared" si="31"/>
        <v>5346582.1407054747</v>
      </c>
      <c r="L49" s="97">
        <f t="shared" si="31"/>
        <v>5758621.6202452807</v>
      </c>
      <c r="M49" s="97">
        <f t="shared" si="31"/>
        <v>6202417.3382861214</v>
      </c>
      <c r="N49" s="97">
        <f t="shared" si="31"/>
        <v>6680366.6034383085</v>
      </c>
      <c r="O49" s="97">
        <f t="shared" si="31"/>
        <v>7195044.2790574003</v>
      </c>
      <c r="P49" s="97">
        <f t="shared" si="31"/>
        <v>7749215.7675064802</v>
      </c>
      <c r="Q49" s="97">
        <f t="shared" si="31"/>
        <v>8345850.9385111509</v>
      </c>
      <c r="R49" s="97">
        <f t="shared" si="31"/>
        <v>8988139.0702162571</v>
      </c>
      <c r="S49" s="97">
        <f t="shared" si="31"/>
        <v>9679504.8765507452</v>
      </c>
      <c r="T49" s="97">
        <f t="shared" si="31"/>
        <v>10423625.699853383</v>
      </c>
      <c r="U49" s="97">
        <f t="shared" si="31"/>
        <v>11224449.953475846</v>
      </c>
      <c r="V49" s="97">
        <f t="shared" si="31"/>
        <v>12086216.905234575</v>
      </c>
      <c r="W49" s="97">
        <f t="shared" si="31"/>
        <v>13013477.899205834</v>
      </c>
      <c r="X49" s="97">
        <f t="shared" si="31"/>
        <v>14011119.120459341</v>
      </c>
      <c r="Y49" s="97">
        <f t="shared" ref="Y49:Z49" si="32">SUM(Y47:Y48)</f>
        <v>15084386.014943141</v>
      </c>
      <c r="Z49" s="97">
        <f t="shared" si="32"/>
        <v>12179182.113677451</v>
      </c>
    </row>
    <row r="50" spans="1:26" s="71" customFormat="1">
      <c r="C50" s="103"/>
      <c r="D50" s="103"/>
      <c r="E50" s="668"/>
      <c r="F50" s="103"/>
      <c r="G50" s="103"/>
      <c r="H50" s="103"/>
      <c r="I50" s="103"/>
      <c r="J50" s="103"/>
      <c r="K50" s="103"/>
      <c r="L50" s="103"/>
      <c r="M50" s="103"/>
      <c r="N50" s="103"/>
      <c r="O50" s="103"/>
      <c r="P50" s="103"/>
      <c r="Q50" s="103"/>
      <c r="R50" s="103"/>
      <c r="S50" s="103"/>
      <c r="T50" s="103"/>
      <c r="U50" s="103"/>
      <c r="V50" s="103"/>
    </row>
    <row r="51" spans="1:26">
      <c r="G51" s="744" t="s">
        <v>336</v>
      </c>
      <c r="H51" s="745"/>
      <c r="I51" s="310" t="s">
        <v>332</v>
      </c>
    </row>
    <row r="52" spans="1:26">
      <c r="A52" s="78" t="s">
        <v>21</v>
      </c>
      <c r="B52" s="98"/>
      <c r="C52" s="98"/>
      <c r="D52" s="98"/>
      <c r="E52" s="585"/>
      <c r="G52" s="748" t="s">
        <v>328</v>
      </c>
      <c r="H52" s="749"/>
      <c r="I52" s="404">
        <v>1009.34216308593</v>
      </c>
    </row>
    <row r="53" spans="1:26">
      <c r="A53" s="98" t="s">
        <v>153</v>
      </c>
      <c r="B53" s="98"/>
      <c r="C53" s="99">
        <f>Assumptions!C20</f>
        <v>104904.58732708107</v>
      </c>
      <c r="D53" s="100" t="s">
        <v>62</v>
      </c>
      <c r="E53" s="585"/>
      <c r="G53" s="746" t="s">
        <v>329</v>
      </c>
      <c r="H53" s="747"/>
      <c r="I53" s="404">
        <v>284.90875244140602</v>
      </c>
    </row>
    <row r="54" spans="1:26">
      <c r="A54" s="98" t="s">
        <v>148</v>
      </c>
      <c r="B54" s="98"/>
      <c r="C54" s="100">
        <f>Assumptions!C21</f>
        <v>1</v>
      </c>
      <c r="D54" s="100" t="s">
        <v>58</v>
      </c>
      <c r="E54" s="585"/>
      <c r="G54" s="746" t="s">
        <v>330</v>
      </c>
      <c r="H54" s="747"/>
      <c r="I54" s="404">
        <v>811.33526611328102</v>
      </c>
    </row>
    <row r="55" spans="1:26">
      <c r="A55" s="98" t="s">
        <v>155</v>
      </c>
      <c r="B55" s="98"/>
      <c r="C55" s="101">
        <f>Assumptions!C22</f>
        <v>3.7999999999999999E-2</v>
      </c>
      <c r="D55" s="100"/>
      <c r="E55" s="585"/>
      <c r="G55" s="744" t="s">
        <v>75</v>
      </c>
      <c r="H55" s="745"/>
      <c r="I55" s="311">
        <f>SUM(I52:I54)</f>
        <v>2105.5861816406168</v>
      </c>
    </row>
    <row r="56" spans="1:26">
      <c r="A56" s="98" t="s">
        <v>156</v>
      </c>
      <c r="B56" s="98"/>
      <c r="C56" s="523">
        <f>Assumptions!C23</f>
        <v>1319.86</v>
      </c>
      <c r="D56" s="100" t="s">
        <v>63</v>
      </c>
      <c r="E56" s="585"/>
    </row>
    <row r="57" spans="1:26">
      <c r="A57" s="98" t="s">
        <v>151</v>
      </c>
      <c r="B57" s="98"/>
      <c r="C57" s="521">
        <f>Assumptions!C24</f>
        <v>0.04</v>
      </c>
      <c r="D57" s="98" t="s">
        <v>152</v>
      </c>
      <c r="E57" s="585"/>
      <c r="G57" s="155" t="s">
        <v>334</v>
      </c>
    </row>
    <row r="58" spans="1:26" s="72" customFormat="1" ht="15.75">
      <c r="C58" s="115"/>
      <c r="E58" s="441"/>
      <c r="G58" s="414" t="s">
        <v>335</v>
      </c>
    </row>
    <row r="60" spans="1:26" s="114" customFormat="1">
      <c r="E60" s="669"/>
    </row>
    <row r="62" spans="1:26" ht="18.75">
      <c r="A62" s="104" t="s">
        <v>174</v>
      </c>
    </row>
    <row r="64" spans="1:26" ht="45">
      <c r="A64" s="107" t="s">
        <v>168</v>
      </c>
      <c r="B64" s="106"/>
      <c r="C64" s="106" t="s">
        <v>166</v>
      </c>
      <c r="D64" s="106" t="s">
        <v>167</v>
      </c>
      <c r="E64" s="670" t="s">
        <v>183</v>
      </c>
    </row>
    <row r="65" spans="1:26">
      <c r="A65" s="19" t="s">
        <v>163</v>
      </c>
      <c r="C65" s="403">
        <v>6.0000000000000001E-3</v>
      </c>
      <c r="D65" s="402">
        <v>6.7000000000000002E-3</v>
      </c>
      <c r="E65" s="671">
        <v>200133</v>
      </c>
    </row>
    <row r="66" spans="1:26">
      <c r="A66" s="19" t="s">
        <v>164</v>
      </c>
      <c r="C66" s="403">
        <v>4.7999999999999996E-3</v>
      </c>
      <c r="D66" s="402">
        <v>1.4800000000000001E-2</v>
      </c>
      <c r="E66" s="671">
        <v>64042</v>
      </c>
    </row>
    <row r="67" spans="1:26">
      <c r="A67" s="19" t="s">
        <v>165</v>
      </c>
      <c r="C67" s="403">
        <v>1.1999999999999999E-3</v>
      </c>
      <c r="D67" s="401">
        <v>0.1</v>
      </c>
      <c r="E67" s="671">
        <v>800</v>
      </c>
    </row>
    <row r="68" spans="1:26">
      <c r="A68" s="19" t="s">
        <v>169</v>
      </c>
      <c r="C68" s="403">
        <v>6.9999999999999999E-4</v>
      </c>
      <c r="D68" s="401">
        <v>0.1</v>
      </c>
      <c r="E68" s="671">
        <v>1300</v>
      </c>
    </row>
    <row r="70" spans="1:26">
      <c r="A70" s="105" t="s">
        <v>181</v>
      </c>
    </row>
    <row r="71" spans="1:26">
      <c r="A71" s="19" t="str">
        <f>A7</f>
        <v>Population of Ulaan Baatar</v>
      </c>
      <c r="B71" s="19">
        <f t="shared" ref="B71:V71" si="33">B7</f>
        <v>1112300</v>
      </c>
      <c r="C71" s="22">
        <f t="shared" si="33"/>
        <v>1156792</v>
      </c>
      <c r="D71" s="22">
        <f t="shared" si="33"/>
        <v>1203063.68</v>
      </c>
      <c r="E71" s="581">
        <f t="shared" si="33"/>
        <v>1251186.2272000001</v>
      </c>
      <c r="F71" s="22">
        <f t="shared" si="33"/>
        <v>1301233.6762880001</v>
      </c>
      <c r="G71" s="22">
        <f t="shared" si="33"/>
        <v>1353283.0233395202</v>
      </c>
      <c r="H71" s="22">
        <f t="shared" si="33"/>
        <v>1407414.3442731011</v>
      </c>
      <c r="I71" s="22">
        <f t="shared" si="33"/>
        <v>1463710.9180440251</v>
      </c>
      <c r="J71" s="22">
        <f t="shared" si="33"/>
        <v>1522259.3547657861</v>
      </c>
      <c r="K71" s="22">
        <f t="shared" si="33"/>
        <v>1583149.7289564176</v>
      </c>
      <c r="L71" s="22">
        <f t="shared" si="33"/>
        <v>1646475.7181146743</v>
      </c>
      <c r="M71" s="22">
        <f t="shared" si="33"/>
        <v>1712334.7468392614</v>
      </c>
      <c r="N71" s="22">
        <f t="shared" si="33"/>
        <v>1780828.1367128319</v>
      </c>
      <c r="O71" s="22">
        <f t="shared" si="33"/>
        <v>1852061.2621813451</v>
      </c>
      <c r="P71" s="22">
        <f t="shared" si="33"/>
        <v>1926143.7126685991</v>
      </c>
      <c r="Q71" s="22">
        <f t="shared" si="33"/>
        <v>2003189.461175343</v>
      </c>
      <c r="R71" s="22">
        <f t="shared" si="33"/>
        <v>2083317.0396223569</v>
      </c>
      <c r="S71" s="22">
        <f t="shared" si="33"/>
        <v>2166649.7212072513</v>
      </c>
      <c r="T71" s="22">
        <f t="shared" si="33"/>
        <v>2253315.7100555412</v>
      </c>
      <c r="U71" s="22">
        <f t="shared" si="33"/>
        <v>2343448.3384577632</v>
      </c>
      <c r="V71" s="22">
        <f t="shared" si="33"/>
        <v>2437186.2719960739</v>
      </c>
      <c r="W71" s="22">
        <f>W7</f>
        <v>2534673.7228759169</v>
      </c>
      <c r="X71" s="22">
        <f>X7</f>
        <v>2636060.6717909537</v>
      </c>
      <c r="Y71" s="22">
        <f t="shared" ref="Y71:Z71" si="34">Y7</f>
        <v>2741503.098662592</v>
      </c>
      <c r="Z71" s="22">
        <f t="shared" si="34"/>
        <v>2851163.2226090957</v>
      </c>
    </row>
    <row r="72" spans="1:26">
      <c r="A72" s="19" t="s">
        <v>170</v>
      </c>
      <c r="C72" s="110">
        <f>Pollution!F53</f>
        <v>0</v>
      </c>
      <c r="D72" s="110">
        <f>Pollution!G53</f>
        <v>0</v>
      </c>
      <c r="E72" s="660">
        <f>Pollution!H53</f>
        <v>0</v>
      </c>
      <c r="F72" s="110">
        <f>Pollution!I53</f>
        <v>7.9062338042351854E-2</v>
      </c>
      <c r="G72" s="110">
        <f>Pollution!J53</f>
        <v>0.31360197769233444</v>
      </c>
      <c r="H72" s="110">
        <f>Pollution!K53</f>
        <v>0.31093566316639887</v>
      </c>
      <c r="I72" s="110">
        <f>Pollution!L53</f>
        <v>0.30825155463352694</v>
      </c>
      <c r="J72" s="110">
        <f>Pollution!M53</f>
        <v>0.3055508038376793</v>
      </c>
      <c r="K72" s="110">
        <f>Pollution!N53</f>
        <v>0.30283456648575857</v>
      </c>
      <c r="L72" s="110">
        <f>Pollution!O53</f>
        <v>0.30010400052592523</v>
      </c>
      <c r="M72" s="110">
        <f>Pollution!P53</f>
        <v>0.29736026444831154</v>
      </c>
      <c r="N72" s="110">
        <f>Pollution!Q53</f>
        <v>0.29460451561281609</v>
      </c>
      <c r="O72" s="110">
        <f>Pollution!R53</f>
        <v>0.29183790860848902</v>
      </c>
      <c r="P72" s="110">
        <f>Pollution!S53</f>
        <v>0.28906159364886896</v>
      </c>
      <c r="Q72" s="110">
        <f>Pollution!T53</f>
        <v>0.28627671500717788</v>
      </c>
      <c r="R72" s="110">
        <f>Pollution!U53</f>
        <v>0.28348440949525333</v>
      </c>
      <c r="S72" s="110">
        <f>Pollution!V53</f>
        <v>0.280685804989659</v>
      </c>
      <c r="T72" s="110">
        <f>Pollution!W53</f>
        <v>0.27788201900818343</v>
      </c>
      <c r="U72" s="110">
        <f>Pollution!X53</f>
        <v>0.27507415733970397</v>
      </c>
      <c r="V72" s="110">
        <f>Pollution!Y53</f>
        <v>0.2722633127299634</v>
      </c>
      <c r="W72" s="110">
        <f>Pollution!Z53</f>
        <v>0.2694505636256519</v>
      </c>
      <c r="X72" s="110">
        <f>Pollution!AA53</f>
        <v>0.26663697297878741</v>
      </c>
      <c r="Y72" s="110">
        <f>Pollution!AB53</f>
        <v>0.26382358711316378</v>
      </c>
      <c r="Z72" s="110">
        <f>Pollution!AC53</f>
        <v>0.19575857599064683</v>
      </c>
    </row>
    <row r="73" spans="1:26">
      <c r="A73" s="19" t="s">
        <v>176</v>
      </c>
      <c r="C73" s="110">
        <f>Pollution!F54</f>
        <v>0</v>
      </c>
      <c r="D73" s="110">
        <f>Pollution!G54</f>
        <v>0</v>
      </c>
      <c r="E73" s="660">
        <f>Pollution!H54</f>
        <v>0</v>
      </c>
      <c r="F73" s="110">
        <f>Pollution!I54</f>
        <v>3.9531169021175927E-2</v>
      </c>
      <c r="G73" s="110">
        <f>Pollution!J54</f>
        <v>0.15680098884616722</v>
      </c>
      <c r="H73" s="110">
        <f>Pollution!K54</f>
        <v>0.15546783158319943</v>
      </c>
      <c r="I73" s="110">
        <f>Pollution!L54</f>
        <v>0.15412577731676347</v>
      </c>
      <c r="J73" s="110">
        <f>Pollution!M54</f>
        <v>0.15277540191883965</v>
      </c>
      <c r="K73" s="110">
        <f>Pollution!N54</f>
        <v>0.15141728324287929</v>
      </c>
      <c r="L73" s="110">
        <f>Pollution!O54</f>
        <v>0.15005200026296261</v>
      </c>
      <c r="M73" s="110">
        <f>Pollution!P54</f>
        <v>0.14868013222415577</v>
      </c>
      <c r="N73" s="110">
        <f>Pollution!Q54</f>
        <v>0.14730225780640804</v>
      </c>
      <c r="O73" s="110">
        <f>Pollution!R54</f>
        <v>0.14591895430424451</v>
      </c>
      <c r="P73" s="110">
        <f>Pollution!S54</f>
        <v>0.14453079682443448</v>
      </c>
      <c r="Q73" s="110">
        <f>Pollution!T54</f>
        <v>0.14313835750358894</v>
      </c>
      <c r="R73" s="110">
        <f>Pollution!U54</f>
        <v>0.14174220474762667</v>
      </c>
      <c r="S73" s="110">
        <f>Pollution!V54</f>
        <v>0.1403429024948295</v>
      </c>
      <c r="T73" s="110">
        <f>Pollution!W54</f>
        <v>0.13894100950409172</v>
      </c>
      <c r="U73" s="110">
        <f>Pollution!X54</f>
        <v>0.13753707866985199</v>
      </c>
      <c r="V73" s="110">
        <f>Pollution!Y54</f>
        <v>0.1361316563649817</v>
      </c>
      <c r="W73" s="110">
        <f>Pollution!Z54</f>
        <v>0.13472528181282595</v>
      </c>
      <c r="X73" s="110">
        <f>Pollution!AA54</f>
        <v>0.13331848648939371</v>
      </c>
      <c r="Y73" s="110">
        <f>Pollution!AB54</f>
        <v>0.13191179355658189</v>
      </c>
      <c r="Z73" s="110">
        <f>Pollution!AC54</f>
        <v>9.7879287995323416E-2</v>
      </c>
    </row>
    <row r="74" spans="1:26">
      <c r="C74" s="22"/>
      <c r="D74" s="22"/>
      <c r="E74" s="581"/>
      <c r="F74" s="22"/>
      <c r="G74" s="22"/>
      <c r="H74" s="22"/>
      <c r="I74" s="22"/>
      <c r="J74" s="22"/>
      <c r="K74" s="22"/>
      <c r="L74" s="22"/>
      <c r="M74" s="22"/>
      <c r="N74" s="22"/>
      <c r="O74" s="22"/>
      <c r="P74" s="22"/>
      <c r="Q74" s="22"/>
      <c r="R74" s="22"/>
      <c r="S74" s="22"/>
      <c r="T74" s="22"/>
      <c r="U74" s="22"/>
      <c r="V74" s="22"/>
      <c r="W74" s="22"/>
      <c r="X74" s="22"/>
      <c r="Y74" s="22"/>
      <c r="Z74" s="22"/>
    </row>
    <row r="75" spans="1:26">
      <c r="A75" s="105" t="s">
        <v>171</v>
      </c>
      <c r="C75" s="22"/>
      <c r="D75" s="22"/>
      <c r="E75" s="672"/>
      <c r="F75" s="22"/>
      <c r="G75" s="22"/>
      <c r="H75" s="22"/>
      <c r="I75" s="22"/>
      <c r="J75" s="22"/>
      <c r="K75" s="22"/>
      <c r="L75" s="22"/>
      <c r="M75" s="22"/>
      <c r="N75" s="22"/>
      <c r="O75" s="22"/>
      <c r="P75" s="22"/>
      <c r="Q75" s="22"/>
      <c r="R75" s="22"/>
      <c r="S75" s="22"/>
      <c r="T75" s="22"/>
      <c r="U75" s="22"/>
      <c r="V75" s="22"/>
      <c r="W75" s="22"/>
      <c r="X75" s="22"/>
      <c r="Y75" s="22"/>
      <c r="Z75" s="22"/>
    </row>
    <row r="76" spans="1:26">
      <c r="A76" s="19" t="s">
        <v>163</v>
      </c>
      <c r="C76" s="19">
        <f>EXP($C$65*C73)</f>
        <v>1</v>
      </c>
      <c r="D76" s="19">
        <f>EXP($C$65*D73)</f>
        <v>1</v>
      </c>
      <c r="E76" s="117">
        <f t="shared" ref="E76:V76" si="35">EXP($C$65*E73)</f>
        <v>1</v>
      </c>
      <c r="F76" s="19">
        <f t="shared" si="35"/>
        <v>1.000237215145191</v>
      </c>
      <c r="G76" s="19">
        <f t="shared" si="35"/>
        <v>1.0009412486297986</v>
      </c>
      <c r="H76" s="19">
        <f t="shared" si="35"/>
        <v>1.0009332421892476</v>
      </c>
      <c r="I76" s="19">
        <f t="shared" si="35"/>
        <v>1.0009251823813292</v>
      </c>
      <c r="J76" s="19">
        <f t="shared" si="35"/>
        <v>1.0009170726657339</v>
      </c>
      <c r="K76" s="19">
        <f t="shared" si="35"/>
        <v>1.0009089165139482</v>
      </c>
      <c r="L76" s="19">
        <f t="shared" si="35"/>
        <v>1.0009007174040816</v>
      </c>
      <c r="M76" s="19">
        <f t="shared" si="35"/>
        <v>1.0008924788157632</v>
      </c>
      <c r="N76" s="19">
        <f t="shared" si="35"/>
        <v>1.0008842042251183</v>
      </c>
      <c r="O76" s="19">
        <f t="shared" si="35"/>
        <v>1.0008758970998424</v>
      </c>
      <c r="P76" s="19">
        <f t="shared" si="35"/>
        <v>1.0008675608943809</v>
      </c>
      <c r="Q76" s="19">
        <f t="shared" si="35"/>
        <v>1.0008591990452305</v>
      </c>
      <c r="R76" s="19">
        <f t="shared" si="35"/>
        <v>1.0008508149663724</v>
      </c>
      <c r="S76" s="19">
        <f t="shared" si="35"/>
        <v>1.0008424120448467</v>
      </c>
      <c r="T76" s="19">
        <f t="shared" si="35"/>
        <v>1.0008339936364781</v>
      </c>
      <c r="U76" s="19">
        <f t="shared" si="35"/>
        <v>1.0008255630617642</v>
      </c>
      <c r="V76" s="19">
        <f t="shared" si="35"/>
        <v>1.0008171236019296</v>
      </c>
      <c r="W76" s="19">
        <f>EXP($C$65*W73)</f>
        <v>1.0008086784951566</v>
      </c>
      <c r="X76" s="19">
        <f>EXP($C$65*X73)</f>
        <v>1.0008002309329973</v>
      </c>
      <c r="Y76" s="19">
        <f t="shared" ref="Y76:Z76" si="36">EXP($C$65*Y73)</f>
        <v>1.0007917840569718</v>
      </c>
      <c r="Z76" s="19">
        <f t="shared" si="36"/>
        <v>1.0005874482081252</v>
      </c>
    </row>
    <row r="77" spans="1:26">
      <c r="A77" s="19" t="s">
        <v>164</v>
      </c>
      <c r="C77" s="19">
        <f>EXP($C$66*C72)</f>
        <v>1</v>
      </c>
      <c r="D77" s="19">
        <f t="shared" ref="D77:V77" si="37">EXP($C$66*D72)</f>
        <v>1</v>
      </c>
      <c r="E77" s="117">
        <f t="shared" si="37"/>
        <v>1</v>
      </c>
      <c r="F77" s="19">
        <f t="shared" si="37"/>
        <v>1.0003795712415433</v>
      </c>
      <c r="G77" s="19">
        <f t="shared" si="37"/>
        <v>1.0015064230098376</v>
      </c>
      <c r="H77" s="19">
        <f t="shared" si="37"/>
        <v>1.0014936055024664</v>
      </c>
      <c r="I77" s="19">
        <f t="shared" si="37"/>
        <v>1.0014807026214307</v>
      </c>
      <c r="J77" s="19">
        <f t="shared" si="37"/>
        <v>1.0014677199065201</v>
      </c>
      <c r="K77" s="19">
        <f t="shared" si="37"/>
        <v>1.0014546629163061</v>
      </c>
      <c r="L77" s="19">
        <f t="shared" si="37"/>
        <v>1.001441537219862</v>
      </c>
      <c r="M77" s="19">
        <f t="shared" si="37"/>
        <v>1.0014283483885886</v>
      </c>
      <c r="N77" s="19">
        <f t="shared" si="37"/>
        <v>1.0014151019881743</v>
      </c>
      <c r="O77" s="19">
        <f t="shared" si="37"/>
        <v>1.0014018035707042</v>
      </c>
      <c r="P77" s="19">
        <f t="shared" si="37"/>
        <v>1.0013884586669459</v>
      </c>
      <c r="Q77" s="19">
        <f t="shared" si="37"/>
        <v>1.0013750727788266</v>
      </c>
      <c r="R77" s="19">
        <f t="shared" si="37"/>
        <v>1.001361651372122</v>
      </c>
      <c r="S77" s="19">
        <f t="shared" si="37"/>
        <v>1.0013481998693707</v>
      </c>
      <c r="T77" s="19">
        <f t="shared" si="37"/>
        <v>1.0013347236430359</v>
      </c>
      <c r="U77" s="19">
        <f t="shared" si="37"/>
        <v>1.0013212280089197</v>
      </c>
      <c r="V77" s="19">
        <f t="shared" si="37"/>
        <v>1.0013077182198507</v>
      </c>
      <c r="W77" s="19">
        <f>EXP($C$66*W72)</f>
        <v>1.0012941994596503</v>
      </c>
      <c r="X77" s="19">
        <f>EXP($C$66*X72)</f>
        <v>1.0012806768373907</v>
      </c>
      <c r="Y77" s="19">
        <f t="shared" ref="Y77:Z77" si="38">EXP($C$66*Y72)</f>
        <v>1.0012671553819517</v>
      </c>
      <c r="Z77" s="19">
        <f t="shared" si="38"/>
        <v>1.000940082765819</v>
      </c>
    </row>
    <row r="78" spans="1:26">
      <c r="A78" s="19" t="s">
        <v>165</v>
      </c>
      <c r="C78" s="19">
        <f>EXP($C$67*C72)</f>
        <v>1</v>
      </c>
      <c r="D78" s="19">
        <f t="shared" ref="D78:V78" si="39">EXP($C$67*D72)</f>
        <v>1</v>
      </c>
      <c r="E78" s="117">
        <f t="shared" si="39"/>
        <v>1</v>
      </c>
      <c r="F78" s="19">
        <f t="shared" si="39"/>
        <v>1.0000948793064075</v>
      </c>
      <c r="G78" s="19">
        <f t="shared" si="39"/>
        <v>1.0003763931913783</v>
      </c>
      <c r="H78" s="19">
        <f t="shared" si="39"/>
        <v>1.0003731924147685</v>
      </c>
      <c r="I78" s="19">
        <f t="shared" si="39"/>
        <v>1.0003699702876916</v>
      </c>
      <c r="J78" s="19">
        <f t="shared" si="39"/>
        <v>1.0003667281929531</v>
      </c>
      <c r="K78" s="19">
        <f t="shared" si="39"/>
        <v>1.0003634675180999</v>
      </c>
      <c r="L78" s="19">
        <f t="shared" si="39"/>
        <v>1.0003601896533518</v>
      </c>
      <c r="M78" s="19">
        <f t="shared" si="39"/>
        <v>1.0003568959895626</v>
      </c>
      <c r="N78" s="19">
        <f t="shared" si="39"/>
        <v>1.0003535879162109</v>
      </c>
      <c r="O78" s="19">
        <f t="shared" si="39"/>
        <v>1.000350266819432</v>
      </c>
      <c r="P78" s="19">
        <f t="shared" si="39"/>
        <v>1.0003469340800908</v>
      </c>
      <c r="Q78" s="19">
        <f t="shared" si="39"/>
        <v>1.0003435910719036</v>
      </c>
      <c r="R78" s="19">
        <f t="shared" si="39"/>
        <v>1.0003402391596115</v>
      </c>
      <c r="S78" s="19">
        <f t="shared" si="39"/>
        <v>1.0003368796972121</v>
      </c>
      <c r="T78" s="19">
        <f t="shared" si="39"/>
        <v>1.0003335140262499</v>
      </c>
      <c r="U78" s="19">
        <f t="shared" si="39"/>
        <v>1.0003301434741727</v>
      </c>
      <c r="V78" s="19">
        <f t="shared" si="39"/>
        <v>1.0003267693527531</v>
      </c>
      <c r="W78" s="19">
        <f>EXP($C$67*W72)</f>
        <v>1.0003233929565818</v>
      </c>
      <c r="X78" s="19">
        <f>EXP($C$67*X72)</f>
        <v>1.0003200155616327</v>
      </c>
      <c r="Y78" s="19">
        <f t="shared" ref="Y78:Z78" si="40">EXP($C$67*Y72)</f>
        <v>1.0003166384239019</v>
      </c>
      <c r="Z78" s="19">
        <f t="shared" si="40"/>
        <v>1.0002349378847719</v>
      </c>
    </row>
    <row r="79" spans="1:26">
      <c r="A79" s="19" t="s">
        <v>169</v>
      </c>
      <c r="C79" s="19">
        <f>EXP($C$68*C72)</f>
        <v>1</v>
      </c>
      <c r="D79" s="19">
        <f t="shared" ref="D79:V79" si="41">EXP($C$68*D72)</f>
        <v>1</v>
      </c>
      <c r="E79" s="117">
        <f t="shared" si="41"/>
        <v>1</v>
      </c>
      <c r="F79" s="19">
        <f t="shared" si="41"/>
        <v>1.0000553451681169</v>
      </c>
      <c r="G79" s="19">
        <f t="shared" si="41"/>
        <v>1.000219545480967</v>
      </c>
      <c r="H79" s="19">
        <f t="shared" si="41"/>
        <v>1.0002176786527768</v>
      </c>
      <c r="I79" s="19">
        <f t="shared" si="41"/>
        <v>1.0002157993695782</v>
      </c>
      <c r="J79" s="19">
        <f t="shared" si="41"/>
        <v>1.0002139084378341</v>
      </c>
      <c r="K79" s="19">
        <f t="shared" si="41"/>
        <v>1.0002120066667777</v>
      </c>
      <c r="L79" s="19">
        <f t="shared" si="41"/>
        <v>1.0002100948672041</v>
      </c>
      <c r="M79" s="19">
        <f t="shared" si="41"/>
        <v>1.000208173850283</v>
      </c>
      <c r="N79" s="19">
        <f t="shared" si="41"/>
        <v>1.0002062444263868</v>
      </c>
      <c r="O79" s="19">
        <f t="shared" si="41"/>
        <v>1.0002043074039413</v>
      </c>
      <c r="P79" s="19">
        <f t="shared" si="41"/>
        <v>1.0002023635883033</v>
      </c>
      <c r="Q79" s="19">
        <f t="shared" si="41"/>
        <v>1.0002004137806639</v>
      </c>
      <c r="R79" s="19">
        <f t="shared" si="41"/>
        <v>1.0001984587769845</v>
      </c>
      <c r="S79" s="19">
        <f t="shared" si="41"/>
        <v>1.0001964993669648</v>
      </c>
      <c r="T79" s="19">
        <f t="shared" si="41"/>
        <v>1.0001945363330444</v>
      </c>
      <c r="U79" s="19">
        <f t="shared" si="41"/>
        <v>1.0001925704494468</v>
      </c>
      <c r="V79" s="19">
        <f t="shared" si="41"/>
        <v>1.0001906024812561</v>
      </c>
      <c r="W79" s="19">
        <f>EXP($C$68*W72)</f>
        <v>1.0001886331835399</v>
      </c>
      <c r="X79" s="19">
        <f>EXP($C$68*X72)</f>
        <v>1.0001866633005114</v>
      </c>
      <c r="Y79" s="19">
        <f t="shared" ref="Y79:Z79" si="42">EXP($C$68*Y72)</f>
        <v>1.0001846935647358</v>
      </c>
      <c r="Z79" s="19">
        <f t="shared" si="42"/>
        <v>1.0001370403923702</v>
      </c>
    </row>
    <row r="81" spans="1:26">
      <c r="A81" s="105" t="s">
        <v>172</v>
      </c>
    </row>
    <row r="82" spans="1:26">
      <c r="A82" s="19" t="s">
        <v>163</v>
      </c>
      <c r="C82" s="112">
        <f>((C76-1)/C76)*$D$65*C71</f>
        <v>0</v>
      </c>
      <c r="D82" s="112">
        <f t="shared" ref="D82:X82" si="43">((D76-1)/D76)*$D$65*D71</f>
        <v>0</v>
      </c>
      <c r="E82" s="673">
        <f t="shared" si="43"/>
        <v>0</v>
      </c>
      <c r="F82" s="112">
        <f t="shared" si="43"/>
        <v>2.0676141781049924</v>
      </c>
      <c r="G82" s="112">
        <f t="shared" si="43"/>
        <v>8.526272460431203</v>
      </c>
      <c r="H82" s="112">
        <f t="shared" si="43"/>
        <v>8.7919665395459745</v>
      </c>
      <c r="I82" s="112">
        <f t="shared" si="43"/>
        <v>9.0647504559017875</v>
      </c>
      <c r="J82" s="112">
        <f t="shared" si="43"/>
        <v>9.3447805347745501</v>
      </c>
      <c r="K82" s="112">
        <f t="shared" si="43"/>
        <v>9.6322163685740758</v>
      </c>
      <c r="L82" s="112">
        <f t="shared" si="43"/>
        <v>9.9272209218558594</v>
      </c>
      <c r="M82" s="112">
        <f t="shared" si="43"/>
        <v>10.229960640072308</v>
      </c>
      <c r="N82" s="112">
        <f t="shared" si="43"/>
        <v>10.54060556205615</v>
      </c>
      <c r="O82" s="112">
        <f t="shared" si="43"/>
        <v>10.859329436283303</v>
      </c>
      <c r="P82" s="112">
        <f t="shared" si="43"/>
        <v>11.186309840891258</v>
      </c>
      <c r="Q82" s="112">
        <f t="shared" si="43"/>
        <v>11.52172830750458</v>
      </c>
      <c r="R82" s="112">
        <f t="shared" si="43"/>
        <v>11.865770448877216</v>
      </c>
      <c r="S82" s="112">
        <f t="shared" si="43"/>
        <v>12.21862609033848</v>
      </c>
      <c r="T82" s="112">
        <f t="shared" si="43"/>
        <v>12.580489405080362</v>
      </c>
      <c r="U82" s="112">
        <f t="shared" si="43"/>
        <v>12.951559053321883</v>
      </c>
      <c r="V82" s="112">
        <f t="shared" si="43"/>
        <v>13.332038325306945</v>
      </c>
      <c r="W82" s="112">
        <f t="shared" si="43"/>
        <v>13.722135288204996</v>
      </c>
      <c r="X82" s="112">
        <f t="shared" si="43"/>
        <v>14.122062936926119</v>
      </c>
      <c r="Y82" s="112">
        <f t="shared" ref="Y82:Z82" si="44">((Y76-1)/Y76)*$D$65*Y71</f>
        <v>14.532039348848743</v>
      </c>
      <c r="Z82" s="112">
        <f t="shared" si="44"/>
        <v>11.215313449710944</v>
      </c>
    </row>
    <row r="83" spans="1:26">
      <c r="A83" s="19" t="s">
        <v>164</v>
      </c>
      <c r="C83" s="112">
        <f>((C77-1)/C77)*$D$66*C71</f>
        <v>0</v>
      </c>
      <c r="D83" s="112">
        <f t="shared" ref="D83:V83" si="45">((D77-1)/D77)*$D$66*D71</f>
        <v>0</v>
      </c>
      <c r="E83" s="673">
        <f t="shared" si="45"/>
        <v>0</v>
      </c>
      <c r="F83" s="112">
        <f t="shared" si="45"/>
        <v>7.3071074864289605</v>
      </c>
      <c r="G83" s="112">
        <f t="shared" si="45"/>
        <v>30.126144223826195</v>
      </c>
      <c r="H83" s="112">
        <f t="shared" si="45"/>
        <v>31.065003910299879</v>
      </c>
      <c r="I83" s="112">
        <f t="shared" si="45"/>
        <v>32.028919476765005</v>
      </c>
      <c r="J83" s="112">
        <f t="shared" si="45"/>
        <v>33.018443469803728</v>
      </c>
      <c r="K83" s="112">
        <f t="shared" si="45"/>
        <v>34.034139983438322</v>
      </c>
      <c r="L83" s="112">
        <f t="shared" si="45"/>
        <v>35.076585030199716</v>
      </c>
      <c r="M83" s="112">
        <f t="shared" si="45"/>
        <v>36.146366925357064</v>
      </c>
      <c r="N83" s="112">
        <f t="shared" si="45"/>
        <v>37.24408668439915</v>
      </c>
      <c r="O83" s="112">
        <f t="shared" si="45"/>
        <v>38.370358433771251</v>
      </c>
      <c r="P83" s="112">
        <f t="shared" si="45"/>
        <v>39.525809835010648</v>
      </c>
      <c r="Q83" s="112">
        <f t="shared" si="45"/>
        <v>40.711082522267624</v>
      </c>
      <c r="R83" s="112">
        <f t="shared" si="45"/>
        <v>41.926832553314426</v>
      </c>
      <c r="S83" s="112">
        <f t="shared" si="45"/>
        <v>43.173730874011042</v>
      </c>
      <c r="T83" s="112">
        <f t="shared" si="45"/>
        <v>44.452463796422492</v>
      </c>
      <c r="U83" s="112">
        <f t="shared" si="45"/>
        <v>45.763733490473534</v>
      </c>
      <c r="V83" s="112">
        <f t="shared" si="45"/>
        <v>47.108258489343477</v>
      </c>
      <c r="W83" s="112">
        <f>((W77-1)/W77)*$D$66*W71</f>
        <v>48.486774208547772</v>
      </c>
      <c r="X83" s="112">
        <f>((X77-1)/X77)*$D$66*X71</f>
        <v>49.900033478865282</v>
      </c>
      <c r="Y83" s="112">
        <f t="shared" ref="Y83:Z83" si="46">((Y77-1)/Y77)*$D$66*Y71</f>
        <v>51.348807093125373</v>
      </c>
      <c r="Z83" s="112">
        <f t="shared" si="46"/>
        <v>39.631618238767622</v>
      </c>
    </row>
    <row r="84" spans="1:26">
      <c r="A84" s="19" t="s">
        <v>165</v>
      </c>
      <c r="C84" s="113">
        <f>((C78-1)/C78)*$D$67*C71</f>
        <v>0</v>
      </c>
      <c r="D84" s="113">
        <f>((D78-1)/D78)*$D$67*D71</f>
        <v>0</v>
      </c>
      <c r="E84" s="674">
        <f t="shared" ref="E84:V84" si="47">((E78-1)/E78)*$D$67*E71</f>
        <v>0</v>
      </c>
      <c r="F84" s="113">
        <f t="shared" si="47"/>
        <v>12.344843597830755</v>
      </c>
      <c r="G84" s="113">
        <f t="shared" si="47"/>
        <v>50.917486604000693</v>
      </c>
      <c r="H84" s="113">
        <f t="shared" si="47"/>
        <v>52.504041661820224</v>
      </c>
      <c r="I84" s="113">
        <f t="shared" si="47"/>
        <v>54.132927369894304</v>
      </c>
      <c r="J84" s="113">
        <f t="shared" si="47"/>
        <v>55.805076942901522</v>
      </c>
      <c r="K84" s="113">
        <f t="shared" si="47"/>
        <v>57.521443100271078</v>
      </c>
      <c r="L84" s="113">
        <f t="shared" si="47"/>
        <v>59.28299869324367</v>
      </c>
      <c r="M84" s="113">
        <f t="shared" si="47"/>
        <v>61.09073735439533</v>
      </c>
      <c r="N84" s="113">
        <f t="shared" si="47"/>
        <v>62.94567416923428</v>
      </c>
      <c r="O84" s="113">
        <f t="shared" si="47"/>
        <v>64.848846370577078</v>
      </c>
      <c r="P84" s="113">
        <f t="shared" si="47"/>
        <v>66.801314055292991</v>
      </c>
      <c r="Q84" s="113">
        <f t="shared" si="47"/>
        <v>68.804160923725121</v>
      </c>
      <c r="R84" s="113">
        <f t="shared" si="47"/>
        <v>70.858495041729199</v>
      </c>
      <c r="S84" s="113">
        <f t="shared" si="47"/>
        <v>72.965449625916278</v>
      </c>
      <c r="T84" s="113">
        <f t="shared" si="47"/>
        <v>75.126183851230408</v>
      </c>
      <c r="U84" s="113">
        <f t="shared" si="47"/>
        <v>77.341883682092273</v>
      </c>
      <c r="V84" s="113">
        <f t="shared" si="47"/>
        <v>79.613762726175707</v>
      </c>
      <c r="W84" s="113">
        <f>((W78-1)/W78)*$D$67*W71</f>
        <v>81.943063111650929</v>
      </c>
      <c r="X84" s="113">
        <f>((X78-1)/X78)*$D$67*X71</f>
        <v>84.331056387744866</v>
      </c>
      <c r="Y84" s="113">
        <f t="shared" ref="Y84:Z84" si="48">((Y78-1)/Y78)*$D$67*Y71</f>
        <v>86.779044448421473</v>
      </c>
      <c r="Z84" s="113">
        <f t="shared" si="48"/>
        <v>66.968892136061228</v>
      </c>
    </row>
    <row r="85" spans="1:26">
      <c r="A85" s="19" t="s">
        <v>169</v>
      </c>
      <c r="C85" s="113">
        <f>((C79-1)/C79)*$D$68*C71</f>
        <v>0</v>
      </c>
      <c r="D85" s="113">
        <f t="shared" ref="D85:V85" si="49">((D79-1)/D79)*$D$68*D71</f>
        <v>0</v>
      </c>
      <c r="E85" s="674">
        <f t="shared" si="49"/>
        <v>0</v>
      </c>
      <c r="F85" s="113">
        <f t="shared" si="49"/>
        <v>7.2013011001322553</v>
      </c>
      <c r="G85" s="113">
        <f t="shared" si="49"/>
        <v>29.704195802405192</v>
      </c>
      <c r="H85" s="113">
        <f t="shared" si="49"/>
        <v>30.629738395818922</v>
      </c>
      <c r="I85" s="113">
        <f t="shared" si="49"/>
        <v>31.579974397291164</v>
      </c>
      <c r="J85" s="113">
        <f t="shared" si="49"/>
        <v>32.555448170566329</v>
      </c>
      <c r="K85" s="113">
        <f t="shared" si="49"/>
        <v>33.556715457210956</v>
      </c>
      <c r="L85" s="113">
        <f t="shared" si="49"/>
        <v>34.584343742107826</v>
      </c>
      <c r="M85" s="113">
        <f t="shared" si="49"/>
        <v>35.638912632634472</v>
      </c>
      <c r="N85" s="113">
        <f t="shared" si="49"/>
        <v>36.721014250467313</v>
      </c>
      <c r="O85" s="113">
        <f t="shared" si="49"/>
        <v>37.831253636430532</v>
      </c>
      <c r="P85" s="113">
        <f t="shared" si="49"/>
        <v>38.970249168882724</v>
      </c>
      <c r="Q85" s="113">
        <f t="shared" si="49"/>
        <v>40.138632994840513</v>
      </c>
      <c r="R85" s="113">
        <f t="shared" si="49"/>
        <v>41.337051474771698</v>
      </c>
      <c r="S85" s="113">
        <f t="shared" si="49"/>
        <v>42.566165640555859</v>
      </c>
      <c r="T85" s="113">
        <f t="shared" si="49"/>
        <v>43.826651666460421</v>
      </c>
      <c r="U85" s="113">
        <f t="shared" si="49"/>
        <v>45.119201354324105</v>
      </c>
      <c r="V85" s="113">
        <f t="shared" si="49"/>
        <v>46.444522631328667</v>
      </c>
      <c r="W85" s="113">
        <f>((W79-1)/W79)*$D$68*W71</f>
        <v>47.803340061881514</v>
      </c>
      <c r="X85" s="113">
        <f>((X79-1)/X79)*$D$68*X71</f>
        <v>49.196395372952757</v>
      </c>
      <c r="Y85" s="113">
        <f t="shared" ref="Y85:Z85" si="50">((Y79-1)/Y79)*$D$68*Y71</f>
        <v>50.624447992868447</v>
      </c>
      <c r="Z85" s="113">
        <f t="shared" si="50"/>
        <v>39.067098903212155</v>
      </c>
    </row>
    <row r="87" spans="1:26">
      <c r="A87" s="105" t="s">
        <v>133</v>
      </c>
    </row>
    <row r="88" spans="1:26">
      <c r="A88" s="19" t="s">
        <v>163</v>
      </c>
      <c r="C88" s="22">
        <f t="shared" ref="C88:V88" si="51">C82*$E65</f>
        <v>0</v>
      </c>
      <c r="D88" s="22">
        <f t="shared" si="51"/>
        <v>0</v>
      </c>
      <c r="E88" s="581">
        <f t="shared" si="51"/>
        <v>0</v>
      </c>
      <c r="F88" s="22">
        <f t="shared" si="51"/>
        <v>413797.82830668642</v>
      </c>
      <c r="G88" s="22">
        <f t="shared" si="51"/>
        <v>1706388.4863234779</v>
      </c>
      <c r="H88" s="22">
        <f t="shared" si="51"/>
        <v>1759562.6394589546</v>
      </c>
      <c r="I88" s="22">
        <f t="shared" si="51"/>
        <v>1814155.7029909925</v>
      </c>
      <c r="J88" s="22">
        <f t="shared" si="51"/>
        <v>1870198.962766035</v>
      </c>
      <c r="K88" s="22">
        <f t="shared" si="51"/>
        <v>1927724.3584918354</v>
      </c>
      <c r="L88" s="22">
        <f t="shared" si="51"/>
        <v>1986764.5047537787</v>
      </c>
      <c r="M88" s="22">
        <f t="shared" si="51"/>
        <v>2047352.7127795913</v>
      </c>
      <c r="N88" s="22">
        <f t="shared" si="51"/>
        <v>2109523.0129509834</v>
      </c>
      <c r="O88" s="22">
        <f t="shared" si="51"/>
        <v>2173310.1780716865</v>
      </c>
      <c r="P88" s="22">
        <f t="shared" si="51"/>
        <v>2238749.7473870902</v>
      </c>
      <c r="Q88" s="22">
        <f t="shared" si="51"/>
        <v>2305878.0513658142</v>
      </c>
      <c r="R88" s="22">
        <f t="shared" si="51"/>
        <v>2374732.2372451439</v>
      </c>
      <c r="S88" s="22">
        <f t="shared" si="51"/>
        <v>2445350.295337711</v>
      </c>
      <c r="T88" s="22">
        <f t="shared" si="51"/>
        <v>2517771.0861069481</v>
      </c>
      <c r="U88" s="22">
        <f t="shared" si="51"/>
        <v>2592034.3680184684</v>
      </c>
      <c r="V88" s="22">
        <f t="shared" si="51"/>
        <v>2668180.8261586549</v>
      </c>
      <c r="W88" s="22">
        <f t="shared" ref="W88:X91" si="52">W82*$E65</f>
        <v>2746252.1016343306</v>
      </c>
      <c r="X88" s="22">
        <f t="shared" si="52"/>
        <v>2826290.8217558349</v>
      </c>
      <c r="Y88" s="22">
        <f t="shared" ref="Y88:Z88" si="53">Y82*$E65</f>
        <v>2908340.6310031456</v>
      </c>
      <c r="Z88" s="22">
        <f t="shared" si="53"/>
        <v>2244554.3266310003</v>
      </c>
    </row>
    <row r="89" spans="1:26">
      <c r="A89" s="19" t="s">
        <v>164</v>
      </c>
      <c r="C89" s="22">
        <f t="shared" ref="C89:V89" si="54">C83*$E66</f>
        <v>0</v>
      </c>
      <c r="D89" s="22">
        <f t="shared" si="54"/>
        <v>0</v>
      </c>
      <c r="E89" s="581">
        <f t="shared" si="54"/>
        <v>0</v>
      </c>
      <c r="F89" s="22">
        <f t="shared" si="54"/>
        <v>467961.7776458835</v>
      </c>
      <c r="G89" s="22">
        <f t="shared" si="54"/>
        <v>1929338.5283822771</v>
      </c>
      <c r="H89" s="22">
        <f t="shared" si="54"/>
        <v>1989464.9804234249</v>
      </c>
      <c r="I89" s="22">
        <f t="shared" si="54"/>
        <v>2051196.0611309845</v>
      </c>
      <c r="J89" s="22">
        <f t="shared" si="54"/>
        <v>2114567.1566931703</v>
      </c>
      <c r="K89" s="22">
        <f t="shared" si="54"/>
        <v>2179614.3928193571</v>
      </c>
      <c r="L89" s="22">
        <f t="shared" si="54"/>
        <v>2246374.6585040502</v>
      </c>
      <c r="M89" s="22">
        <f t="shared" si="54"/>
        <v>2314885.6306337169</v>
      </c>
      <c r="N89" s="22">
        <f t="shared" si="54"/>
        <v>2385185.7994422903</v>
      </c>
      <c r="O89" s="22">
        <f t="shared" si="54"/>
        <v>2457314.4948155787</v>
      </c>
      <c r="P89" s="22">
        <f t="shared" si="54"/>
        <v>2531311.9134537517</v>
      </c>
      <c r="Q89" s="22">
        <f t="shared" si="54"/>
        <v>2607219.1468910631</v>
      </c>
      <c r="R89" s="22">
        <f t="shared" si="54"/>
        <v>2685078.2103793626</v>
      </c>
      <c r="S89" s="22">
        <f t="shared" si="54"/>
        <v>2764932.072633415</v>
      </c>
      <c r="T89" s="22">
        <f t="shared" si="54"/>
        <v>2846824.6864504893</v>
      </c>
      <c r="U89" s="22">
        <f t="shared" si="54"/>
        <v>2930801.0201969063</v>
      </c>
      <c r="V89" s="22">
        <f t="shared" si="54"/>
        <v>3016907.0901745348</v>
      </c>
      <c r="W89" s="22">
        <f t="shared" si="52"/>
        <v>3105189.9938638164</v>
      </c>
      <c r="X89" s="22">
        <f t="shared" si="52"/>
        <v>3195697.9440534902</v>
      </c>
      <c r="Y89" s="22">
        <f t="shared" ref="Y89:Z89" si="55">Y83*$E66</f>
        <v>3288480.3038579351</v>
      </c>
      <c r="Z89" s="22">
        <f t="shared" si="55"/>
        <v>2538088.095247156</v>
      </c>
    </row>
    <row r="90" spans="1:26">
      <c r="A90" s="19" t="s">
        <v>165</v>
      </c>
      <c r="C90" s="22">
        <f t="shared" ref="C90:V90" si="56">C84*$E67</f>
        <v>0</v>
      </c>
      <c r="D90" s="22">
        <f t="shared" si="56"/>
        <v>0</v>
      </c>
      <c r="E90" s="581">
        <f t="shared" si="56"/>
        <v>0</v>
      </c>
      <c r="F90" s="22">
        <f t="shared" si="56"/>
        <v>9875.8748782646035</v>
      </c>
      <c r="G90" s="22">
        <f t="shared" si="56"/>
        <v>40733.989283200557</v>
      </c>
      <c r="H90" s="22">
        <f t="shared" si="56"/>
        <v>42003.233329456183</v>
      </c>
      <c r="I90" s="22">
        <f t="shared" si="56"/>
        <v>43306.341895915444</v>
      </c>
      <c r="J90" s="22">
        <f t="shared" si="56"/>
        <v>44644.061554321219</v>
      </c>
      <c r="K90" s="22">
        <f t="shared" si="56"/>
        <v>46017.154480216865</v>
      </c>
      <c r="L90" s="22">
        <f t="shared" si="56"/>
        <v>47426.398954594937</v>
      </c>
      <c r="M90" s="22">
        <f t="shared" si="56"/>
        <v>48872.589883516266</v>
      </c>
      <c r="N90" s="22">
        <f t="shared" si="56"/>
        <v>50356.539335387424</v>
      </c>
      <c r="O90" s="22">
        <f t="shared" si="56"/>
        <v>51879.07709646166</v>
      </c>
      <c r="P90" s="22">
        <f t="shared" si="56"/>
        <v>53441.05124423439</v>
      </c>
      <c r="Q90" s="22">
        <f t="shared" si="56"/>
        <v>55043.328738980097</v>
      </c>
      <c r="R90" s="22">
        <f t="shared" si="56"/>
        <v>56686.796033383362</v>
      </c>
      <c r="S90" s="22">
        <f t="shared" si="56"/>
        <v>58372.359700733025</v>
      </c>
      <c r="T90" s="22">
        <f t="shared" si="56"/>
        <v>60100.947080984326</v>
      </c>
      <c r="U90" s="22">
        <f t="shared" si="56"/>
        <v>61873.50694567382</v>
      </c>
      <c r="V90" s="22">
        <f t="shared" si="56"/>
        <v>63691.010180940568</v>
      </c>
      <c r="W90" s="22">
        <f t="shared" si="52"/>
        <v>65554.450489320749</v>
      </c>
      <c r="X90" s="22">
        <f t="shared" si="52"/>
        <v>67464.845110195893</v>
      </c>
      <c r="Y90" s="22">
        <f t="shared" ref="Y90:Z90" si="57">Y84*$E67</f>
        <v>69423.235558737186</v>
      </c>
      <c r="Z90" s="22">
        <f t="shared" si="57"/>
        <v>53575.113708848985</v>
      </c>
    </row>
    <row r="91" spans="1:26">
      <c r="A91" s="19" t="s">
        <v>169</v>
      </c>
      <c r="C91" s="22">
        <f>C85*$E68</f>
        <v>0</v>
      </c>
      <c r="D91" s="22">
        <f t="shared" ref="D91:V91" si="58">D85*$E68</f>
        <v>0</v>
      </c>
      <c r="E91" s="581">
        <f t="shared" si="58"/>
        <v>0</v>
      </c>
      <c r="F91" s="22">
        <f t="shared" si="58"/>
        <v>9361.6914301719316</v>
      </c>
      <c r="G91" s="22">
        <f t="shared" si="58"/>
        <v>38615.454543126747</v>
      </c>
      <c r="H91" s="22">
        <f t="shared" si="58"/>
        <v>39818.659914564596</v>
      </c>
      <c r="I91" s="22">
        <f t="shared" si="58"/>
        <v>41053.966716478513</v>
      </c>
      <c r="J91" s="22">
        <f t="shared" si="58"/>
        <v>42322.082621736226</v>
      </c>
      <c r="K91" s="22">
        <f t="shared" si="58"/>
        <v>43623.730094374245</v>
      </c>
      <c r="L91" s="22">
        <f t="shared" si="58"/>
        <v>44959.646864740171</v>
      </c>
      <c r="M91" s="22">
        <f t="shared" si="58"/>
        <v>46330.586422424814</v>
      </c>
      <c r="N91" s="22">
        <f t="shared" si="58"/>
        <v>47737.318525607508</v>
      </c>
      <c r="O91" s="22">
        <f t="shared" si="58"/>
        <v>49180.629727359694</v>
      </c>
      <c r="P91" s="22">
        <f t="shared" si="58"/>
        <v>50661.32391954754</v>
      </c>
      <c r="Q91" s="22">
        <f t="shared" si="58"/>
        <v>52180.222893292666</v>
      </c>
      <c r="R91" s="22">
        <f t="shared" si="58"/>
        <v>53738.166917203205</v>
      </c>
      <c r="S91" s="22">
        <f t="shared" si="58"/>
        <v>55336.015332722614</v>
      </c>
      <c r="T91" s="22">
        <f t="shared" si="58"/>
        <v>56974.64716639855</v>
      </c>
      <c r="U91" s="22">
        <f t="shared" si="58"/>
        <v>58654.961760621336</v>
      </c>
      <c r="V91" s="22">
        <f t="shared" si="58"/>
        <v>60377.879420727266</v>
      </c>
      <c r="W91" s="22">
        <f t="shared" si="52"/>
        <v>62144.342080445967</v>
      </c>
      <c r="X91" s="22">
        <f t="shared" si="52"/>
        <v>63955.313984838584</v>
      </c>
      <c r="Y91" s="22">
        <f t="shared" ref="Y91:Z91" si="59">Y85*$E68</f>
        <v>65811.782390728986</v>
      </c>
      <c r="Z91" s="22">
        <f t="shared" si="59"/>
        <v>50787.228574175802</v>
      </c>
    </row>
    <row r="92" spans="1:26" s="67" customFormat="1">
      <c r="A92" s="67" t="s">
        <v>157</v>
      </c>
      <c r="C92" s="97">
        <f>SUM(C88:C91)</f>
        <v>0</v>
      </c>
      <c r="D92" s="97">
        <f t="shared" ref="D92:V92" si="60">SUM(D88:D91)</f>
        <v>0</v>
      </c>
      <c r="E92" s="584">
        <f t="shared" si="60"/>
        <v>0</v>
      </c>
      <c r="F92" s="97">
        <f t="shared" si="60"/>
        <v>900997.17226100655</v>
      </c>
      <c r="G92" s="97">
        <f t="shared" si="60"/>
        <v>3715076.4585320819</v>
      </c>
      <c r="H92" s="97">
        <f t="shared" si="60"/>
        <v>3830849.5131264008</v>
      </c>
      <c r="I92" s="97">
        <f t="shared" si="60"/>
        <v>3949712.0727343708</v>
      </c>
      <c r="J92" s="97">
        <f t="shared" si="60"/>
        <v>4071732.2636352628</v>
      </c>
      <c r="K92" s="97">
        <f t="shared" si="60"/>
        <v>4196979.6358857835</v>
      </c>
      <c r="L92" s="97">
        <f t="shared" si="60"/>
        <v>4325525.2090771636</v>
      </c>
      <c r="M92" s="97">
        <f t="shared" si="60"/>
        <v>4457441.5197192496</v>
      </c>
      <c r="N92" s="97">
        <f t="shared" si="60"/>
        <v>4592802.6702542696</v>
      </c>
      <c r="O92" s="97">
        <f t="shared" si="60"/>
        <v>4731684.3797110869</v>
      </c>
      <c r="P92" s="97">
        <f t="shared" si="60"/>
        <v>4874164.0360046243</v>
      </c>
      <c r="Q92" s="97">
        <f t="shared" si="60"/>
        <v>5020320.7498891503</v>
      </c>
      <c r="R92" s="97">
        <f t="shared" si="60"/>
        <v>5170235.4105750928</v>
      </c>
      <c r="S92" s="97">
        <f t="shared" si="60"/>
        <v>5323990.7430045819</v>
      </c>
      <c r="T92" s="97">
        <f t="shared" si="60"/>
        <v>5481671.3668048205</v>
      </c>
      <c r="U92" s="97">
        <f t="shared" si="60"/>
        <v>5643363.8569216691</v>
      </c>
      <c r="V92" s="97">
        <f t="shared" si="60"/>
        <v>5809156.8059348576</v>
      </c>
      <c r="W92" s="97">
        <f>SUM(W88:W91)</f>
        <v>5979140.8880679132</v>
      </c>
      <c r="X92" s="97">
        <f>SUM(X88:X91)</f>
        <v>6153408.9249043595</v>
      </c>
      <c r="Y92" s="97">
        <f t="shared" ref="Y92:Z92" si="61">SUM(Y88:Y91)</f>
        <v>6332055.9528105464</v>
      </c>
      <c r="Z92" s="97">
        <f t="shared" si="61"/>
        <v>4887004.7641611807</v>
      </c>
    </row>
    <row r="95" spans="1:26">
      <c r="A95" s="78" t="s">
        <v>184</v>
      </c>
      <c r="B95" s="98"/>
      <c r="C95" s="102" t="s">
        <v>186</v>
      </c>
      <c r="D95" s="98" t="s">
        <v>187</v>
      </c>
      <c r="E95" s="585"/>
      <c r="F95" s="98"/>
      <c r="G95" s="98"/>
    </row>
    <row r="96" spans="1:26">
      <c r="A96" s="98"/>
      <c r="B96" s="98"/>
      <c r="C96" s="98"/>
      <c r="D96" s="98" t="s">
        <v>188</v>
      </c>
      <c r="E96" s="585"/>
      <c r="F96" s="98"/>
      <c r="G96" s="98"/>
    </row>
    <row r="97" spans="1:7" ht="18">
      <c r="A97" s="98" t="s">
        <v>185</v>
      </c>
      <c r="B97" s="98"/>
      <c r="C97" s="98"/>
      <c r="D97" s="98" t="s">
        <v>193</v>
      </c>
      <c r="E97" s="585"/>
      <c r="F97" s="98"/>
      <c r="G97" s="98"/>
    </row>
    <row r="98" spans="1:7">
      <c r="A98" s="98"/>
      <c r="B98" s="98"/>
      <c r="C98" s="98"/>
      <c r="D98" s="98" t="s">
        <v>189</v>
      </c>
      <c r="E98" s="585"/>
      <c r="F98" s="98"/>
      <c r="G98" s="98"/>
    </row>
    <row r="99" spans="1:7" ht="18">
      <c r="A99" s="375" t="s">
        <v>443</v>
      </c>
      <c r="B99" s="98"/>
      <c r="C99" s="98"/>
      <c r="D99" s="116" t="s">
        <v>190</v>
      </c>
      <c r="E99" s="585"/>
      <c r="F99" s="98"/>
      <c r="G99" s="98"/>
    </row>
    <row r="100" spans="1:7" ht="17.25">
      <c r="A100" s="102"/>
      <c r="B100" s="98"/>
      <c r="C100" s="98"/>
      <c r="D100" s="98" t="s">
        <v>191</v>
      </c>
      <c r="E100" s="585"/>
      <c r="F100" s="98"/>
      <c r="G100" s="98"/>
    </row>
    <row r="101" spans="1:7" ht="18.75">
      <c r="A101" s="102"/>
      <c r="B101" s="98"/>
      <c r="C101" s="98"/>
      <c r="D101" s="98" t="s">
        <v>192</v>
      </c>
      <c r="E101" s="585"/>
      <c r="F101" s="98"/>
      <c r="G101" s="98"/>
    </row>
    <row r="103" spans="1:7">
      <c r="A103" s="72" t="s">
        <v>147</v>
      </c>
    </row>
    <row r="106" spans="1:7">
      <c r="A106" s="20" t="s">
        <v>435</v>
      </c>
    </row>
    <row r="107" spans="1:7">
      <c r="A107" s="20"/>
    </row>
    <row r="108" spans="1:7" ht="45">
      <c r="A108" s="369" t="s">
        <v>422</v>
      </c>
      <c r="B108" s="372" t="s">
        <v>423</v>
      </c>
      <c r="C108" s="372" t="s">
        <v>424</v>
      </c>
      <c r="D108" s="657" t="s">
        <v>425</v>
      </c>
      <c r="E108" s="372" t="s">
        <v>438</v>
      </c>
      <c r="F108" s="372" t="s">
        <v>441</v>
      </c>
    </row>
    <row r="109" spans="1:7">
      <c r="A109" s="370" t="s">
        <v>436</v>
      </c>
      <c r="B109" s="400">
        <v>25311</v>
      </c>
      <c r="C109" s="400">
        <v>2812</v>
      </c>
      <c r="D109" s="658">
        <f>SUM(B109:C109)</f>
        <v>28123</v>
      </c>
      <c r="E109" s="373">
        <f>D109/$B$125</f>
        <v>2.8456966882702515E-2</v>
      </c>
      <c r="F109" s="400">
        <v>1687380</v>
      </c>
    </row>
    <row r="110" spans="1:7">
      <c r="A110" s="370" t="s">
        <v>426</v>
      </c>
      <c r="B110" s="400">
        <v>2039</v>
      </c>
      <c r="C110" s="400">
        <v>226</v>
      </c>
      <c r="D110" s="658">
        <f t="shared" ref="D110:D118" si="62">SUM(B110:C110)</f>
        <v>2265</v>
      </c>
      <c r="E110" s="373">
        <f>D110/$B$125</f>
        <v>2.2918973789894819E-3</v>
      </c>
      <c r="F110" s="400">
        <v>171687</v>
      </c>
    </row>
    <row r="111" spans="1:7">
      <c r="A111" s="370" t="s">
        <v>427</v>
      </c>
      <c r="B111" s="400">
        <v>760</v>
      </c>
      <c r="C111" s="400">
        <v>84</v>
      </c>
      <c r="D111" s="658">
        <f t="shared" si="62"/>
        <v>844</v>
      </c>
      <c r="E111" s="373">
        <f t="shared" ref="E111:E118" si="63">D111/$B$125</f>
        <v>8.5402268780005418E-4</v>
      </c>
      <c r="F111" s="400">
        <v>63975.199999999997</v>
      </c>
    </row>
    <row r="112" spans="1:7">
      <c r="A112" s="370" t="s">
        <v>428</v>
      </c>
      <c r="B112" s="400">
        <v>1472</v>
      </c>
      <c r="C112" s="400">
        <v>164</v>
      </c>
      <c r="D112" s="658">
        <f t="shared" si="62"/>
        <v>1636</v>
      </c>
      <c r="E112" s="373">
        <f t="shared" si="63"/>
        <v>1.6554278640294889E-3</v>
      </c>
      <c r="F112" s="400">
        <v>229040</v>
      </c>
    </row>
    <row r="113" spans="1:6">
      <c r="A113" s="370" t="s">
        <v>429</v>
      </c>
      <c r="B113" s="400">
        <v>20</v>
      </c>
      <c r="C113" s="400">
        <v>2</v>
      </c>
      <c r="D113" s="658">
        <f t="shared" si="62"/>
        <v>22</v>
      </c>
      <c r="E113" s="373">
        <f t="shared" si="63"/>
        <v>2.2261254895262076E-5</v>
      </c>
      <c r="F113" s="400">
        <v>1667.6</v>
      </c>
    </row>
    <row r="114" spans="1:6">
      <c r="A114" s="370" t="s">
        <v>430</v>
      </c>
      <c r="B114" s="400">
        <v>0</v>
      </c>
      <c r="C114" s="400">
        <v>0</v>
      </c>
      <c r="D114" s="658">
        <f t="shared" si="62"/>
        <v>0</v>
      </c>
      <c r="E114" s="373">
        <f t="shared" si="63"/>
        <v>0</v>
      </c>
      <c r="F114" s="400">
        <v>0</v>
      </c>
    </row>
    <row r="115" spans="1:6">
      <c r="A115" s="370" t="s">
        <v>431</v>
      </c>
      <c r="B115" s="400">
        <v>0</v>
      </c>
      <c r="C115" s="400">
        <v>0</v>
      </c>
      <c r="D115" s="658">
        <f t="shared" si="62"/>
        <v>0</v>
      </c>
      <c r="E115" s="373">
        <f t="shared" si="63"/>
        <v>0</v>
      </c>
      <c r="F115" s="400">
        <v>0</v>
      </c>
    </row>
    <row r="116" spans="1:6">
      <c r="A116" s="370" t="s">
        <v>432</v>
      </c>
      <c r="B116" s="400"/>
      <c r="C116" s="400"/>
      <c r="D116" s="658">
        <f t="shared" si="62"/>
        <v>0</v>
      </c>
      <c r="E116" s="373">
        <f t="shared" si="63"/>
        <v>0</v>
      </c>
      <c r="F116" s="400">
        <v>0</v>
      </c>
    </row>
    <row r="117" spans="1:6">
      <c r="A117" s="370" t="s">
        <v>433</v>
      </c>
      <c r="B117" s="400">
        <v>3168</v>
      </c>
      <c r="C117" s="400">
        <v>352</v>
      </c>
      <c r="D117" s="658">
        <f t="shared" si="62"/>
        <v>3520</v>
      </c>
      <c r="E117" s="373">
        <f t="shared" si="63"/>
        <v>3.5618007832419322E-3</v>
      </c>
      <c r="F117" s="400">
        <v>266816</v>
      </c>
    </row>
    <row r="118" spans="1:6">
      <c r="A118" s="370" t="s">
        <v>434</v>
      </c>
      <c r="B118" s="400">
        <v>74</v>
      </c>
      <c r="C118" s="400">
        <v>8</v>
      </c>
      <c r="D118" s="658">
        <f t="shared" si="62"/>
        <v>82</v>
      </c>
      <c r="E118" s="373">
        <f t="shared" si="63"/>
        <v>8.2973768245976824E-5</v>
      </c>
      <c r="F118" s="400">
        <v>6215.6</v>
      </c>
    </row>
    <row r="119" spans="1:6">
      <c r="A119" s="371" t="s">
        <v>75</v>
      </c>
      <c r="B119" s="368">
        <f>SUM(B109:B118)</f>
        <v>32844</v>
      </c>
      <c r="C119" s="368">
        <f>SUM(C109:C118)</f>
        <v>3648</v>
      </c>
      <c r="D119" s="659">
        <f>SUM(D109:D118)</f>
        <v>36492</v>
      </c>
      <c r="E119" s="373">
        <f>D119/$B$125</f>
        <v>3.6925350619904714E-2</v>
      </c>
      <c r="F119" s="368">
        <f>SUM(F109:F118)</f>
        <v>2426781.4000000004</v>
      </c>
    </row>
    <row r="121" spans="1:6">
      <c r="A121" s="19" t="s">
        <v>440</v>
      </c>
      <c r="B121" s="22">
        <f>(F119/D119)*1000</f>
        <v>66501.73736709416</v>
      </c>
    </row>
    <row r="122" spans="1:6">
      <c r="A122" s="19" t="s">
        <v>439</v>
      </c>
      <c r="B122" s="22">
        <f>F126*B121/B126</f>
        <v>104904.58732708107</v>
      </c>
    </row>
    <row r="123" spans="1:6">
      <c r="B123" s="22"/>
    </row>
    <row r="124" spans="1:6">
      <c r="B124" s="105">
        <v>2005</v>
      </c>
      <c r="C124" s="105">
        <v>2006</v>
      </c>
      <c r="D124" s="105">
        <v>2007</v>
      </c>
      <c r="E124" s="675">
        <v>2008</v>
      </c>
      <c r="F124" s="105">
        <v>2009</v>
      </c>
    </row>
    <row r="125" spans="1:6">
      <c r="A125" s="19" t="s">
        <v>437</v>
      </c>
      <c r="B125" s="22">
        <f>C125/(1.03)</f>
        <v>988264.14339662052</v>
      </c>
      <c r="C125" s="22">
        <f>D125/(1.03)</f>
        <v>1017912.0676985192</v>
      </c>
      <c r="D125" s="22">
        <f>E125/(1.03)</f>
        <v>1048449.4297294748</v>
      </c>
      <c r="E125" s="581">
        <f>F125/(1.03)</f>
        <v>1079902.9126213591</v>
      </c>
      <c r="F125" s="22">
        <f>B7</f>
        <v>1112300</v>
      </c>
    </row>
    <row r="126" spans="1:6">
      <c r="A126" s="19" t="s">
        <v>442</v>
      </c>
      <c r="B126" s="399">
        <v>136.786</v>
      </c>
      <c r="C126" s="399">
        <v>142.92099999999999</v>
      </c>
      <c r="D126" s="399">
        <v>154.59399999999999</v>
      </c>
      <c r="E126" s="676">
        <v>196.035</v>
      </c>
      <c r="F126" s="399">
        <v>215.77600000000001</v>
      </c>
    </row>
  </sheetData>
  <mergeCells count="5">
    <mergeCell ref="G51:H51"/>
    <mergeCell ref="G55:H55"/>
    <mergeCell ref="G54:H54"/>
    <mergeCell ref="G53:H53"/>
    <mergeCell ref="G52:H52"/>
  </mergeCells>
  <hyperlinks>
    <hyperlink ref="G58" r:id="rId1"/>
  </hyperlinks>
  <pageMargins left="0.7" right="0.7" top="0.75" bottom="0.75" header="0.3" footer="0.3"/>
  <pageSetup orientation="portrait"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Z48"/>
  <sheetViews>
    <sheetView zoomScale="80" zoomScaleNormal="80" workbookViewId="0">
      <pane xSplit="1" ySplit="4" topLeftCell="B5" activePane="bottomRight" state="frozen"/>
      <selection pane="topRight" activeCell="B1" sqref="B1"/>
      <selection pane="bottomLeft" activeCell="A2" sqref="A2"/>
      <selection pane="bottomRight" sqref="A1:XFD2"/>
    </sheetView>
  </sheetViews>
  <sheetFormatPr defaultColWidth="8.88671875" defaultRowHeight="15"/>
  <cols>
    <col min="1" max="1" width="41.21875" style="19" customWidth="1"/>
    <col min="2" max="4" width="8.21875" style="19" customWidth="1"/>
    <col min="5" max="5" width="8.88671875" style="117" customWidth="1"/>
    <col min="6" max="6" width="11.109375" style="19" bestFit="1" customWidth="1"/>
    <col min="7" max="26" width="10.21875" style="19" bestFit="1" customWidth="1"/>
    <col min="27" max="16384" width="8.88671875" style="19"/>
  </cols>
  <sheetData>
    <row r="1" spans="1:26" s="1" customFormat="1" ht="20.25">
      <c r="A1" s="2" t="s">
        <v>576</v>
      </c>
      <c r="B1" s="2"/>
      <c r="C1" s="3"/>
    </row>
    <row r="2" spans="1:26" s="1" customFormat="1" ht="15.75">
      <c r="A2" s="702" t="s">
        <v>595</v>
      </c>
      <c r="B2" s="9"/>
    </row>
    <row r="3" spans="1:26" s="1" customFormat="1" ht="15.75">
      <c r="A3" s="702"/>
      <c r="B3" s="9"/>
    </row>
    <row r="4" spans="1:26" ht="21">
      <c r="A4" s="21" t="s">
        <v>255</v>
      </c>
      <c r="B4" s="19">
        <v>2009</v>
      </c>
      <c r="C4" s="19">
        <v>2010</v>
      </c>
      <c r="D4" s="19">
        <v>2011</v>
      </c>
      <c r="E4" s="117">
        <v>2012</v>
      </c>
      <c r="F4" s="20">
        <v>2013</v>
      </c>
      <c r="G4" s="19">
        <v>2014</v>
      </c>
      <c r="H4" s="19">
        <v>2015</v>
      </c>
      <c r="I4" s="19">
        <v>2016</v>
      </c>
      <c r="J4" s="19">
        <v>2017</v>
      </c>
      <c r="K4" s="19">
        <v>2018</v>
      </c>
      <c r="L4" s="19">
        <v>2019</v>
      </c>
      <c r="M4" s="19">
        <v>2020</v>
      </c>
      <c r="N4" s="19">
        <v>2021</v>
      </c>
      <c r="O4" s="19">
        <v>2022</v>
      </c>
      <c r="P4" s="19">
        <v>2023</v>
      </c>
      <c r="Q4" s="19">
        <v>2024</v>
      </c>
      <c r="R4" s="19">
        <v>2025</v>
      </c>
      <c r="S4" s="19">
        <v>2026</v>
      </c>
      <c r="T4" s="19">
        <v>2027</v>
      </c>
      <c r="U4" s="19">
        <v>2028</v>
      </c>
      <c r="V4" s="19">
        <v>2029</v>
      </c>
      <c r="W4" s="19">
        <v>2030</v>
      </c>
      <c r="X4" s="19">
        <v>2031</v>
      </c>
      <c r="Y4" s="19">
        <v>2032</v>
      </c>
      <c r="Z4" s="19">
        <v>2033</v>
      </c>
    </row>
    <row r="6" spans="1:26" s="88" customFormat="1">
      <c r="A6" s="80" t="s">
        <v>68</v>
      </c>
      <c r="B6" s="80"/>
      <c r="C6" s="80"/>
      <c r="D6" s="80"/>
      <c r="E6" s="560"/>
    </row>
    <row r="7" spans="1:26" s="72" customFormat="1">
      <c r="A7" s="87" t="s">
        <v>264</v>
      </c>
      <c r="B7" s="71"/>
      <c r="C7" s="71"/>
      <c r="D7" s="71"/>
      <c r="E7" s="441"/>
    </row>
    <row r="8" spans="1:26" s="72" customFormat="1">
      <c r="A8" s="72" t="s">
        <v>254</v>
      </c>
      <c r="B8" s="71"/>
      <c r="C8" s="71"/>
      <c r="D8" s="71"/>
      <c r="E8" s="444">
        <f>Pollution!F25</f>
        <v>3031.6169851670197</v>
      </c>
      <c r="F8" s="74">
        <f>Pollution!G25</f>
        <v>3143.402965982682</v>
      </c>
      <c r="G8" s="74">
        <f>Pollution!H25</f>
        <v>3259.7496366981841</v>
      </c>
      <c r="H8" s="74">
        <f>Pollution!I25</f>
        <v>3380.8551546138624</v>
      </c>
      <c r="I8" s="74">
        <f>Pollution!J25</f>
        <v>3506.9265018175697</v>
      </c>
      <c r="J8" s="74">
        <f>Pollution!K25</f>
        <v>3638.1798783848017</v>
      </c>
      <c r="K8" s="74">
        <f>Pollution!L25</f>
        <v>3774.8411129301912</v>
      </c>
      <c r="L8" s="74">
        <f>Pollution!M25</f>
        <v>3917.1460912679377</v>
      </c>
      <c r="M8" s="74">
        <f>Pollution!N25</f>
        <v>4065.3412039715181</v>
      </c>
      <c r="N8" s="74">
        <f>Pollution!O25</f>
        <v>4219.6838136573151</v>
      </c>
      <c r="O8" s="74">
        <f>Pollution!P25</f>
        <v>4380.4427428524705</v>
      </c>
      <c r="P8" s="74">
        <f>Pollution!Q25</f>
        <v>4547.8987833445462</v>
      </c>
      <c r="Q8" s="74">
        <f>Pollution!R25</f>
        <v>4722.3452279494259</v>
      </c>
      <c r="R8" s="74">
        <f>Pollution!S25</f>
        <v>4904.0884256744366</v>
      </c>
      <c r="S8" s="74">
        <f>Pollution!T25</f>
        <v>5093.448361295942</v>
      </c>
      <c r="T8" s="74">
        <f>Pollution!U25</f>
        <v>5290.7592604147603</v>
      </c>
      <c r="U8" s="74">
        <f>Pollution!V25</f>
        <v>5496.3702210987858</v>
      </c>
      <c r="V8" s="74">
        <f>Pollution!W25</f>
        <v>5710.6458732701594</v>
      </c>
      <c r="W8" s="74">
        <f>Pollution!X25</f>
        <v>5933.9670670444048</v>
      </c>
      <c r="X8" s="74">
        <f>Pollution!Y25</f>
        <v>6166.7315912811337</v>
      </c>
      <c r="Y8" s="74">
        <f>Pollution!Z25</f>
        <v>6409.3549236604322</v>
      </c>
      <c r="Z8" s="74">
        <f>Pollution!AA25</f>
        <v>6662.271013655788</v>
      </c>
    </row>
    <row r="9" spans="1:26" s="72" customFormat="1">
      <c r="A9" s="72" t="s">
        <v>262</v>
      </c>
      <c r="B9" s="312">
        <f>$C$32*12*$C$33</f>
        <v>47.769519793320001</v>
      </c>
      <c r="C9" s="595">
        <f>B9*(1+$C$35)</f>
        <v>52.546471772652005</v>
      </c>
      <c r="D9" s="312">
        <f t="shared" ref="D9:Z9" si="0">C9*(1+$C$35)</f>
        <v>57.80111894991721</v>
      </c>
      <c r="E9" s="579">
        <f t="shared" si="0"/>
        <v>63.581230844908937</v>
      </c>
      <c r="F9" s="312">
        <f t="shared" si="0"/>
        <v>69.939353929399843</v>
      </c>
      <c r="G9" s="312">
        <f t="shared" si="0"/>
        <v>76.933289322339832</v>
      </c>
      <c r="H9" s="312">
        <f t="shared" si="0"/>
        <v>84.626618254573827</v>
      </c>
      <c r="I9" s="312">
        <f t="shared" si="0"/>
        <v>93.089280080031216</v>
      </c>
      <c r="J9" s="312">
        <f t="shared" si="0"/>
        <v>102.39820808803435</v>
      </c>
      <c r="K9" s="312">
        <f t="shared" si="0"/>
        <v>112.6380288968378</v>
      </c>
      <c r="L9" s="312">
        <f t="shared" si="0"/>
        <v>123.90183178652158</v>
      </c>
      <c r="M9" s="312">
        <f t="shared" si="0"/>
        <v>136.29201496517376</v>
      </c>
      <c r="N9" s="312">
        <f t="shared" si="0"/>
        <v>149.92121646169116</v>
      </c>
      <c r="O9" s="312">
        <f t="shared" si="0"/>
        <v>164.91333810786028</v>
      </c>
      <c r="P9" s="312">
        <f t="shared" si="0"/>
        <v>181.40467191864633</v>
      </c>
      <c r="Q9" s="312">
        <f t="shared" si="0"/>
        <v>199.54513911051097</v>
      </c>
      <c r="R9" s="312">
        <f t="shared" si="0"/>
        <v>219.4996530215621</v>
      </c>
      <c r="S9" s="312">
        <f t="shared" si="0"/>
        <v>241.44961832371831</v>
      </c>
      <c r="T9" s="312">
        <f t="shared" si="0"/>
        <v>265.59458015609016</v>
      </c>
      <c r="U9" s="312">
        <f t="shared" si="0"/>
        <v>292.1540381716992</v>
      </c>
      <c r="V9" s="312">
        <f t="shared" si="0"/>
        <v>321.36944198886914</v>
      </c>
      <c r="W9" s="312">
        <f t="shared" si="0"/>
        <v>353.50638618775611</v>
      </c>
      <c r="X9" s="312">
        <f t="shared" si="0"/>
        <v>388.85702480653174</v>
      </c>
      <c r="Y9" s="312">
        <f t="shared" si="0"/>
        <v>427.74272728718495</v>
      </c>
      <c r="Z9" s="312">
        <f t="shared" si="0"/>
        <v>470.51700001590348</v>
      </c>
    </row>
    <row r="10" spans="1:26" s="72" customFormat="1">
      <c r="A10" s="72" t="s">
        <v>356</v>
      </c>
      <c r="B10" s="312">
        <f>B9*$C$36</f>
        <v>11.94237994833</v>
      </c>
      <c r="C10" s="312">
        <f>C9*$C$36</f>
        <v>13.136617943163001</v>
      </c>
      <c r="D10" s="312">
        <f t="shared" ref="D10:Z10" si="1">D9*$C$36</f>
        <v>14.450279737479303</v>
      </c>
      <c r="E10" s="579">
        <f t="shared" si="1"/>
        <v>15.895307711227234</v>
      </c>
      <c r="F10" s="312">
        <f t="shared" si="1"/>
        <v>17.484838482349961</v>
      </c>
      <c r="G10" s="312">
        <f t="shared" si="1"/>
        <v>19.233322330584958</v>
      </c>
      <c r="H10" s="312">
        <f t="shared" si="1"/>
        <v>21.156654563643457</v>
      </c>
      <c r="I10" s="312">
        <f t="shared" si="1"/>
        <v>23.272320020007804</v>
      </c>
      <c r="J10" s="312">
        <f t="shared" si="1"/>
        <v>25.599552022008588</v>
      </c>
      <c r="K10" s="312">
        <f t="shared" si="1"/>
        <v>28.159507224209449</v>
      </c>
      <c r="L10" s="312">
        <f t="shared" si="1"/>
        <v>30.975457946630396</v>
      </c>
      <c r="M10" s="312">
        <f t="shared" si="1"/>
        <v>34.073003741293441</v>
      </c>
      <c r="N10" s="312">
        <f t="shared" si="1"/>
        <v>37.48030411542279</v>
      </c>
      <c r="O10" s="312">
        <f t="shared" si="1"/>
        <v>41.228334526965071</v>
      </c>
      <c r="P10" s="312">
        <f t="shared" si="1"/>
        <v>45.351167979661582</v>
      </c>
      <c r="Q10" s="312">
        <f t="shared" si="1"/>
        <v>49.886284777627743</v>
      </c>
      <c r="R10" s="312">
        <f t="shared" si="1"/>
        <v>54.874913255390524</v>
      </c>
      <c r="S10" s="312">
        <f t="shared" si="1"/>
        <v>60.362404580929578</v>
      </c>
      <c r="T10" s="312">
        <f t="shared" si="1"/>
        <v>66.39864503902254</v>
      </c>
      <c r="U10" s="312">
        <f t="shared" si="1"/>
        <v>73.0385095429248</v>
      </c>
      <c r="V10" s="312">
        <f t="shared" si="1"/>
        <v>80.342360497217285</v>
      </c>
      <c r="W10" s="312">
        <f t="shared" si="1"/>
        <v>88.376596546939027</v>
      </c>
      <c r="X10" s="312">
        <f t="shared" si="1"/>
        <v>97.214256201632935</v>
      </c>
      <c r="Y10" s="312">
        <f t="shared" si="1"/>
        <v>106.93568182179624</v>
      </c>
      <c r="Z10" s="312">
        <f t="shared" si="1"/>
        <v>117.62925000397587</v>
      </c>
    </row>
    <row r="11" spans="1:26" s="72" customFormat="1">
      <c r="A11" s="72" t="s">
        <v>355</v>
      </c>
      <c r="B11" s="115">
        <f>B10/(365*24)</f>
        <v>1.363285382229452E-3</v>
      </c>
      <c r="C11" s="115">
        <f>C10/(365*24)</f>
        <v>1.4996139204523974E-3</v>
      </c>
      <c r="D11" s="115">
        <f t="shared" ref="D11:Z11" si="2">D10/(365*24)</f>
        <v>1.6495753124976373E-3</v>
      </c>
      <c r="E11" s="580">
        <f t="shared" si="2"/>
        <v>1.8145328437474012E-3</v>
      </c>
      <c r="F11" s="578">
        <f t="shared" si="2"/>
        <v>1.9959861281221417E-3</v>
      </c>
      <c r="G11" s="115">
        <f t="shared" si="2"/>
        <v>2.195584740934356E-3</v>
      </c>
      <c r="H11" s="115">
        <f t="shared" si="2"/>
        <v>2.4151432150277918E-3</v>
      </c>
      <c r="I11" s="115">
        <f t="shared" si="2"/>
        <v>2.656657536530571E-3</v>
      </c>
      <c r="J11" s="115">
        <f t="shared" si="2"/>
        <v>2.922323290183629E-3</v>
      </c>
      <c r="K11" s="115">
        <f t="shared" si="2"/>
        <v>3.2145556192019918E-3</v>
      </c>
      <c r="L11" s="115">
        <f t="shared" si="2"/>
        <v>3.5360111811221914E-3</v>
      </c>
      <c r="M11" s="115">
        <f t="shared" si="2"/>
        <v>3.8896122992344109E-3</v>
      </c>
      <c r="N11" s="115">
        <f t="shared" si="2"/>
        <v>4.2785735291578529E-3</v>
      </c>
      <c r="O11" s="115">
        <f t="shared" si="2"/>
        <v>4.7064308820736383E-3</v>
      </c>
      <c r="P11" s="115">
        <f t="shared" si="2"/>
        <v>5.1770739702810022E-3</v>
      </c>
      <c r="Q11" s="115">
        <f t="shared" si="2"/>
        <v>5.6947813673091027E-3</v>
      </c>
      <c r="R11" s="115">
        <f t="shared" si="2"/>
        <v>6.264259504040014E-3</v>
      </c>
      <c r="S11" s="115">
        <f t="shared" si="2"/>
        <v>6.890685454444016E-3</v>
      </c>
      <c r="T11" s="115">
        <f t="shared" si="2"/>
        <v>7.5797539998884176E-3</v>
      </c>
      <c r="U11" s="115">
        <f t="shared" si="2"/>
        <v>8.3377293998772601E-3</v>
      </c>
      <c r="V11" s="115">
        <f t="shared" si="2"/>
        <v>9.1715023398649866E-3</v>
      </c>
      <c r="W11" s="115">
        <f t="shared" si="2"/>
        <v>1.0088652573851487E-2</v>
      </c>
      <c r="X11" s="115">
        <f t="shared" si="2"/>
        <v>1.1097517831236636E-2</v>
      </c>
      <c r="Y11" s="115">
        <f t="shared" si="2"/>
        <v>1.22072696143603E-2</v>
      </c>
      <c r="Z11" s="115">
        <f t="shared" si="2"/>
        <v>1.3427996575796332E-2</v>
      </c>
    </row>
    <row r="12" spans="1:26" s="72" customFormat="1">
      <c r="B12" s="71"/>
      <c r="C12" s="71"/>
      <c r="D12" s="71"/>
      <c r="E12" s="444"/>
    </row>
    <row r="13" spans="1:26" s="72" customFormat="1">
      <c r="A13" s="87" t="s">
        <v>263</v>
      </c>
      <c r="B13" s="71"/>
      <c r="C13" s="71"/>
      <c r="D13" s="71"/>
      <c r="E13" s="444"/>
    </row>
    <row r="14" spans="1:26" s="72" customFormat="1">
      <c r="A14" s="72" t="s">
        <v>556</v>
      </c>
      <c r="B14" s="523">
        <f>[5]Sheet1!J13</f>
        <v>4574</v>
      </c>
      <c r="C14" s="523">
        <f>[5]Sheet1!K13</f>
        <v>5201.8917956227497</v>
      </c>
      <c r="D14" s="523">
        <f>[5]Sheet1!L13</f>
        <v>6456.428886945705</v>
      </c>
      <c r="E14" s="523">
        <f>[5]Sheet1!M13</f>
        <v>7261.4009247888416</v>
      </c>
      <c r="F14" s="523">
        <f>[5]Sheet1!N13</f>
        <v>8620.852792091262</v>
      </c>
      <c r="G14" s="523">
        <f>[5]Sheet1!O13</f>
        <v>9815.963419051066</v>
      </c>
      <c r="H14" s="523">
        <f>[5]Sheet1!P13</f>
        <v>10456.749852623303</v>
      </c>
      <c r="I14" s="523">
        <f>[5]Sheet1!Q13</f>
        <v>12169.06748525436</v>
      </c>
      <c r="J14" s="523">
        <f>[5]Sheet1!R13</f>
        <v>13575.4442050135</v>
      </c>
      <c r="K14" s="74">
        <f t="shared" ref="K14:Z14" si="3">J14*(1+$C$40)</f>
        <v>15204.497509615121</v>
      </c>
      <c r="L14" s="74">
        <f t="shared" si="3"/>
        <v>17029.037210768936</v>
      </c>
      <c r="M14" s="74">
        <f t="shared" si="3"/>
        <v>19072.521676061209</v>
      </c>
      <c r="N14" s="74">
        <f t="shared" si="3"/>
        <v>21361.224277188558</v>
      </c>
      <c r="O14" s="74">
        <f t="shared" si="3"/>
        <v>23924.571190451188</v>
      </c>
      <c r="P14" s="74">
        <f t="shared" si="3"/>
        <v>26795.519733305333</v>
      </c>
      <c r="Q14" s="74">
        <f t="shared" si="3"/>
        <v>30010.982101301975</v>
      </c>
      <c r="R14" s="74">
        <f t="shared" si="3"/>
        <v>33612.299953458212</v>
      </c>
      <c r="S14" s="74">
        <f t="shared" si="3"/>
        <v>37645.775947873204</v>
      </c>
      <c r="T14" s="74">
        <f t="shared" si="3"/>
        <v>42163.26906161799</v>
      </c>
      <c r="U14" s="74">
        <f t="shared" si="3"/>
        <v>47222.86134901215</v>
      </c>
      <c r="V14" s="74">
        <f t="shared" si="3"/>
        <v>52889.604710893611</v>
      </c>
      <c r="W14" s="74">
        <f t="shared" si="3"/>
        <v>59236.357276200848</v>
      </c>
      <c r="X14" s="74">
        <f t="shared" si="3"/>
        <v>66344.720149344954</v>
      </c>
      <c r="Y14" s="74">
        <f t="shared" si="3"/>
        <v>74306.086567266349</v>
      </c>
      <c r="Z14" s="74">
        <f t="shared" si="3"/>
        <v>83222.81695533832</v>
      </c>
    </row>
    <row r="15" spans="1:26">
      <c r="A15" s="19" t="s">
        <v>257</v>
      </c>
      <c r="B15" s="22">
        <f>$C$39*B14</f>
        <v>2607.1799999999998</v>
      </c>
      <c r="C15" s="22"/>
      <c r="D15" s="22"/>
      <c r="E15" s="581">
        <f t="shared" ref="E15:Z15" si="4">$C$39*E14</f>
        <v>4138.9985271296391</v>
      </c>
      <c r="F15" s="22">
        <f t="shared" si="4"/>
        <v>4913.8860914920187</v>
      </c>
      <c r="G15" s="22">
        <f t="shared" si="4"/>
        <v>5595.0991488591071</v>
      </c>
      <c r="H15" s="22">
        <f t="shared" si="4"/>
        <v>5960.3474159952821</v>
      </c>
      <c r="I15" s="22">
        <f t="shared" si="4"/>
        <v>6936.3684665949841</v>
      </c>
      <c r="J15" s="22">
        <f t="shared" si="4"/>
        <v>7738.0031968576941</v>
      </c>
      <c r="K15" s="22">
        <f t="shared" si="4"/>
        <v>8666.5635804806188</v>
      </c>
      <c r="L15" s="22">
        <f t="shared" si="4"/>
        <v>9706.5512101382938</v>
      </c>
      <c r="M15" s="22">
        <f t="shared" si="4"/>
        <v>10871.337355354888</v>
      </c>
      <c r="N15" s="22">
        <f t="shared" si="4"/>
        <v>12175.897837997476</v>
      </c>
      <c r="O15" s="22">
        <f t="shared" si="4"/>
        <v>13637.005578557177</v>
      </c>
      <c r="P15" s="22">
        <f t="shared" si="4"/>
        <v>15273.446247984039</v>
      </c>
      <c r="Q15" s="22">
        <f t="shared" si="4"/>
        <v>17106.259797742125</v>
      </c>
      <c r="R15" s="22">
        <f t="shared" si="4"/>
        <v>19159.01097347118</v>
      </c>
      <c r="S15" s="22">
        <f t="shared" si="4"/>
        <v>21458.092290287725</v>
      </c>
      <c r="T15" s="22">
        <f t="shared" si="4"/>
        <v>24033.063365122252</v>
      </c>
      <c r="U15" s="22">
        <f t="shared" si="4"/>
        <v>26917.030968936924</v>
      </c>
      <c r="V15" s="22">
        <f t="shared" si="4"/>
        <v>30147.074685209354</v>
      </c>
      <c r="W15" s="22">
        <f t="shared" si="4"/>
        <v>33764.723647434483</v>
      </c>
      <c r="X15" s="22">
        <f t="shared" si="4"/>
        <v>37816.490485126618</v>
      </c>
      <c r="Y15" s="22">
        <f t="shared" si="4"/>
        <v>42354.469343341814</v>
      </c>
      <c r="Z15" s="22">
        <f t="shared" si="4"/>
        <v>47437.005664542841</v>
      </c>
    </row>
    <row r="16" spans="1:26">
      <c r="A16" s="19" t="s">
        <v>258</v>
      </c>
      <c r="B16" s="24">
        <f>B11*B15</f>
        <v>3.5543303828409822</v>
      </c>
      <c r="C16" s="24"/>
      <c r="D16" s="24"/>
      <c r="E16" s="582">
        <f t="shared" ref="E16:Z16" si="5">E11*E15*$C$34</f>
        <v>2.9290360194025511</v>
      </c>
      <c r="F16" s="24">
        <f t="shared" si="5"/>
        <v>3.8251389047782554</v>
      </c>
      <c r="G16" s="24">
        <f t="shared" si="5"/>
        <v>4.7909605829474451</v>
      </c>
      <c r="H16" s="24">
        <f t="shared" si="5"/>
        <v>5.6140861221702805</v>
      </c>
      <c r="I16" s="24">
        <f t="shared" si="5"/>
        <v>7.1867466695437008</v>
      </c>
      <c r="J16" s="24">
        <f t="shared" si="5"/>
        <v>8.8190493150601199</v>
      </c>
      <c r="K16" s="24">
        <f t="shared" si="5"/>
        <v>10.86506875615407</v>
      </c>
      <c r="L16" s="24">
        <f t="shared" si="5"/>
        <v>13.385764707581817</v>
      </c>
      <c r="M16" s="24">
        <f t="shared" si="5"/>
        <v>16.491262119740799</v>
      </c>
      <c r="N16" s="24">
        <f t="shared" si="5"/>
        <v>20.31723493152067</v>
      </c>
      <c r="O16" s="24">
        <f t="shared" si="5"/>
        <v>25.030833435633472</v>
      </c>
      <c r="P16" s="24">
        <f t="shared" si="5"/>
        <v>30.837986792700441</v>
      </c>
      <c r="Q16" s="24">
        <f t="shared" si="5"/>
        <v>37.992399728606948</v>
      </c>
      <c r="R16" s="24">
        <f t="shared" si="5"/>
        <v>46.80663646564377</v>
      </c>
      <c r="S16" s="24">
        <f t="shared" si="5"/>
        <v>57.66577612567314</v>
      </c>
      <c r="T16" s="24">
        <f t="shared" si="5"/>
        <v>71.044236186829295</v>
      </c>
      <c r="U16" s="24">
        <f t="shared" si="5"/>
        <v>87.52649898217372</v>
      </c>
      <c r="V16" s="24">
        <f t="shared" si="5"/>
        <v>107.83264674603802</v>
      </c>
      <c r="W16" s="24">
        <f t="shared" si="5"/>
        <v>132.8498207911189</v>
      </c>
      <c r="X16" s="24">
        <f t="shared" si="5"/>
        <v>163.67097921465847</v>
      </c>
      <c r="Y16" s="24">
        <f t="shared" si="5"/>
        <v>201.64264639245923</v>
      </c>
      <c r="Z16" s="24">
        <f t="shared" si="5"/>
        <v>248.42374035550989</v>
      </c>
    </row>
    <row r="17" spans="1:26">
      <c r="B17" s="22"/>
      <c r="C17" s="22"/>
      <c r="D17" s="22"/>
      <c r="E17" s="582"/>
      <c r="F17" s="24"/>
      <c r="G17" s="24"/>
      <c r="H17" s="24"/>
      <c r="I17" s="24"/>
      <c r="J17" s="24"/>
      <c r="K17" s="24"/>
      <c r="L17" s="24"/>
      <c r="M17" s="24"/>
      <c r="N17" s="24"/>
      <c r="O17" s="24"/>
      <c r="P17" s="24"/>
      <c r="Q17" s="24"/>
      <c r="R17" s="24"/>
      <c r="S17" s="24"/>
      <c r="T17" s="24"/>
      <c r="U17" s="24"/>
      <c r="V17" s="24"/>
      <c r="W17" s="24"/>
      <c r="X17" s="24"/>
      <c r="Y17" s="24"/>
      <c r="Z17" s="24"/>
    </row>
    <row r="18" spans="1:26" s="92" customFormat="1">
      <c r="A18" s="92" t="s">
        <v>251</v>
      </c>
      <c r="E18" s="583"/>
    </row>
    <row r="19" spans="1:26" s="71" customFormat="1">
      <c r="A19" s="87" t="s">
        <v>264</v>
      </c>
      <c r="E19" s="562"/>
    </row>
    <row r="20" spans="1:26" s="71" customFormat="1">
      <c r="A20" s="72" t="s">
        <v>254</v>
      </c>
      <c r="E20" s="444">
        <f>Pollution!F42</f>
        <v>3031.6169851670197</v>
      </c>
      <c r="F20" s="74">
        <f>Pollution!G42</f>
        <v>3143.402965982682</v>
      </c>
      <c r="G20" s="74">
        <f>Pollution!H42</f>
        <v>3259.7496366981841</v>
      </c>
      <c r="H20" s="74">
        <f>Pollution!I42</f>
        <v>3380.8551546138624</v>
      </c>
      <c r="I20" s="74">
        <f>Pollution!J42</f>
        <v>3506.9265018175697</v>
      </c>
      <c r="J20" s="74">
        <f>Pollution!K42</f>
        <v>3638.1798783848017</v>
      </c>
      <c r="K20" s="74">
        <f>Pollution!L42</f>
        <v>3774.8411129301912</v>
      </c>
      <c r="L20" s="74">
        <f>Pollution!M42</f>
        <v>3917.1460912679377</v>
      </c>
      <c r="M20" s="74">
        <f>Pollution!N42</f>
        <v>4065.3412039715181</v>
      </c>
      <c r="N20" s="74">
        <f>Pollution!O42</f>
        <v>4219.6838136573151</v>
      </c>
      <c r="O20" s="74">
        <f>Pollution!P42</f>
        <v>4380.4427428524705</v>
      </c>
      <c r="P20" s="74">
        <f>Pollution!Q42</f>
        <v>4547.8987833445462</v>
      </c>
      <c r="Q20" s="74">
        <f>Pollution!R42</f>
        <v>4722.3452279494259</v>
      </c>
      <c r="R20" s="74">
        <f>Pollution!S42</f>
        <v>4904.0884256744366</v>
      </c>
      <c r="S20" s="74">
        <f>Pollution!T42</f>
        <v>5093.448361295942</v>
      </c>
      <c r="T20" s="74">
        <f>Pollution!U42</f>
        <v>5290.7592604147603</v>
      </c>
      <c r="U20" s="74">
        <f>Pollution!V42</f>
        <v>5496.3702210987858</v>
      </c>
      <c r="V20" s="74">
        <f>Pollution!W42</f>
        <v>5710.6458732701594</v>
      </c>
      <c r="W20" s="74">
        <f>Pollution!X42</f>
        <v>5933.9670670444048</v>
      </c>
      <c r="X20" s="74">
        <f>Pollution!Y42</f>
        <v>6166.7315912811337</v>
      </c>
      <c r="Y20" s="74">
        <f>Pollution!Z42</f>
        <v>6409.3549236604322</v>
      </c>
      <c r="Z20" s="74">
        <f>Pollution!AA42</f>
        <v>6662.271013655788</v>
      </c>
    </row>
    <row r="21" spans="1:26" s="71" customFormat="1">
      <c r="A21" s="72" t="s">
        <v>262</v>
      </c>
      <c r="B21" s="312">
        <f>B9</f>
        <v>47.769519793320001</v>
      </c>
      <c r="C21" s="312">
        <f>C9</f>
        <v>52.546471772652005</v>
      </c>
      <c r="D21" s="312">
        <f>D9</f>
        <v>57.80111894991721</v>
      </c>
      <c r="E21" s="579">
        <f>E9</f>
        <v>63.581230844908937</v>
      </c>
      <c r="F21" s="74">
        <f t="shared" ref="F21:Z21" si="6">F9*(1-$C$37)</f>
        <v>66.442386232929849</v>
      </c>
      <c r="G21" s="74">
        <f t="shared" si="6"/>
        <v>73.086624856222841</v>
      </c>
      <c r="H21" s="74">
        <f t="shared" si="6"/>
        <v>80.395287341845133</v>
      </c>
      <c r="I21" s="74">
        <f t="shared" si="6"/>
        <v>88.434816076029648</v>
      </c>
      <c r="J21" s="74">
        <f t="shared" si="6"/>
        <v>97.27829768363263</v>
      </c>
      <c r="K21" s="74">
        <f t="shared" si="6"/>
        <v>107.00612745199589</v>
      </c>
      <c r="L21" s="74">
        <f t="shared" si="6"/>
        <v>117.7067401971955</v>
      </c>
      <c r="M21" s="74">
        <f t="shared" si="6"/>
        <v>129.47741421691507</v>
      </c>
      <c r="N21" s="74">
        <f t="shared" si="6"/>
        <v>142.42515563860658</v>
      </c>
      <c r="O21" s="74">
        <f t="shared" si="6"/>
        <v>156.66767120246726</v>
      </c>
      <c r="P21" s="74">
        <f t="shared" si="6"/>
        <v>172.33443832271399</v>
      </c>
      <c r="Q21" s="74">
        <f t="shared" si="6"/>
        <v>189.56788215498543</v>
      </c>
      <c r="R21" s="74">
        <f t="shared" si="6"/>
        <v>208.52467037048399</v>
      </c>
      <c r="S21" s="74">
        <f t="shared" si="6"/>
        <v>229.37713740753239</v>
      </c>
      <c r="T21" s="74">
        <f t="shared" si="6"/>
        <v>252.31485114828564</v>
      </c>
      <c r="U21" s="74">
        <f t="shared" si="6"/>
        <v>277.5463362631142</v>
      </c>
      <c r="V21" s="74">
        <f t="shared" si="6"/>
        <v>305.30096988942569</v>
      </c>
      <c r="W21" s="74">
        <f t="shared" si="6"/>
        <v>335.83106687836829</v>
      </c>
      <c r="X21" s="74">
        <f t="shared" si="6"/>
        <v>369.41417356620514</v>
      </c>
      <c r="Y21" s="74">
        <f t="shared" si="6"/>
        <v>406.35559092282568</v>
      </c>
      <c r="Z21" s="74">
        <f t="shared" si="6"/>
        <v>446.9911500151083</v>
      </c>
    </row>
    <row r="22" spans="1:26" s="71" customFormat="1">
      <c r="A22" s="72" t="s">
        <v>356</v>
      </c>
      <c r="B22" s="312">
        <f>B21*$C$36</f>
        <v>11.94237994833</v>
      </c>
      <c r="C22" s="312">
        <f>C21*$C$36</f>
        <v>13.136617943163001</v>
      </c>
      <c r="D22" s="312">
        <f>D21*$C$36</f>
        <v>14.450279737479303</v>
      </c>
      <c r="E22" s="579">
        <f t="shared" ref="E22:Z22" si="7">E21*$C$36</f>
        <v>15.895307711227234</v>
      </c>
      <c r="F22" s="312">
        <f t="shared" si="7"/>
        <v>16.610596558232462</v>
      </c>
      <c r="G22" s="312">
        <f t="shared" si="7"/>
        <v>18.27165621405571</v>
      </c>
      <c r="H22" s="312">
        <f t="shared" si="7"/>
        <v>20.098821835461283</v>
      </c>
      <c r="I22" s="312">
        <f t="shared" si="7"/>
        <v>22.108704019007412</v>
      </c>
      <c r="J22" s="312">
        <f t="shared" si="7"/>
        <v>24.319574420908157</v>
      </c>
      <c r="K22" s="312">
        <f t="shared" si="7"/>
        <v>26.751531862998974</v>
      </c>
      <c r="L22" s="312">
        <f t="shared" si="7"/>
        <v>29.426685049298875</v>
      </c>
      <c r="M22" s="312">
        <f t="shared" si="7"/>
        <v>32.369353554228766</v>
      </c>
      <c r="N22" s="312">
        <f t="shared" si="7"/>
        <v>35.606288909651646</v>
      </c>
      <c r="O22" s="312">
        <f t="shared" si="7"/>
        <v>39.166917800616815</v>
      </c>
      <c r="P22" s="312">
        <f t="shared" si="7"/>
        <v>43.083609580678498</v>
      </c>
      <c r="Q22" s="312">
        <f t="shared" si="7"/>
        <v>47.391970538746357</v>
      </c>
      <c r="R22" s="312">
        <f t="shared" si="7"/>
        <v>52.131167592620997</v>
      </c>
      <c r="S22" s="312">
        <f t="shared" si="7"/>
        <v>57.344284351883097</v>
      </c>
      <c r="T22" s="312">
        <f t="shared" si="7"/>
        <v>63.07871278707141</v>
      </c>
      <c r="U22" s="312">
        <f t="shared" si="7"/>
        <v>69.38658406577855</v>
      </c>
      <c r="V22" s="312">
        <f t="shared" si="7"/>
        <v>76.325242472356422</v>
      </c>
      <c r="W22" s="312">
        <f t="shared" si="7"/>
        <v>83.957766719592072</v>
      </c>
      <c r="X22" s="312">
        <f t="shared" si="7"/>
        <v>92.353543391551284</v>
      </c>
      <c r="Y22" s="312">
        <f t="shared" si="7"/>
        <v>101.58889773070642</v>
      </c>
      <c r="Z22" s="312">
        <f t="shared" si="7"/>
        <v>111.74778750377708</v>
      </c>
    </row>
    <row r="23" spans="1:26" s="71" customFormat="1">
      <c r="A23" s="72" t="s">
        <v>355</v>
      </c>
      <c r="B23" s="115">
        <f>B22/(365*24)</f>
        <v>1.363285382229452E-3</v>
      </c>
      <c r="C23" s="115">
        <f>C22/(365*24)</f>
        <v>1.4996139204523974E-3</v>
      </c>
      <c r="D23" s="115">
        <f>D22/(365*24)</f>
        <v>1.6495753124976373E-3</v>
      </c>
      <c r="E23" s="580">
        <f t="shared" ref="E23:Z23" si="8">E22/(365*24)</f>
        <v>1.8145328437474012E-3</v>
      </c>
      <c r="F23" s="578">
        <f t="shared" si="8"/>
        <v>1.8961868217160344E-3</v>
      </c>
      <c r="G23" s="115">
        <f t="shared" si="8"/>
        <v>2.0858055038876382E-3</v>
      </c>
      <c r="H23" s="115">
        <f t="shared" si="8"/>
        <v>2.2943860542764022E-3</v>
      </c>
      <c r="I23" s="115">
        <f t="shared" si="8"/>
        <v>2.5238246597040423E-3</v>
      </c>
      <c r="J23" s="115">
        <f t="shared" si="8"/>
        <v>2.7762071256744471E-3</v>
      </c>
      <c r="K23" s="115">
        <f t="shared" si="8"/>
        <v>3.053827838241892E-3</v>
      </c>
      <c r="L23" s="115">
        <f t="shared" si="8"/>
        <v>3.3592106220660814E-3</v>
      </c>
      <c r="M23" s="115">
        <f t="shared" si="8"/>
        <v>3.6951316842726901E-3</v>
      </c>
      <c r="N23" s="115">
        <f t="shared" si="8"/>
        <v>4.0646448526999593E-3</v>
      </c>
      <c r="O23" s="115">
        <f t="shared" si="8"/>
        <v>4.4711093379699559E-3</v>
      </c>
      <c r="P23" s="115">
        <f t="shared" si="8"/>
        <v>4.9182202717669519E-3</v>
      </c>
      <c r="Q23" s="115">
        <f t="shared" si="8"/>
        <v>5.4100422989436479E-3</v>
      </c>
      <c r="R23" s="115">
        <f t="shared" si="8"/>
        <v>5.9510465288380131E-3</v>
      </c>
      <c r="S23" s="115">
        <f t="shared" si="8"/>
        <v>6.5461511817218147E-3</v>
      </c>
      <c r="T23" s="115">
        <f t="shared" si="8"/>
        <v>7.2007662998939967E-3</v>
      </c>
      <c r="U23" s="115">
        <f t="shared" si="8"/>
        <v>7.9208429298833968E-3</v>
      </c>
      <c r="V23" s="115">
        <f t="shared" si="8"/>
        <v>8.7129272228717372E-3</v>
      </c>
      <c r="W23" s="115">
        <f t="shared" si="8"/>
        <v>9.5842199451589127E-3</v>
      </c>
      <c r="X23" s="115">
        <f t="shared" si="8"/>
        <v>1.0542641939674803E-2</v>
      </c>
      <c r="Y23" s="115">
        <f t="shared" si="8"/>
        <v>1.1596906133642285E-2</v>
      </c>
      <c r="Z23" s="115">
        <f t="shared" si="8"/>
        <v>1.2756596747006516E-2</v>
      </c>
    </row>
    <row r="24" spans="1:26" s="71" customFormat="1">
      <c r="A24" s="72"/>
      <c r="E24" s="444"/>
      <c r="F24" s="74"/>
      <c r="G24" s="74"/>
      <c r="H24" s="74"/>
      <c r="I24" s="74"/>
      <c r="J24" s="74"/>
      <c r="K24" s="74"/>
      <c r="L24" s="74"/>
      <c r="M24" s="74"/>
      <c r="N24" s="74"/>
      <c r="O24" s="74"/>
      <c r="P24" s="74"/>
      <c r="Q24" s="74"/>
      <c r="R24" s="74"/>
      <c r="S24" s="74"/>
      <c r="T24" s="74"/>
      <c r="U24" s="74"/>
      <c r="V24" s="74"/>
      <c r="W24" s="74"/>
      <c r="X24" s="74"/>
      <c r="Y24" s="74"/>
      <c r="Z24" s="74"/>
    </row>
    <row r="25" spans="1:26" s="71" customFormat="1">
      <c r="A25" s="87" t="s">
        <v>263</v>
      </c>
      <c r="E25" s="444"/>
      <c r="F25" s="74"/>
      <c r="G25" s="74"/>
      <c r="H25" s="74"/>
      <c r="I25" s="74"/>
      <c r="J25" s="74"/>
      <c r="K25" s="74"/>
      <c r="L25" s="74"/>
      <c r="M25" s="74"/>
      <c r="N25" s="74"/>
      <c r="O25" s="74"/>
      <c r="P25" s="74"/>
      <c r="Q25" s="74"/>
      <c r="R25" s="74"/>
      <c r="S25" s="74"/>
      <c r="T25" s="74"/>
      <c r="U25" s="74"/>
      <c r="V25" s="74"/>
      <c r="W25" s="74"/>
      <c r="X25" s="74"/>
      <c r="Y25" s="74"/>
      <c r="Z25" s="74"/>
    </row>
    <row r="26" spans="1:26">
      <c r="A26" s="19" t="s">
        <v>258</v>
      </c>
      <c r="B26" s="24">
        <f>B23*B15</f>
        <v>3.5543303828409822</v>
      </c>
      <c r="C26" s="24"/>
      <c r="D26" s="24"/>
      <c r="E26" s="582">
        <f t="shared" ref="E26:Z26" si="9">E23*E15*$C$34</f>
        <v>2.9290360194025511</v>
      </c>
      <c r="F26" s="24">
        <f t="shared" si="9"/>
        <v>3.6338819595393423</v>
      </c>
      <c r="G26" s="24">
        <f t="shared" si="9"/>
        <v>4.5514125538000725</v>
      </c>
      <c r="H26" s="24">
        <f t="shared" si="9"/>
        <v>5.3333818160617668</v>
      </c>
      <c r="I26" s="24">
        <f t="shared" si="9"/>
        <v>6.8274093360665153</v>
      </c>
      <c r="J26" s="24">
        <f t="shared" si="9"/>
        <v>8.3780968493071128</v>
      </c>
      <c r="K26" s="24">
        <f t="shared" si="9"/>
        <v>10.321815318346365</v>
      </c>
      <c r="L26" s="24">
        <f t="shared" si="9"/>
        <v>12.716476472202723</v>
      </c>
      <c r="M26" s="24">
        <f t="shared" si="9"/>
        <v>15.666699013753757</v>
      </c>
      <c r="N26" s="24">
        <f t="shared" si="9"/>
        <v>19.301373184944634</v>
      </c>
      <c r="O26" s="24">
        <f t="shared" si="9"/>
        <v>23.779291763851798</v>
      </c>
      <c r="P26" s="24">
        <f t="shared" si="9"/>
        <v>29.296087453065418</v>
      </c>
      <c r="Q26" s="24">
        <f t="shared" si="9"/>
        <v>36.092779742176603</v>
      </c>
      <c r="R26" s="24">
        <f t="shared" si="9"/>
        <v>44.466304642361578</v>
      </c>
      <c r="S26" s="24">
        <f t="shared" si="9"/>
        <v>54.782487319389467</v>
      </c>
      <c r="T26" s="24">
        <f t="shared" si="9"/>
        <v>67.492024377487837</v>
      </c>
      <c r="U26" s="24">
        <f t="shared" si="9"/>
        <v>83.150174033065028</v>
      </c>
      <c r="V26" s="24">
        <f t="shared" si="9"/>
        <v>102.44101440873612</v>
      </c>
      <c r="W26" s="24">
        <f t="shared" si="9"/>
        <v>126.20732975156294</v>
      </c>
      <c r="X26" s="24">
        <f t="shared" si="9"/>
        <v>155.48743025392554</v>
      </c>
      <c r="Y26" s="24">
        <f t="shared" si="9"/>
        <v>191.56051407283627</v>
      </c>
      <c r="Z26" s="24">
        <f t="shared" si="9"/>
        <v>236.00255333773441</v>
      </c>
    </row>
    <row r="28" spans="1:26" s="67" customFormat="1">
      <c r="A28" s="67" t="s">
        <v>259</v>
      </c>
      <c r="E28" s="584">
        <f t="shared" ref="E28:Z28" si="10">(E16-E26)*10^6</f>
        <v>0</v>
      </c>
      <c r="F28" s="97">
        <f t="shared" si="10"/>
        <v>191256.945238913</v>
      </c>
      <c r="G28" s="97">
        <f t="shared" si="10"/>
        <v>239548.02914737261</v>
      </c>
      <c r="H28" s="97">
        <f t="shared" si="10"/>
        <v>280704.30610851373</v>
      </c>
      <c r="I28" s="97">
        <f t="shared" si="10"/>
        <v>359337.33347718546</v>
      </c>
      <c r="J28" s="97">
        <f t="shared" si="10"/>
        <v>440952.46575300704</v>
      </c>
      <c r="K28" s="97">
        <f t="shared" si="10"/>
        <v>543253.43780770479</v>
      </c>
      <c r="L28" s="97">
        <f t="shared" si="10"/>
        <v>669288.23537909391</v>
      </c>
      <c r="M28" s="97">
        <f t="shared" si="10"/>
        <v>824563.10598704265</v>
      </c>
      <c r="N28" s="97">
        <f t="shared" si="10"/>
        <v>1015861.7465760357</v>
      </c>
      <c r="O28" s="97">
        <f t="shared" si="10"/>
        <v>1251541.6717816733</v>
      </c>
      <c r="P28" s="97">
        <f t="shared" si="10"/>
        <v>1541899.3396350231</v>
      </c>
      <c r="Q28" s="97">
        <f t="shared" si="10"/>
        <v>1899619.9864303449</v>
      </c>
      <c r="R28" s="97">
        <f t="shared" si="10"/>
        <v>2340331.8232821915</v>
      </c>
      <c r="S28" s="97">
        <f t="shared" si="10"/>
        <v>2883288.8062836728</v>
      </c>
      <c r="T28" s="97">
        <f t="shared" si="10"/>
        <v>3552211.8093414577</v>
      </c>
      <c r="U28" s="97">
        <f t="shared" si="10"/>
        <v>4376324.9491086928</v>
      </c>
      <c r="V28" s="97">
        <f t="shared" si="10"/>
        <v>5391632.3373018997</v>
      </c>
      <c r="W28" s="97">
        <f t="shared" si="10"/>
        <v>6642491.0395559631</v>
      </c>
      <c r="X28" s="97">
        <f t="shared" si="10"/>
        <v>8183548.960732935</v>
      </c>
      <c r="Y28" s="97">
        <f t="shared" si="10"/>
        <v>10082132.319622956</v>
      </c>
      <c r="Z28" s="97">
        <f t="shared" si="10"/>
        <v>12421187.01777548</v>
      </c>
    </row>
    <row r="31" spans="1:26">
      <c r="A31" s="78" t="s">
        <v>21</v>
      </c>
      <c r="B31" s="98"/>
      <c r="C31" s="589"/>
      <c r="D31" s="98"/>
      <c r="E31" s="585"/>
    </row>
    <row r="32" spans="1:26">
      <c r="A32" s="98" t="s">
        <v>244</v>
      </c>
      <c r="B32" s="98"/>
      <c r="C32" s="590">
        <v>2.004785</v>
      </c>
      <c r="D32" s="102" t="s">
        <v>247</v>
      </c>
      <c r="E32" s="585"/>
      <c r="F32" s="753" t="s">
        <v>246</v>
      </c>
      <c r="G32" s="753"/>
      <c r="H32" s="753"/>
      <c r="I32" s="753"/>
      <c r="J32" s="753"/>
      <c r="K32" s="753"/>
      <c r="L32" s="753"/>
      <c r="M32" s="753"/>
    </row>
    <row r="33" spans="1:25">
      <c r="A33" s="98" t="s">
        <v>245</v>
      </c>
      <c r="B33" s="98"/>
      <c r="C33" s="590">
        <v>1.985646</v>
      </c>
      <c r="D33" s="102" t="s">
        <v>248</v>
      </c>
      <c r="E33" s="585"/>
      <c r="F33" s="753"/>
      <c r="G33" s="753"/>
      <c r="H33" s="753"/>
      <c r="I33" s="753"/>
      <c r="J33" s="753"/>
      <c r="K33" s="753"/>
      <c r="L33" s="753"/>
      <c r="M33" s="753"/>
    </row>
    <row r="34" spans="1:25">
      <c r="A34" s="98" t="s">
        <v>358</v>
      </c>
      <c r="B34" s="98"/>
      <c r="C34" s="591">
        <v>0.39</v>
      </c>
      <c r="D34" s="102" t="s">
        <v>373</v>
      </c>
      <c r="E34" s="585"/>
      <c r="F34" s="753"/>
      <c r="G34" s="753"/>
      <c r="H34" s="753"/>
      <c r="I34" s="753"/>
      <c r="J34" s="753"/>
      <c r="K34" s="753"/>
      <c r="L34" s="753"/>
      <c r="M34" s="753"/>
    </row>
    <row r="35" spans="1:25">
      <c r="A35" s="98" t="s">
        <v>354</v>
      </c>
      <c r="B35" s="98"/>
      <c r="C35" s="592">
        <v>0.1</v>
      </c>
      <c r="D35" s="102" t="s">
        <v>152</v>
      </c>
      <c r="E35" s="585"/>
      <c r="F35" s="697"/>
      <c r="G35" s="315"/>
      <c r="H35" s="315"/>
      <c r="I35" s="315"/>
      <c r="J35" s="315"/>
      <c r="K35" s="315"/>
      <c r="L35" s="315"/>
      <c r="M35" s="315"/>
    </row>
    <row r="36" spans="1:25">
      <c r="A36" s="98" t="s">
        <v>350</v>
      </c>
      <c r="B36" s="98"/>
      <c r="C36" s="593">
        <f>Assumptions!C27</f>
        <v>0.25</v>
      </c>
      <c r="D36" s="102" t="s">
        <v>351</v>
      </c>
      <c r="E36" s="585"/>
      <c r="F36" s="378" t="s">
        <v>357</v>
      </c>
      <c r="G36" s="315"/>
      <c r="H36" s="315"/>
      <c r="I36" s="315"/>
      <c r="J36" s="315"/>
      <c r="K36" s="315"/>
      <c r="L36" s="315"/>
      <c r="M36" s="315"/>
    </row>
    <row r="37" spans="1:25">
      <c r="A37" s="417" t="s">
        <v>352</v>
      </c>
      <c r="B37" s="98"/>
      <c r="C37" s="593">
        <f>Assumptions!C28</f>
        <v>0.05</v>
      </c>
      <c r="D37" s="102" t="s">
        <v>353</v>
      </c>
      <c r="E37" s="585"/>
      <c r="F37" s="697"/>
      <c r="G37" s="315"/>
      <c r="H37" s="315"/>
      <c r="I37" s="315"/>
      <c r="J37" s="315"/>
      <c r="K37" s="315"/>
      <c r="L37" s="315"/>
      <c r="M37" s="315"/>
    </row>
    <row r="38" spans="1:25">
      <c r="A38" s="98" t="s">
        <v>560</v>
      </c>
      <c r="B38" s="98"/>
      <c r="C38" s="512">
        <f>B14</f>
        <v>4574</v>
      </c>
      <c r="D38" s="333" t="s">
        <v>256</v>
      </c>
      <c r="E38" s="585"/>
      <c r="F38" s="750" t="s">
        <v>559</v>
      </c>
      <c r="G38" s="750"/>
      <c r="H38" s="750"/>
      <c r="I38" s="750"/>
      <c r="J38" s="750"/>
      <c r="K38" s="750"/>
      <c r="L38" s="750"/>
      <c r="M38" s="750"/>
    </row>
    <row r="39" spans="1:25">
      <c r="A39" s="98" t="s">
        <v>249</v>
      </c>
      <c r="B39" s="98"/>
      <c r="C39" s="594">
        <v>0.56999999999999995</v>
      </c>
      <c r="D39" s="333" t="s">
        <v>250</v>
      </c>
      <c r="E39" s="585"/>
      <c r="F39" s="751" t="s">
        <v>535</v>
      </c>
      <c r="G39" s="751"/>
      <c r="H39" s="751"/>
      <c r="I39" s="751"/>
      <c r="J39" s="751"/>
      <c r="K39" s="752"/>
      <c r="L39" s="752"/>
      <c r="M39" s="752"/>
      <c r="N39" s="752"/>
      <c r="O39" s="752"/>
    </row>
    <row r="40" spans="1:25">
      <c r="A40" s="98" t="s">
        <v>558</v>
      </c>
      <c r="B40" s="98"/>
      <c r="C40" s="506">
        <f>Assumptions!C31</f>
        <v>0.12</v>
      </c>
      <c r="D40" s="334" t="s">
        <v>152</v>
      </c>
      <c r="E40" s="585"/>
      <c r="F40" s="377" t="s">
        <v>349</v>
      </c>
      <c r="G40" s="174"/>
      <c r="H40" s="174"/>
      <c r="I40" s="174"/>
      <c r="J40" s="174"/>
      <c r="K40" s="174"/>
      <c r="L40" s="174"/>
      <c r="M40" s="174"/>
    </row>
    <row r="43" spans="1:25">
      <c r="A43" s="20" t="s">
        <v>305</v>
      </c>
    </row>
    <row r="44" spans="1:25" s="242" customFormat="1">
      <c r="A44" s="509" t="s">
        <v>135</v>
      </c>
      <c r="B44" s="510" t="s">
        <v>10</v>
      </c>
      <c r="C44" s="586"/>
      <c r="D44" s="511">
        <f>('Activity Description'!D27*'Activity Description'!D28)/4</f>
        <v>1800</v>
      </c>
      <c r="E44" s="586">
        <f>'Activity Description'!$D$27*'Activity Description'!$D$28</f>
        <v>7200</v>
      </c>
      <c r="F44" s="511">
        <f>E44*(1+Newcom!$C$53)</f>
        <v>7200</v>
      </c>
      <c r="G44" s="511">
        <f>F44*(1+Newcom!$C$53)</f>
        <v>7200</v>
      </c>
      <c r="H44" s="511">
        <f>G44*(1+Newcom!$C$53)</f>
        <v>7200</v>
      </c>
      <c r="I44" s="511">
        <f>H44*(1+Newcom!$C$53)</f>
        <v>7200</v>
      </c>
      <c r="J44" s="511">
        <f>I44*(1+Newcom!$C$53)</f>
        <v>7200</v>
      </c>
      <c r="K44" s="511">
        <f>J44*(1+Newcom!$C$53)</f>
        <v>7200</v>
      </c>
      <c r="L44" s="511">
        <f>K44*(1+Newcom!$C$53)</f>
        <v>7200</v>
      </c>
      <c r="M44" s="511">
        <f>L44*(1+Newcom!$C$53)</f>
        <v>7200</v>
      </c>
      <c r="N44" s="511">
        <f>M44*(1+Newcom!$C$53)</f>
        <v>7200</v>
      </c>
      <c r="O44" s="511">
        <f>N44*(1+Newcom!$C$53)</f>
        <v>7200</v>
      </c>
      <c r="P44" s="511">
        <f>O44*(1+Newcom!$C$53)</f>
        <v>7200</v>
      </c>
      <c r="Q44" s="511">
        <f>P44*(1+Newcom!$C$53)</f>
        <v>7200</v>
      </c>
      <c r="R44" s="511">
        <f>Q44*(1+Newcom!$C$53)</f>
        <v>7200</v>
      </c>
      <c r="S44" s="511">
        <f>R44*(1+Newcom!$C$53)</f>
        <v>7200</v>
      </c>
      <c r="T44" s="511">
        <f>S44*(1+Newcom!$C$53)</f>
        <v>7200</v>
      </c>
      <c r="U44" s="511">
        <f>T44*(1+Newcom!$C$53)</f>
        <v>7200</v>
      </c>
      <c r="V44" s="511">
        <f>U44*(1+Newcom!$C$53)</f>
        <v>7200</v>
      </c>
      <c r="W44" s="511">
        <f>V44*(1+Newcom!$C$53)</f>
        <v>7200</v>
      </c>
      <c r="X44" s="512">
        <f>W44*3/4</f>
        <v>5400</v>
      </c>
      <c r="Y44" s="242" t="s">
        <v>512</v>
      </c>
    </row>
    <row r="45" spans="1:25" s="242" customFormat="1">
      <c r="A45" s="242" t="s">
        <v>306</v>
      </c>
      <c r="B45" s="272" t="s">
        <v>57</v>
      </c>
      <c r="C45" s="587"/>
      <c r="D45" s="273">
        <f>((200000*7.3%*120)/Assumptions!C23)</f>
        <v>1327.4135135544677</v>
      </c>
      <c r="E45" s="587">
        <f>D45*3/4</f>
        <v>995.56013516585085</v>
      </c>
      <c r="F45" s="273">
        <f t="shared" ref="F45:W45" si="11">E45</f>
        <v>995.56013516585085</v>
      </c>
      <c r="G45" s="273">
        <f t="shared" si="11"/>
        <v>995.56013516585085</v>
      </c>
      <c r="H45" s="273">
        <f t="shared" si="11"/>
        <v>995.56013516585085</v>
      </c>
      <c r="I45" s="273">
        <f t="shared" si="11"/>
        <v>995.56013516585085</v>
      </c>
      <c r="J45" s="273">
        <f t="shared" si="11"/>
        <v>995.56013516585085</v>
      </c>
      <c r="K45" s="273">
        <f t="shared" si="11"/>
        <v>995.56013516585085</v>
      </c>
      <c r="L45" s="273">
        <f t="shared" si="11"/>
        <v>995.56013516585085</v>
      </c>
      <c r="M45" s="273">
        <f t="shared" si="11"/>
        <v>995.56013516585085</v>
      </c>
      <c r="N45" s="273">
        <f t="shared" si="11"/>
        <v>995.56013516585085</v>
      </c>
      <c r="O45" s="273">
        <f t="shared" si="11"/>
        <v>995.56013516585085</v>
      </c>
      <c r="P45" s="273">
        <f t="shared" si="11"/>
        <v>995.56013516585085</v>
      </c>
      <c r="Q45" s="273">
        <f t="shared" si="11"/>
        <v>995.56013516585085</v>
      </c>
      <c r="R45" s="273">
        <f t="shared" si="11"/>
        <v>995.56013516585085</v>
      </c>
      <c r="S45" s="273">
        <f t="shared" si="11"/>
        <v>995.56013516585085</v>
      </c>
      <c r="T45" s="273">
        <f t="shared" si="11"/>
        <v>995.56013516585085</v>
      </c>
      <c r="U45" s="273">
        <f t="shared" si="11"/>
        <v>995.56013516585085</v>
      </c>
      <c r="V45" s="273">
        <f t="shared" si="11"/>
        <v>995.56013516585085</v>
      </c>
      <c r="W45" s="273">
        <f t="shared" si="11"/>
        <v>995.56013516585085</v>
      </c>
      <c r="X45" s="274"/>
    </row>
    <row r="46" spans="1:25" s="242" customFormat="1">
      <c r="B46" s="244" t="s">
        <v>41</v>
      </c>
      <c r="C46" s="588"/>
      <c r="D46" s="246">
        <f>SUM(D44:D45)</f>
        <v>3127.4135135544675</v>
      </c>
      <c r="E46" s="588">
        <f t="shared" ref="E46:X46" si="12">SUM(E44:E45)</f>
        <v>8195.5601351658515</v>
      </c>
      <c r="F46" s="246">
        <f t="shared" si="12"/>
        <v>8195.5601351658515</v>
      </c>
      <c r="G46" s="246">
        <f t="shared" si="12"/>
        <v>8195.5601351658515</v>
      </c>
      <c r="H46" s="246">
        <f t="shared" si="12"/>
        <v>8195.5601351658515</v>
      </c>
      <c r="I46" s="246">
        <f t="shared" si="12"/>
        <v>8195.5601351658515</v>
      </c>
      <c r="J46" s="246">
        <f t="shared" si="12"/>
        <v>8195.5601351658515</v>
      </c>
      <c r="K46" s="246">
        <f t="shared" si="12"/>
        <v>8195.5601351658515</v>
      </c>
      <c r="L46" s="246">
        <f t="shared" si="12"/>
        <v>8195.5601351658515</v>
      </c>
      <c r="M46" s="246">
        <f t="shared" si="12"/>
        <v>8195.5601351658515</v>
      </c>
      <c r="N46" s="246">
        <f t="shared" si="12"/>
        <v>8195.5601351658515</v>
      </c>
      <c r="O46" s="246">
        <f t="shared" si="12"/>
        <v>8195.5601351658515</v>
      </c>
      <c r="P46" s="246">
        <f t="shared" si="12"/>
        <v>8195.5601351658515</v>
      </c>
      <c r="Q46" s="246">
        <f t="shared" si="12"/>
        <v>8195.5601351658515</v>
      </c>
      <c r="R46" s="246">
        <f t="shared" si="12"/>
        <v>8195.5601351658515</v>
      </c>
      <c r="S46" s="246">
        <f t="shared" si="12"/>
        <v>8195.5601351658515</v>
      </c>
      <c r="T46" s="246">
        <f t="shared" si="12"/>
        <v>8195.5601351658515</v>
      </c>
      <c r="U46" s="246">
        <f t="shared" si="12"/>
        <v>8195.5601351658515</v>
      </c>
      <c r="V46" s="246">
        <f t="shared" si="12"/>
        <v>8195.5601351658515</v>
      </c>
      <c r="W46" s="246">
        <f t="shared" si="12"/>
        <v>8195.5601351658515</v>
      </c>
      <c r="X46" s="246">
        <f t="shared" si="12"/>
        <v>5400</v>
      </c>
      <c r="Y46" s="247"/>
    </row>
    <row r="47" spans="1:25">
      <c r="C47" s="141"/>
    </row>
    <row r="48" spans="1:25">
      <c r="B48" s="19">
        <f>NPV(0.1,D44:W44)</f>
        <v>56388.567873170716</v>
      </c>
      <c r="C48" s="141"/>
    </row>
  </sheetData>
  <mergeCells count="4">
    <mergeCell ref="F38:M38"/>
    <mergeCell ref="F39:J39"/>
    <mergeCell ref="K39:O39"/>
    <mergeCell ref="F32:M3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1"/>
  <sheetViews>
    <sheetView workbookViewId="0">
      <selection sqref="A1:XFD2"/>
    </sheetView>
  </sheetViews>
  <sheetFormatPr defaultColWidth="8.88671875" defaultRowHeight="15"/>
  <cols>
    <col min="1" max="1" width="27.21875" style="19" bestFit="1" customWidth="1"/>
    <col min="2" max="2" width="13.5546875" style="19" bestFit="1" customWidth="1"/>
    <col min="3" max="16384" width="8.88671875" style="19"/>
  </cols>
  <sheetData>
    <row r="1" spans="1:3" s="1" customFormat="1" ht="20.25">
      <c r="A1" s="2" t="s">
        <v>576</v>
      </c>
      <c r="B1" s="2"/>
      <c r="C1" s="3"/>
    </row>
    <row r="2" spans="1:3" s="1" customFormat="1" ht="15.75">
      <c r="A2" s="702" t="s">
        <v>595</v>
      </c>
      <c r="B2" s="9"/>
    </row>
    <row r="3" spans="1:3" s="1" customFormat="1" ht="15.75">
      <c r="A3" s="702"/>
      <c r="B3" s="9"/>
    </row>
    <row r="4" spans="1:3">
      <c r="A4" s="20" t="s">
        <v>30</v>
      </c>
    </row>
    <row r="5" spans="1:3" s="105" customFormat="1">
      <c r="A5" s="105" t="s">
        <v>391</v>
      </c>
      <c r="B5" s="351" t="s">
        <v>374</v>
      </c>
      <c r="C5" s="351" t="s">
        <v>393</v>
      </c>
    </row>
    <row r="6" spans="1:3">
      <c r="A6" s="19" t="s">
        <v>545</v>
      </c>
      <c r="B6" s="22">
        <f>'Project ERR'!Z27</f>
        <v>13391747.798046622</v>
      </c>
      <c r="C6" s="95">
        <f t="shared" ref="C6:C11" si="0">B6/$B$11</f>
        <v>0.15573416870455259</v>
      </c>
    </row>
    <row r="7" spans="1:3">
      <c r="A7" s="19" t="s">
        <v>392</v>
      </c>
      <c r="B7" s="22">
        <f>'Project ERR'!Z22</f>
        <v>16619724.006276811</v>
      </c>
      <c r="C7" s="95">
        <f t="shared" si="0"/>
        <v>0.19327267368297885</v>
      </c>
    </row>
    <row r="8" spans="1:3">
      <c r="A8" s="19" t="s">
        <v>543</v>
      </c>
      <c r="B8" s="22">
        <f>'Project ERR'!Z28</f>
        <v>50289.394319451705</v>
      </c>
      <c r="C8" s="95">
        <f t="shared" si="0"/>
        <v>5.8482112544993095E-4</v>
      </c>
    </row>
    <row r="9" spans="1:3">
      <c r="A9" s="19" t="s">
        <v>133</v>
      </c>
      <c r="B9" s="22">
        <f>'Project ERR'!Z23</f>
        <v>45897273.127788953</v>
      </c>
      <c r="C9" s="95">
        <f t="shared" si="0"/>
        <v>0.53374464514666398</v>
      </c>
    </row>
    <row r="10" spans="1:3">
      <c r="A10" s="19" t="s">
        <v>394</v>
      </c>
      <c r="B10" s="22">
        <f>'Project ERR'!Z24</f>
        <v>10032035.645196952</v>
      </c>
      <c r="C10" s="95">
        <f t="shared" si="0"/>
        <v>0.11666369134035479</v>
      </c>
    </row>
    <row r="11" spans="1:3">
      <c r="A11" s="19" t="s">
        <v>75</v>
      </c>
      <c r="B11" s="22">
        <f>SUM(B6:B10)</f>
        <v>85991069.971628785</v>
      </c>
      <c r="C11" s="95">
        <f t="shared" si="0"/>
        <v>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zoomScale="60" zoomScaleNormal="60" workbookViewId="0">
      <selection sqref="A1:XFD2"/>
    </sheetView>
  </sheetViews>
  <sheetFormatPr defaultRowHeight="15.75"/>
  <cols>
    <col min="1" max="1" width="37.88671875" customWidth="1"/>
    <col min="6" max="6" width="9" bestFit="1" customWidth="1"/>
    <col min="7" max="7" width="10.77734375" bestFit="1" customWidth="1"/>
    <col min="8" max="25" width="11.44140625" bestFit="1" customWidth="1"/>
    <col min="26" max="27" width="9" bestFit="1" customWidth="1"/>
  </cols>
  <sheetData>
    <row r="1" spans="1:29" s="1" customFormat="1" ht="20.25">
      <c r="A1" s="2" t="s">
        <v>576</v>
      </c>
      <c r="B1" s="2"/>
      <c r="C1" s="3"/>
    </row>
    <row r="2" spans="1:29" s="1" customFormat="1">
      <c r="A2" s="702" t="s">
        <v>595</v>
      </c>
      <c r="B2" s="9"/>
    </row>
    <row r="3" spans="1:29" s="1" customFormat="1">
      <c r="A3" s="702"/>
      <c r="B3" s="9"/>
    </row>
    <row r="4" spans="1:29" s="274" customFormat="1" ht="21">
      <c r="A4" s="508" t="s">
        <v>505</v>
      </c>
      <c r="B4" s="274">
        <v>2008</v>
      </c>
      <c r="C4" s="274">
        <v>2009</v>
      </c>
      <c r="D4" s="274">
        <v>2010</v>
      </c>
      <c r="E4" s="274">
        <v>2011</v>
      </c>
      <c r="F4" s="274">
        <v>2012</v>
      </c>
      <c r="G4" s="274">
        <v>2013</v>
      </c>
      <c r="H4" s="274">
        <v>2014</v>
      </c>
      <c r="I4" s="274">
        <v>2015</v>
      </c>
      <c r="J4" s="274">
        <v>2016</v>
      </c>
      <c r="K4" s="274">
        <v>2017</v>
      </c>
      <c r="L4" s="274">
        <v>2018</v>
      </c>
      <c r="M4" s="274">
        <v>2019</v>
      </c>
      <c r="N4" s="274">
        <v>2020</v>
      </c>
      <c r="O4" s="274">
        <v>2021</v>
      </c>
      <c r="P4" s="274">
        <v>2022</v>
      </c>
      <c r="Q4" s="274">
        <v>2023</v>
      </c>
      <c r="R4" s="274">
        <v>2024</v>
      </c>
      <c r="S4" s="274">
        <v>2025</v>
      </c>
      <c r="T4" s="274">
        <v>2026</v>
      </c>
      <c r="U4" s="274">
        <v>2027</v>
      </c>
      <c r="V4" s="274">
        <v>2028</v>
      </c>
      <c r="W4" s="274">
        <v>2029</v>
      </c>
      <c r="X4" s="274">
        <v>2030</v>
      </c>
      <c r="Y4" s="274">
        <v>2031</v>
      </c>
      <c r="Z4" s="274">
        <v>2032</v>
      </c>
      <c r="AA4" s="274">
        <v>2033</v>
      </c>
      <c r="AC4" s="274" t="s">
        <v>451</v>
      </c>
    </row>
    <row r="5" spans="1:29" s="72" customFormat="1" ht="15">
      <c r="A5" s="87" t="s">
        <v>145</v>
      </c>
      <c r="B5" s="599"/>
      <c r="C5" s="599"/>
      <c r="D5" s="599"/>
      <c r="E5" s="599"/>
      <c r="F5" s="599"/>
      <c r="G5" s="599"/>
      <c r="H5" s="599"/>
      <c r="I5" s="599"/>
      <c r="J5" s="599"/>
      <c r="K5" s="599"/>
      <c r="L5" s="599"/>
      <c r="M5" s="599"/>
      <c r="N5" s="599"/>
      <c r="O5" s="599"/>
      <c r="P5" s="599"/>
      <c r="Q5" s="599"/>
      <c r="R5" s="599"/>
      <c r="S5" s="599"/>
      <c r="T5" s="599"/>
      <c r="U5" s="599"/>
      <c r="V5" s="599"/>
      <c r="W5" s="599"/>
      <c r="X5" s="599"/>
      <c r="Y5" s="599"/>
      <c r="Z5" s="598"/>
      <c r="AA5" s="598"/>
    </row>
    <row r="6" spans="1:29" s="72" customFormat="1" ht="15">
      <c r="A6" s="72" t="s">
        <v>252</v>
      </c>
      <c r="B6" s="643"/>
      <c r="C6" s="599"/>
      <c r="D6" s="599"/>
      <c r="E6" s="599"/>
      <c r="F6" s="599">
        <f>Pollution!F40</f>
        <v>3031.6169851670197</v>
      </c>
      <c r="G6" s="599">
        <f>Pollution!G40</f>
        <v>3143.402965982682</v>
      </c>
      <c r="H6" s="599">
        <f>Pollution!H40</f>
        <v>3259.7496366981841</v>
      </c>
      <c r="I6" s="599">
        <f>Pollution!I40</f>
        <v>3351.8376546138625</v>
      </c>
      <c r="J6" s="599">
        <f>Pollution!J40</f>
        <v>3390.8565018175696</v>
      </c>
      <c r="K6" s="599">
        <f>Pollution!K40</f>
        <v>3522.1098783848015</v>
      </c>
      <c r="L6" s="599">
        <f>Pollution!L40</f>
        <v>3658.7711129301911</v>
      </c>
      <c r="M6" s="599">
        <f>Pollution!M40</f>
        <v>3801.0760912679375</v>
      </c>
      <c r="N6" s="599">
        <f>Pollution!N40</f>
        <v>3949.2712039715179</v>
      </c>
      <c r="O6" s="599">
        <f>Pollution!O40</f>
        <v>4103.6138136573154</v>
      </c>
      <c r="P6" s="599">
        <f>Pollution!P40</f>
        <v>4264.3727428524708</v>
      </c>
      <c r="Q6" s="599">
        <f>Pollution!Q40</f>
        <v>4431.8287833445465</v>
      </c>
      <c r="R6" s="599">
        <f>Pollution!R40</f>
        <v>4606.2752279494262</v>
      </c>
      <c r="S6" s="599">
        <f>Pollution!S40</f>
        <v>4788.0184256744369</v>
      </c>
      <c r="T6" s="599">
        <f>Pollution!T40</f>
        <v>4977.3783612959423</v>
      </c>
      <c r="U6" s="599">
        <f>Pollution!U40</f>
        <v>5174.6892604147606</v>
      </c>
      <c r="V6" s="599">
        <f>Pollution!V40</f>
        <v>5380.3002210987861</v>
      </c>
      <c r="W6" s="599">
        <f>Pollution!W40</f>
        <v>5594.5758732701597</v>
      </c>
      <c r="X6" s="599">
        <f>Pollution!X40</f>
        <v>5817.897067044405</v>
      </c>
      <c r="Y6" s="599">
        <f>Pollution!Y40</f>
        <v>6050.661591281134</v>
      </c>
      <c r="Z6" s="599">
        <f>Pollution!Z40</f>
        <v>6293.2849236604325</v>
      </c>
      <c r="AA6" s="599">
        <f>Pollution!AA40</f>
        <v>6546.2010136557883</v>
      </c>
    </row>
    <row r="7" spans="1:29" s="72" customFormat="1" ht="15">
      <c r="A7" s="72" t="s">
        <v>253</v>
      </c>
      <c r="B7" s="599"/>
      <c r="C7" s="599"/>
      <c r="D7" s="599"/>
      <c r="E7" s="599"/>
      <c r="F7" s="599">
        <f>Pollution!F41</f>
        <v>0</v>
      </c>
      <c r="G7" s="599">
        <f>Pollution!G41</f>
        <v>0</v>
      </c>
      <c r="H7" s="599">
        <f>Pollution!H41</f>
        <v>0</v>
      </c>
      <c r="I7" s="599">
        <f>Pollution!I41</f>
        <v>29.017499999999998</v>
      </c>
      <c r="J7" s="599">
        <f>Pollution!J41</f>
        <v>116.07</v>
      </c>
      <c r="K7" s="599">
        <f>Pollution!K41</f>
        <v>116.07</v>
      </c>
      <c r="L7" s="599">
        <f>Pollution!L41</f>
        <v>116.07</v>
      </c>
      <c r="M7" s="599">
        <f>Pollution!M41</f>
        <v>116.07</v>
      </c>
      <c r="N7" s="599">
        <f>Pollution!N41</f>
        <v>116.07</v>
      </c>
      <c r="O7" s="599">
        <f>Pollution!O41</f>
        <v>116.07</v>
      </c>
      <c r="P7" s="599">
        <f>Pollution!P41</f>
        <v>116.07</v>
      </c>
      <c r="Q7" s="599">
        <f>Pollution!Q41</f>
        <v>116.07</v>
      </c>
      <c r="R7" s="599">
        <f>Pollution!R41</f>
        <v>116.07</v>
      </c>
      <c r="S7" s="599">
        <f>Pollution!S41</f>
        <v>116.07</v>
      </c>
      <c r="T7" s="599">
        <f>Pollution!T41</f>
        <v>116.07</v>
      </c>
      <c r="U7" s="599">
        <f>Pollution!U41</f>
        <v>116.07</v>
      </c>
      <c r="V7" s="599">
        <f>Pollution!V41</f>
        <v>116.07</v>
      </c>
      <c r="W7" s="599">
        <f>Pollution!W41</f>
        <v>116.07</v>
      </c>
      <c r="X7" s="599">
        <f>Pollution!X41</f>
        <v>116.07</v>
      </c>
      <c r="Y7" s="599">
        <f>Pollution!Y41</f>
        <v>116.07</v>
      </c>
      <c r="Z7" s="599">
        <f>Pollution!Z41</f>
        <v>116.07</v>
      </c>
      <c r="AA7" s="599">
        <f>Pollution!AA41</f>
        <v>116.07</v>
      </c>
    </row>
    <row r="8" spans="1:29" s="72" customFormat="1" ht="15">
      <c r="A8" s="72" t="s">
        <v>254</v>
      </c>
      <c r="B8" s="599"/>
      <c r="C8" s="599"/>
      <c r="D8" s="599"/>
      <c r="E8" s="599"/>
      <c r="F8" s="599">
        <f>Pollution!F42</f>
        <v>3031.6169851670197</v>
      </c>
      <c r="G8" s="599">
        <f>Pollution!G42</f>
        <v>3143.402965982682</v>
      </c>
      <c r="H8" s="599">
        <f>Pollution!H42</f>
        <v>3259.7496366981841</v>
      </c>
      <c r="I8" s="599">
        <f>Pollution!I42</f>
        <v>3380.8551546138624</v>
      </c>
      <c r="J8" s="599">
        <f>Pollution!J42</f>
        <v>3506.9265018175697</v>
      </c>
      <c r="K8" s="599">
        <f>Pollution!K42</f>
        <v>3638.1798783848017</v>
      </c>
      <c r="L8" s="599">
        <f>Pollution!L42</f>
        <v>3774.8411129301912</v>
      </c>
      <c r="M8" s="599">
        <f>Pollution!M42</f>
        <v>3917.1460912679377</v>
      </c>
      <c r="N8" s="599">
        <f>Pollution!N42</f>
        <v>4065.3412039715181</v>
      </c>
      <c r="O8" s="599">
        <f>Pollution!O42</f>
        <v>4219.6838136573151</v>
      </c>
      <c r="P8" s="599">
        <f>Pollution!P42</f>
        <v>4380.4427428524705</v>
      </c>
      <c r="Q8" s="599">
        <f>Pollution!Q42</f>
        <v>4547.8987833445462</v>
      </c>
      <c r="R8" s="599">
        <f>Pollution!R42</f>
        <v>4722.3452279494259</v>
      </c>
      <c r="S8" s="599">
        <f>Pollution!S42</f>
        <v>4904.0884256744366</v>
      </c>
      <c r="T8" s="599">
        <f>Pollution!T42</f>
        <v>5093.448361295942</v>
      </c>
      <c r="U8" s="599">
        <f>Pollution!U42</f>
        <v>5290.7592604147603</v>
      </c>
      <c r="V8" s="599">
        <f>Pollution!V42</f>
        <v>5496.3702210987858</v>
      </c>
      <c r="W8" s="599">
        <f>Pollution!W42</f>
        <v>5710.6458732701594</v>
      </c>
      <c r="X8" s="599">
        <f>Pollution!X42</f>
        <v>5933.9670670444048</v>
      </c>
      <c r="Y8" s="599">
        <f>Pollution!Y42</f>
        <v>6166.7315912811337</v>
      </c>
      <c r="Z8" s="599">
        <f>Pollution!Z42</f>
        <v>6409.3549236604322</v>
      </c>
      <c r="AA8" s="599">
        <f>Pollution!AA42</f>
        <v>6662.271013655788</v>
      </c>
    </row>
    <row r="9" spans="1:29">
      <c r="B9" s="596"/>
      <c r="C9" s="596"/>
      <c r="D9" s="596"/>
      <c r="E9" s="596"/>
      <c r="F9" s="596"/>
      <c r="G9" s="596"/>
      <c r="H9" s="596"/>
      <c r="I9" s="596"/>
      <c r="J9" s="596"/>
      <c r="K9" s="596"/>
      <c r="L9" s="596"/>
      <c r="M9" s="596"/>
      <c r="N9" s="596"/>
      <c r="O9" s="596"/>
      <c r="P9" s="596"/>
      <c r="Q9" s="596"/>
      <c r="R9" s="596"/>
      <c r="S9" s="596"/>
      <c r="T9" s="596"/>
      <c r="U9" s="596"/>
      <c r="V9" s="596"/>
      <c r="W9" s="596"/>
      <c r="X9" s="596"/>
      <c r="Y9" s="596"/>
      <c r="Z9" s="596"/>
      <c r="AA9" s="596"/>
    </row>
    <row r="10" spans="1:29">
      <c r="A10" s="72" t="s">
        <v>507</v>
      </c>
      <c r="B10" s="596"/>
      <c r="C10" s="596"/>
      <c r="D10" s="596"/>
      <c r="E10" s="596"/>
      <c r="F10" s="597">
        <f>F7*Pollution!$E$73</f>
        <v>0</v>
      </c>
      <c r="G10" s="597">
        <f>G7*Pollution!$E$73</f>
        <v>0</v>
      </c>
      <c r="H10" s="597">
        <f>H7*Pollution!$E$73</f>
        <v>0</v>
      </c>
      <c r="I10" s="597">
        <f>I7*Pollution!$E$73</f>
        <v>39169.068193016654</v>
      </c>
      <c r="J10" s="597">
        <f>J7*Pollution!$E$73</f>
        <v>156676.27277206662</v>
      </c>
      <c r="K10" s="597">
        <f>K7*Pollution!$E$73</f>
        <v>156676.27277206662</v>
      </c>
      <c r="L10" s="597">
        <f>L7*Pollution!$E$73</f>
        <v>156676.27277206662</v>
      </c>
      <c r="M10" s="597">
        <f>M7*Pollution!$E$73</f>
        <v>156676.27277206662</v>
      </c>
      <c r="N10" s="597">
        <f>N7*Pollution!$E$73</f>
        <v>156676.27277206662</v>
      </c>
      <c r="O10" s="597">
        <f>O7*Pollution!$E$73</f>
        <v>156676.27277206662</v>
      </c>
      <c r="P10" s="597">
        <f>P7*Pollution!$E$73</f>
        <v>156676.27277206662</v>
      </c>
      <c r="Q10" s="597">
        <f>Q7*Pollution!$E$73</f>
        <v>156676.27277206662</v>
      </c>
      <c r="R10" s="597">
        <f>R7*Pollution!$E$73</f>
        <v>156676.27277206662</v>
      </c>
      <c r="S10" s="597">
        <f>S7*Pollution!$E$73</f>
        <v>156676.27277206662</v>
      </c>
      <c r="T10" s="597">
        <f>T7*Pollution!$E$73</f>
        <v>156676.27277206662</v>
      </c>
      <c r="U10" s="597">
        <f>U7*Pollution!$E$73</f>
        <v>156676.27277206662</v>
      </c>
      <c r="V10" s="597">
        <f>V7*Pollution!$E$73</f>
        <v>156676.27277206662</v>
      </c>
      <c r="W10" s="597">
        <f>W7*Pollution!$E$73</f>
        <v>156676.27277206662</v>
      </c>
      <c r="X10" s="597">
        <f>X7*Pollution!$E$73</f>
        <v>156676.27277206662</v>
      </c>
      <c r="Y10" s="597">
        <f>Y7*Pollution!$E$73</f>
        <v>156676.27277206662</v>
      </c>
      <c r="Z10" s="597">
        <f>Z7*Pollution!$E$73</f>
        <v>156676.27277206662</v>
      </c>
      <c r="AA10" s="597">
        <f>AA7*Pollution!$E$73</f>
        <v>156676.27277206662</v>
      </c>
    </row>
    <row r="11" spans="1:29">
      <c r="A11" s="72" t="s">
        <v>509</v>
      </c>
      <c r="B11" s="596"/>
      <c r="C11" s="596"/>
      <c r="D11" s="596"/>
      <c r="E11" s="596"/>
      <c r="F11" s="596">
        <f>F10*$B$13</f>
        <v>0</v>
      </c>
      <c r="G11" s="596">
        <f t="shared" ref="G11:AA11" si="0">G10*$B$13</f>
        <v>0</v>
      </c>
      <c r="H11" s="596">
        <f t="shared" si="0"/>
        <v>0</v>
      </c>
      <c r="I11" s="596">
        <f t="shared" si="0"/>
        <v>607120.55699175817</v>
      </c>
      <c r="J11" s="596">
        <f t="shared" si="0"/>
        <v>2428482.2279670327</v>
      </c>
      <c r="K11" s="596">
        <f t="shared" si="0"/>
        <v>2428482.2279670327</v>
      </c>
      <c r="L11" s="596">
        <f t="shared" si="0"/>
        <v>2428482.2279670327</v>
      </c>
      <c r="M11" s="596">
        <f t="shared" si="0"/>
        <v>2428482.2279670327</v>
      </c>
      <c r="N11" s="596">
        <f t="shared" si="0"/>
        <v>2428482.2279670327</v>
      </c>
      <c r="O11" s="596">
        <f t="shared" si="0"/>
        <v>2428482.2279670327</v>
      </c>
      <c r="P11" s="596">
        <f t="shared" si="0"/>
        <v>2428482.2279670327</v>
      </c>
      <c r="Q11" s="596">
        <f t="shared" si="0"/>
        <v>2428482.2279670327</v>
      </c>
      <c r="R11" s="596">
        <f t="shared" si="0"/>
        <v>2428482.2279670327</v>
      </c>
      <c r="S11" s="596">
        <f t="shared" si="0"/>
        <v>2428482.2279670327</v>
      </c>
      <c r="T11" s="596">
        <f t="shared" si="0"/>
        <v>2428482.2279670327</v>
      </c>
      <c r="U11" s="596">
        <f t="shared" si="0"/>
        <v>2428482.2279670327</v>
      </c>
      <c r="V11" s="596">
        <f t="shared" si="0"/>
        <v>2428482.2279670327</v>
      </c>
      <c r="W11" s="596">
        <f t="shared" si="0"/>
        <v>2428482.2279670327</v>
      </c>
      <c r="X11" s="596">
        <f t="shared" si="0"/>
        <v>2428482.2279670327</v>
      </c>
      <c r="Y11" s="596">
        <f t="shared" si="0"/>
        <v>2428482.2279670327</v>
      </c>
      <c r="Z11" s="596">
        <f t="shared" si="0"/>
        <v>2428482.2279670327</v>
      </c>
      <c r="AA11" s="596">
        <f t="shared" si="0"/>
        <v>2428482.2279670327</v>
      </c>
    </row>
    <row r="12" spans="1:29">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row>
    <row r="13" spans="1:29">
      <c r="A13" s="72" t="s">
        <v>508</v>
      </c>
      <c r="B13" s="644">
        <v>15.5</v>
      </c>
      <c r="C13" s="596"/>
      <c r="D13" s="596"/>
      <c r="E13" s="596"/>
      <c r="F13" s="644">
        <v>15.5</v>
      </c>
      <c r="G13" s="596"/>
      <c r="H13" s="596"/>
      <c r="I13" s="596"/>
      <c r="J13" s="596"/>
      <c r="K13" s="596"/>
      <c r="L13" s="596"/>
      <c r="M13" s="596"/>
      <c r="N13" s="596"/>
      <c r="O13" s="596"/>
      <c r="P13" s="596"/>
      <c r="Q13" s="596"/>
      <c r="R13" s="596"/>
      <c r="S13" s="596"/>
      <c r="T13" s="596"/>
      <c r="U13" s="596"/>
      <c r="V13" s="596"/>
      <c r="W13" s="596"/>
      <c r="X13" s="596"/>
      <c r="Y13" s="596"/>
      <c r="Z13" s="596"/>
      <c r="AA13" s="596"/>
    </row>
    <row r="14" spans="1:29">
      <c r="A14" s="385" t="s">
        <v>562</v>
      </c>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row>
  </sheetData>
  <hyperlinks>
    <hyperlink ref="A14"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60" zoomScaleNormal="60" workbookViewId="0">
      <selection sqref="A1:XFD2"/>
    </sheetView>
  </sheetViews>
  <sheetFormatPr defaultRowHeight="15.75"/>
  <cols>
    <col min="1" max="1" width="18" customWidth="1"/>
    <col min="2" max="2" width="28.21875" customWidth="1"/>
    <col min="3" max="3" width="13.77734375" bestFit="1" customWidth="1"/>
    <col min="4" max="4" width="14.44140625" customWidth="1"/>
    <col min="5" max="5" width="12.88671875" customWidth="1"/>
    <col min="6" max="6" width="12" customWidth="1"/>
    <col min="7" max="7" width="12.88671875" customWidth="1"/>
    <col min="8" max="12" width="12" customWidth="1"/>
    <col min="13" max="13" width="13.33203125" customWidth="1"/>
    <col min="14" max="14" width="13.6640625" customWidth="1"/>
    <col min="15" max="16" width="13.109375" customWidth="1"/>
    <col min="17" max="17" width="12" customWidth="1"/>
    <col min="18" max="18" width="12.77734375" customWidth="1"/>
    <col min="19" max="24" width="12" customWidth="1"/>
  </cols>
  <sheetData>
    <row r="1" spans="1:24" s="1" customFormat="1" ht="20.25">
      <c r="A1" s="2" t="s">
        <v>576</v>
      </c>
      <c r="B1" s="2"/>
      <c r="C1" s="3"/>
    </row>
    <row r="2" spans="1:24" s="1" customFormat="1">
      <c r="A2" s="702" t="s">
        <v>595</v>
      </c>
      <c r="B2" s="9"/>
    </row>
    <row r="3" spans="1:24" s="1" customFormat="1">
      <c r="A3" s="702"/>
      <c r="B3" s="9"/>
    </row>
    <row r="4" spans="1:24" s="19" customFormat="1" ht="21">
      <c r="A4" s="252" t="s">
        <v>297</v>
      </c>
      <c r="C4" s="20">
        <v>2012</v>
      </c>
      <c r="D4" s="20">
        <v>2013</v>
      </c>
      <c r="E4" s="20">
        <v>2014</v>
      </c>
      <c r="F4" s="20">
        <v>2015</v>
      </c>
      <c r="G4" s="20">
        <v>2016</v>
      </c>
      <c r="H4" s="20">
        <v>2017</v>
      </c>
      <c r="I4" s="20">
        <v>2018</v>
      </c>
      <c r="J4" s="20">
        <v>2019</v>
      </c>
      <c r="K4" s="20">
        <v>2020</v>
      </c>
      <c r="L4" s="20">
        <v>2021</v>
      </c>
      <c r="M4" s="20">
        <v>2022</v>
      </c>
      <c r="N4" s="20">
        <v>2023</v>
      </c>
      <c r="O4" s="20">
        <v>2024</v>
      </c>
      <c r="P4" s="20">
        <v>2025</v>
      </c>
      <c r="Q4" s="20">
        <v>2026</v>
      </c>
      <c r="R4" s="20">
        <v>2027</v>
      </c>
      <c r="S4" s="20">
        <v>2028</v>
      </c>
      <c r="T4" s="20">
        <v>2029</v>
      </c>
      <c r="U4" s="20">
        <v>2030</v>
      </c>
      <c r="V4" s="20">
        <v>2031</v>
      </c>
      <c r="W4" s="20">
        <v>2032</v>
      </c>
      <c r="X4" s="20">
        <v>2033</v>
      </c>
    </row>
    <row r="5" spans="1:24" s="241" customFormat="1" ht="15">
      <c r="E5" s="249"/>
      <c r="F5" s="249"/>
      <c r="G5" s="249"/>
      <c r="H5" s="249"/>
      <c r="I5" s="249"/>
      <c r="J5" s="249"/>
      <c r="K5" s="249"/>
      <c r="L5" s="249"/>
      <c r="M5" s="249"/>
      <c r="N5" s="249"/>
      <c r="O5" s="249"/>
      <c r="P5" s="249"/>
      <c r="Q5" s="249"/>
      <c r="R5" s="249"/>
      <c r="S5" s="249"/>
      <c r="T5" s="249"/>
      <c r="U5" s="249"/>
      <c r="V5" s="249"/>
      <c r="W5" s="249"/>
      <c r="X5" s="249"/>
    </row>
    <row r="6" spans="1:24" s="264" customFormat="1" ht="15">
      <c r="A6" s="261" t="s">
        <v>469</v>
      </c>
      <c r="B6" s="262"/>
      <c r="C6" s="263"/>
      <c r="D6" s="263"/>
      <c r="E6" s="263"/>
      <c r="F6" s="263"/>
      <c r="G6" s="263"/>
      <c r="H6" s="263"/>
      <c r="I6" s="263"/>
      <c r="J6" s="263"/>
      <c r="K6" s="263"/>
      <c r="L6" s="263"/>
      <c r="M6" s="263"/>
      <c r="N6" s="263"/>
      <c r="O6" s="263"/>
      <c r="P6" s="263"/>
      <c r="Q6" s="263"/>
      <c r="R6" s="263"/>
      <c r="S6" s="263"/>
      <c r="T6" s="263"/>
      <c r="U6" s="263"/>
      <c r="V6" s="263"/>
      <c r="W6" s="263"/>
      <c r="X6" s="263"/>
    </row>
    <row r="7" spans="1:24" s="241" customFormat="1">
      <c r="A7" s="248"/>
      <c r="B7" s="248" t="s">
        <v>131</v>
      </c>
      <c r="C7" s="251">
        <f>Newcom!C7</f>
        <v>0</v>
      </c>
      <c r="D7" s="450">
        <f>Newcom!D7</f>
        <v>29017500</v>
      </c>
      <c r="E7" s="251">
        <f>Newcom!E7</f>
        <v>116070000</v>
      </c>
      <c r="F7" s="251">
        <f>Newcom!F7</f>
        <v>116070000</v>
      </c>
      <c r="G7" s="251">
        <f>Newcom!G7</f>
        <v>116070000</v>
      </c>
      <c r="H7" s="251">
        <f>Newcom!H7</f>
        <v>116070000</v>
      </c>
      <c r="I7" s="251">
        <f>Newcom!I7</f>
        <v>116070000</v>
      </c>
      <c r="J7" s="251">
        <f>Newcom!J7</f>
        <v>116070000</v>
      </c>
      <c r="K7" s="251">
        <f>Newcom!K7</f>
        <v>116070000</v>
      </c>
      <c r="L7" s="251">
        <f>Newcom!L7</f>
        <v>116070000</v>
      </c>
      <c r="M7" s="251">
        <f>Newcom!M7</f>
        <v>116070000</v>
      </c>
      <c r="N7" s="251">
        <f>Newcom!N7</f>
        <v>116070000</v>
      </c>
      <c r="O7" s="251">
        <f>Newcom!O7</f>
        <v>116070000</v>
      </c>
      <c r="P7" s="251">
        <f>Newcom!P7</f>
        <v>116070000</v>
      </c>
      <c r="Q7" s="251">
        <f>Newcom!Q7</f>
        <v>116070000</v>
      </c>
      <c r="R7" s="251">
        <f>Newcom!R7</f>
        <v>116070000</v>
      </c>
      <c r="S7" s="251">
        <f>Newcom!S7</f>
        <v>116070000</v>
      </c>
      <c r="T7" s="251">
        <f>Newcom!T7</f>
        <v>116070000</v>
      </c>
      <c r="U7" s="251">
        <f>Newcom!U7</f>
        <v>116070000</v>
      </c>
      <c r="V7" s="251">
        <f>Newcom!V7</f>
        <v>116070000</v>
      </c>
      <c r="W7" s="251">
        <f>Newcom!W7</f>
        <v>116070000</v>
      </c>
      <c r="X7" s="251">
        <f>Newcom!X7</f>
        <v>87052500</v>
      </c>
    </row>
    <row r="8" spans="1:24">
      <c r="B8" t="s">
        <v>302</v>
      </c>
      <c r="C8" s="448">
        <f>-($C$25-$C$27)*C7</f>
        <v>0</v>
      </c>
      <c r="D8" s="448">
        <f t="shared" ref="D8:X8" si="0">($C$25-$C$27)*D7</f>
        <v>928560</v>
      </c>
      <c r="E8" s="448">
        <f t="shared" si="0"/>
        <v>3714240</v>
      </c>
      <c r="F8" s="448">
        <f t="shared" si="0"/>
        <v>3714240</v>
      </c>
      <c r="G8" s="448">
        <f t="shared" si="0"/>
        <v>3714240</v>
      </c>
      <c r="H8" s="448">
        <f t="shared" si="0"/>
        <v>3714240</v>
      </c>
      <c r="I8" s="448">
        <f t="shared" si="0"/>
        <v>3714240</v>
      </c>
      <c r="J8" s="448">
        <f t="shared" si="0"/>
        <v>3714240</v>
      </c>
      <c r="K8" s="448">
        <f t="shared" si="0"/>
        <v>3714240</v>
      </c>
      <c r="L8" s="448">
        <f t="shared" si="0"/>
        <v>3714240</v>
      </c>
      <c r="M8" s="448">
        <f t="shared" si="0"/>
        <v>3714240</v>
      </c>
      <c r="N8" s="448">
        <f t="shared" si="0"/>
        <v>3714240</v>
      </c>
      <c r="O8" s="448">
        <f t="shared" si="0"/>
        <v>3714240</v>
      </c>
      <c r="P8" s="448">
        <f t="shared" si="0"/>
        <v>3714240</v>
      </c>
      <c r="Q8" s="448">
        <f t="shared" si="0"/>
        <v>3714240</v>
      </c>
      <c r="R8" s="448">
        <f t="shared" si="0"/>
        <v>3714240</v>
      </c>
      <c r="S8" s="448">
        <f t="shared" si="0"/>
        <v>3714240</v>
      </c>
      <c r="T8" s="448">
        <f t="shared" si="0"/>
        <v>3714240</v>
      </c>
      <c r="U8" s="448">
        <f t="shared" si="0"/>
        <v>3714240</v>
      </c>
      <c r="V8" s="448">
        <f t="shared" si="0"/>
        <v>3714240</v>
      </c>
      <c r="W8" s="448">
        <f t="shared" si="0"/>
        <v>3714240</v>
      </c>
      <c r="X8" s="448">
        <f t="shared" si="0"/>
        <v>2785680</v>
      </c>
    </row>
    <row r="9" spans="1:24">
      <c r="B9" t="s">
        <v>467</v>
      </c>
      <c r="C9">
        <f t="shared" ref="C9:X9" si="1">($C$27-$C$26)*C7</f>
        <v>0</v>
      </c>
      <c r="D9" s="448">
        <f t="shared" si="1"/>
        <v>435262.5</v>
      </c>
      <c r="E9" s="448">
        <f t="shared" si="1"/>
        <v>1741050</v>
      </c>
      <c r="F9" s="448">
        <f t="shared" si="1"/>
        <v>1741050</v>
      </c>
      <c r="G9" s="449">
        <f t="shared" si="1"/>
        <v>1741050</v>
      </c>
      <c r="H9" s="448">
        <f t="shared" si="1"/>
        <v>1741050</v>
      </c>
      <c r="I9" s="448">
        <f t="shared" si="1"/>
        <v>1741050</v>
      </c>
      <c r="J9" s="448">
        <f t="shared" si="1"/>
        <v>1741050</v>
      </c>
      <c r="K9" s="448">
        <f t="shared" si="1"/>
        <v>1741050</v>
      </c>
      <c r="L9" s="448">
        <f t="shared" si="1"/>
        <v>1741050</v>
      </c>
      <c r="M9" s="448">
        <f t="shared" si="1"/>
        <v>1741050</v>
      </c>
      <c r="N9" s="448">
        <f t="shared" si="1"/>
        <v>1741050</v>
      </c>
      <c r="O9" s="448">
        <f t="shared" si="1"/>
        <v>1741050</v>
      </c>
      <c r="P9" s="448">
        <f t="shared" si="1"/>
        <v>1741050</v>
      </c>
      <c r="Q9" s="448">
        <f t="shared" si="1"/>
        <v>1741050</v>
      </c>
      <c r="R9" s="448">
        <f t="shared" si="1"/>
        <v>1741050</v>
      </c>
      <c r="S9" s="448">
        <f t="shared" si="1"/>
        <v>1741050</v>
      </c>
      <c r="T9" s="448">
        <f t="shared" si="1"/>
        <v>1741050</v>
      </c>
      <c r="U9" s="448">
        <f t="shared" si="1"/>
        <v>1741050</v>
      </c>
      <c r="V9" s="448">
        <f t="shared" si="1"/>
        <v>1741050</v>
      </c>
      <c r="W9" s="448">
        <f t="shared" si="1"/>
        <v>1741050</v>
      </c>
      <c r="X9" s="448">
        <f t="shared" si="1"/>
        <v>1305787.5</v>
      </c>
    </row>
    <row r="10" spans="1:24" ht="16.5" thickBot="1">
      <c r="B10" t="s">
        <v>468</v>
      </c>
      <c r="C10" s="448">
        <f t="shared" ref="C10:X10" si="2">($I$31-$I$26)*C7</f>
        <v>0</v>
      </c>
      <c r="D10" s="448">
        <f t="shared" si="2"/>
        <v>1955779.5</v>
      </c>
      <c r="E10" s="448">
        <f t="shared" si="2"/>
        <v>7823118</v>
      </c>
      <c r="F10" s="448">
        <f t="shared" si="2"/>
        <v>7823118</v>
      </c>
      <c r="G10" s="448">
        <f t="shared" si="2"/>
        <v>7823118</v>
      </c>
      <c r="H10" s="448">
        <f t="shared" si="2"/>
        <v>7823118</v>
      </c>
      <c r="I10" s="448">
        <f t="shared" si="2"/>
        <v>7823118</v>
      </c>
      <c r="J10" s="448">
        <f t="shared" si="2"/>
        <v>7823118</v>
      </c>
      <c r="K10" s="448">
        <f t="shared" si="2"/>
        <v>7823118</v>
      </c>
      <c r="L10" s="448">
        <f t="shared" si="2"/>
        <v>7823118</v>
      </c>
      <c r="M10" s="448">
        <f t="shared" si="2"/>
        <v>7823118</v>
      </c>
      <c r="N10" s="448">
        <f t="shared" si="2"/>
        <v>7823118</v>
      </c>
      <c r="O10" s="448">
        <f t="shared" si="2"/>
        <v>7823118</v>
      </c>
      <c r="P10" s="448">
        <f t="shared" si="2"/>
        <v>7823118</v>
      </c>
      <c r="Q10" s="448">
        <f t="shared" si="2"/>
        <v>7823118</v>
      </c>
      <c r="R10" s="448">
        <f t="shared" si="2"/>
        <v>7823118</v>
      </c>
      <c r="S10" s="448">
        <f t="shared" si="2"/>
        <v>7823118</v>
      </c>
      <c r="T10" s="448">
        <f t="shared" si="2"/>
        <v>7823118</v>
      </c>
      <c r="U10" s="448">
        <f t="shared" si="2"/>
        <v>7823118</v>
      </c>
      <c r="V10" s="448">
        <f t="shared" si="2"/>
        <v>7823118</v>
      </c>
      <c r="W10" s="448">
        <f t="shared" si="2"/>
        <v>7823118</v>
      </c>
      <c r="X10" s="448">
        <f t="shared" si="2"/>
        <v>5867338.5</v>
      </c>
    </row>
    <row r="11" spans="1:24" s="487" customFormat="1" ht="16.5" thickBot="1">
      <c r="A11" s="490"/>
      <c r="B11" s="487" t="s">
        <v>487</v>
      </c>
      <c r="C11" s="491">
        <f>($C$26-$I$26)*C7</f>
        <v>0</v>
      </c>
      <c r="D11" s="493">
        <f>($C$25-$C$26)*D7</f>
        <v>1363822.5</v>
      </c>
      <c r="E11" s="493">
        <f t="shared" ref="E11:X11" si="3">($C$25-$C$26)*E7</f>
        <v>5455290</v>
      </c>
      <c r="F11" s="493">
        <f t="shared" si="3"/>
        <v>5455290</v>
      </c>
      <c r="G11" s="493">
        <f t="shared" si="3"/>
        <v>5455290</v>
      </c>
      <c r="H11" s="493">
        <f t="shared" si="3"/>
        <v>5455290</v>
      </c>
      <c r="I11" s="493">
        <f t="shared" si="3"/>
        <v>5455290</v>
      </c>
      <c r="J11" s="493">
        <f t="shared" si="3"/>
        <v>5455290</v>
      </c>
      <c r="K11" s="493">
        <f t="shared" si="3"/>
        <v>5455290</v>
      </c>
      <c r="L11" s="493">
        <f t="shared" si="3"/>
        <v>5455290</v>
      </c>
      <c r="M11" s="493">
        <f t="shared" si="3"/>
        <v>5455290</v>
      </c>
      <c r="N11" s="493">
        <f t="shared" si="3"/>
        <v>5455290</v>
      </c>
      <c r="O11" s="493">
        <f t="shared" si="3"/>
        <v>5455290</v>
      </c>
      <c r="P11" s="493">
        <f t="shared" si="3"/>
        <v>5455290</v>
      </c>
      <c r="Q11" s="493">
        <f t="shared" si="3"/>
        <v>5455290</v>
      </c>
      <c r="R11" s="493">
        <f t="shared" si="3"/>
        <v>5455290</v>
      </c>
      <c r="S11" s="493">
        <f t="shared" si="3"/>
        <v>5455290</v>
      </c>
      <c r="T11" s="493">
        <f t="shared" si="3"/>
        <v>5455290</v>
      </c>
      <c r="U11" s="493">
        <f t="shared" si="3"/>
        <v>5455290</v>
      </c>
      <c r="V11" s="493">
        <f t="shared" si="3"/>
        <v>5455290</v>
      </c>
      <c r="W11" s="493">
        <f t="shared" si="3"/>
        <v>5455290</v>
      </c>
      <c r="X11" s="493">
        <f t="shared" si="3"/>
        <v>4091467.5</v>
      </c>
    </row>
    <row r="12" spans="1:24" s="453" customFormat="1">
      <c r="A12" s="452" t="s">
        <v>471</v>
      </c>
    </row>
    <row r="13" spans="1:24" s="72" customFormat="1" ht="30">
      <c r="B13" s="454" t="s">
        <v>254</v>
      </c>
      <c r="C13" s="74">
        <v>3031.6169851670197</v>
      </c>
      <c r="D13" s="74">
        <v>3143.402965982682</v>
      </c>
      <c r="E13" s="74">
        <v>3259.7496366981841</v>
      </c>
      <c r="F13" s="74">
        <v>3380.8551546138624</v>
      </c>
      <c r="G13" s="74">
        <v>3506.9265018175697</v>
      </c>
      <c r="H13" s="74">
        <v>3638.1798783848017</v>
      </c>
      <c r="I13" s="74">
        <v>3774.8411129301912</v>
      </c>
      <c r="J13" s="74">
        <v>3917.1460912679377</v>
      </c>
      <c r="K13" s="74">
        <v>4065.3412039715181</v>
      </c>
      <c r="L13" s="74">
        <v>4219.6838136573151</v>
      </c>
      <c r="M13" s="74">
        <v>4380.4427428524705</v>
      </c>
      <c r="N13" s="74">
        <v>4547.8987833445462</v>
      </c>
      <c r="O13" s="74">
        <v>4722.3452279494259</v>
      </c>
      <c r="P13" s="74">
        <v>4904.0884256744366</v>
      </c>
      <c r="Q13" s="74">
        <v>5093.448361295942</v>
      </c>
      <c r="R13" s="74">
        <v>5290.7592604147603</v>
      </c>
      <c r="S13" s="74">
        <v>5496.3702210987858</v>
      </c>
      <c r="T13" s="74">
        <v>5710.6458732701594</v>
      </c>
      <c r="U13" s="74">
        <v>5933.9670670444048</v>
      </c>
      <c r="V13" s="74">
        <v>6166.7315912811337</v>
      </c>
      <c r="W13" s="74">
        <v>6409.3549236604322</v>
      </c>
      <c r="X13" s="74">
        <v>6662.271013655788</v>
      </c>
    </row>
    <row r="14" spans="1:24" s="72" customFormat="1" ht="30">
      <c r="B14" s="455" t="s">
        <v>470</v>
      </c>
      <c r="C14" s="456">
        <f>C13*1000000</f>
        <v>3031616985.1670198</v>
      </c>
      <c r="D14" s="456">
        <f t="shared" ref="D14:X14" si="4">D13*1000000</f>
        <v>3143402965.9826818</v>
      </c>
      <c r="E14" s="456">
        <f t="shared" si="4"/>
        <v>3259749636.698184</v>
      </c>
      <c r="F14" s="456">
        <f t="shared" si="4"/>
        <v>3380855154.6138625</v>
      </c>
      <c r="G14" s="456">
        <f t="shared" si="4"/>
        <v>3506926501.8175697</v>
      </c>
      <c r="H14" s="456">
        <f t="shared" si="4"/>
        <v>3638179878.3848019</v>
      </c>
      <c r="I14" s="456">
        <f t="shared" si="4"/>
        <v>3774841112.930191</v>
      </c>
      <c r="J14" s="456">
        <f t="shared" si="4"/>
        <v>3917146091.2679377</v>
      </c>
      <c r="K14" s="456">
        <f t="shared" si="4"/>
        <v>4065341203.971518</v>
      </c>
      <c r="L14" s="456">
        <f t="shared" si="4"/>
        <v>4219683813.6573153</v>
      </c>
      <c r="M14" s="456">
        <f t="shared" si="4"/>
        <v>4380442742.8524704</v>
      </c>
      <c r="N14" s="456">
        <f t="shared" si="4"/>
        <v>4547898783.3445463</v>
      </c>
      <c r="O14" s="456">
        <f t="shared" si="4"/>
        <v>4722345227.9494257</v>
      </c>
      <c r="P14" s="456">
        <f t="shared" si="4"/>
        <v>4904088425.6744366</v>
      </c>
      <c r="Q14" s="456">
        <f t="shared" si="4"/>
        <v>5093448361.2959423</v>
      </c>
      <c r="R14" s="456">
        <f t="shared" si="4"/>
        <v>5290759260.4147606</v>
      </c>
      <c r="S14" s="456">
        <f t="shared" si="4"/>
        <v>5496370221.0987854</v>
      </c>
      <c r="T14" s="456">
        <f t="shared" si="4"/>
        <v>5710645873.2701597</v>
      </c>
      <c r="U14" s="456">
        <f t="shared" si="4"/>
        <v>5933967067.044405</v>
      </c>
      <c r="V14" s="456">
        <f t="shared" si="4"/>
        <v>6166731591.2811337</v>
      </c>
      <c r="W14" s="456">
        <f t="shared" si="4"/>
        <v>6409354923.6604319</v>
      </c>
      <c r="X14" s="456">
        <f t="shared" si="4"/>
        <v>6662271013.6557884</v>
      </c>
    </row>
    <row r="15" spans="1:24" s="72" customFormat="1">
      <c r="B15" t="s">
        <v>302</v>
      </c>
      <c r="C15" s="457">
        <f>C8/C14</f>
        <v>0</v>
      </c>
      <c r="D15" s="457">
        <f t="shared" ref="D15:X15" si="5">D8/D14</f>
        <v>2.9539960674743339E-4</v>
      </c>
      <c r="E15" s="457">
        <f t="shared" si="5"/>
        <v>1.139424929505375E-3</v>
      </c>
      <c r="F15" s="457">
        <f t="shared" si="5"/>
        <v>1.0986096209804096E-3</v>
      </c>
      <c r="G15" s="457">
        <f t="shared" si="5"/>
        <v>1.0591154385684969E-3</v>
      </c>
      <c r="H15" s="457">
        <f t="shared" si="5"/>
        <v>1.0209060915506371E-3</v>
      </c>
      <c r="I15" s="457">
        <f t="shared" si="5"/>
        <v>9.8394604935222031E-4</v>
      </c>
      <c r="J15" s="457">
        <f t="shared" si="5"/>
        <v>9.4820053004398945E-4</v>
      </c>
      <c r="K15" s="457">
        <f t="shared" si="5"/>
        <v>9.136354892847568E-4</v>
      </c>
      <c r="L15" s="457">
        <f t="shared" si="5"/>
        <v>8.8021760966511058E-4</v>
      </c>
      <c r="M15" s="457">
        <f t="shared" si="5"/>
        <v>8.4791429041287947E-4</v>
      </c>
      <c r="N15" s="457">
        <f t="shared" si="5"/>
        <v>8.1669363742271548E-4</v>
      </c>
      <c r="O15" s="457">
        <f t="shared" si="5"/>
        <v>7.8652445357384995E-4</v>
      </c>
      <c r="P15" s="457">
        <f t="shared" si="5"/>
        <v>7.5737622930181932E-4</v>
      </c>
      <c r="Q15" s="457">
        <f t="shared" si="5"/>
        <v>7.2921913339177823E-4</v>
      </c>
      <c r="R15" s="457">
        <f t="shared" si="5"/>
        <v>7.0202400396286941E-4</v>
      </c>
      <c r="S15" s="457">
        <f t="shared" si="5"/>
        <v>6.7576233961501276E-4</v>
      </c>
      <c r="T15" s="457">
        <f t="shared" si="5"/>
        <v>6.504062907113986E-4</v>
      </c>
      <c r="U15" s="457">
        <f t="shared" si="5"/>
        <v>6.259286507719012E-4</v>
      </c>
      <c r="V15" s="457">
        <f t="shared" si="5"/>
        <v>6.0230284795456288E-4</v>
      </c>
      <c r="W15" s="457">
        <f t="shared" si="5"/>
        <v>5.7950293660422991E-4</v>
      </c>
      <c r="X15" s="457">
        <f t="shared" si="5"/>
        <v>4.1812769163700138E-4</v>
      </c>
    </row>
    <row r="16" spans="1:24" s="72" customFormat="1">
      <c r="B16" t="s">
        <v>467</v>
      </c>
      <c r="C16" s="457">
        <f>C9/C14</f>
        <v>0</v>
      </c>
      <c r="D16" s="457">
        <f t="shared" ref="D16:X16" si="6">D9/D14</f>
        <v>1.3846856566285942E-4</v>
      </c>
      <c r="E16" s="457">
        <f t="shared" si="6"/>
        <v>5.3410543570564452E-4</v>
      </c>
      <c r="F16" s="457">
        <f t="shared" si="6"/>
        <v>5.1497325983456701E-4</v>
      </c>
      <c r="G16" s="457">
        <f t="shared" si="6"/>
        <v>4.964603618289829E-4</v>
      </c>
      <c r="H16" s="457">
        <f t="shared" si="6"/>
        <v>4.7854973041436109E-4</v>
      </c>
      <c r="I16" s="457">
        <f t="shared" si="6"/>
        <v>4.6122471063385329E-4</v>
      </c>
      <c r="J16" s="457">
        <f t="shared" si="6"/>
        <v>4.4446899845812006E-4</v>
      </c>
      <c r="K16" s="457">
        <f t="shared" si="6"/>
        <v>4.2826663560222971E-4</v>
      </c>
      <c r="L16" s="457">
        <f t="shared" si="6"/>
        <v>4.1260200453052058E-4</v>
      </c>
      <c r="M16" s="457">
        <f t="shared" si="6"/>
        <v>3.9745982363103725E-4</v>
      </c>
      <c r="N16" s="457">
        <f t="shared" si="6"/>
        <v>3.8282514254189793E-4</v>
      </c>
      <c r="O16" s="457">
        <f t="shared" si="6"/>
        <v>3.6868333761274215E-4</v>
      </c>
      <c r="P16" s="457">
        <f t="shared" si="6"/>
        <v>3.550201074852278E-4</v>
      </c>
      <c r="Q16" s="457">
        <f t="shared" si="6"/>
        <v>3.4182146877739604E-4</v>
      </c>
      <c r="R16" s="457">
        <f t="shared" si="6"/>
        <v>3.2907375185759505E-4</v>
      </c>
      <c r="S16" s="457">
        <f t="shared" si="6"/>
        <v>3.1676359669453722E-4</v>
      </c>
      <c r="T16" s="457">
        <f t="shared" si="6"/>
        <v>3.048779487709681E-4</v>
      </c>
      <c r="U16" s="457">
        <f t="shared" si="6"/>
        <v>2.9340405504932869E-4</v>
      </c>
      <c r="V16" s="457">
        <f t="shared" si="6"/>
        <v>2.8232945997870134E-4</v>
      </c>
      <c r="W16" s="457">
        <f t="shared" si="6"/>
        <v>2.7164200153323274E-4</v>
      </c>
      <c r="X16" s="457">
        <f t="shared" si="6"/>
        <v>1.9599735545484438E-4</v>
      </c>
    </row>
    <row r="17" spans="1:24" s="72" customFormat="1" ht="16.5" thickBot="1">
      <c r="B17" t="s">
        <v>468</v>
      </c>
      <c r="C17" s="457">
        <f>C10/C14</f>
        <v>0</v>
      </c>
      <c r="D17" s="457">
        <f t="shared" ref="D17:X17" si="7">D10/D14</f>
        <v>6.2218542171178163E-4</v>
      </c>
      <c r="E17" s="457">
        <f t="shared" si="7"/>
        <v>2.3999137577706961E-3</v>
      </c>
      <c r="F17" s="457">
        <f t="shared" si="7"/>
        <v>2.3139465141899878E-3</v>
      </c>
      <c r="G17" s="457">
        <f t="shared" si="7"/>
        <v>2.2307618924848967E-3</v>
      </c>
      <c r="H17" s="457">
        <f t="shared" si="7"/>
        <v>2.150283455328529E-3</v>
      </c>
      <c r="I17" s="457">
        <f t="shared" si="7"/>
        <v>2.072436366448114E-3</v>
      </c>
      <c r="J17" s="457">
        <f t="shared" si="7"/>
        <v>1.9971473664051526E-3</v>
      </c>
      <c r="K17" s="457">
        <f t="shared" si="7"/>
        <v>1.9243447493060188E-3</v>
      </c>
      <c r="L17" s="457">
        <f t="shared" si="7"/>
        <v>1.8539583403571391E-3</v>
      </c>
      <c r="M17" s="457">
        <f t="shared" si="7"/>
        <v>1.7859194741821273E-3</v>
      </c>
      <c r="N17" s="457">
        <f t="shared" si="7"/>
        <v>1.7201609738215946E-3</v>
      </c>
      <c r="O17" s="457">
        <f t="shared" si="7"/>
        <v>1.6566171303399216E-3</v>
      </c>
      <c r="P17" s="457">
        <f t="shared" si="7"/>
        <v>1.5952236829669569E-3</v>
      </c>
      <c r="Q17" s="457">
        <f t="shared" si="7"/>
        <v>1.5359177997064329E-3</v>
      </c>
      <c r="R17" s="457">
        <f t="shared" si="7"/>
        <v>1.4786380583467938E-3</v>
      </c>
      <c r="S17" s="457">
        <f t="shared" si="7"/>
        <v>1.4233244278141206E-3</v>
      </c>
      <c r="T17" s="457">
        <f t="shared" si="7"/>
        <v>1.3699182498108833E-3</v>
      </c>
      <c r="U17" s="457">
        <f t="shared" si="7"/>
        <v>1.3183622206883168E-3</v>
      </c>
      <c r="V17" s="457">
        <f t="shared" si="7"/>
        <v>1.268600373504298E-3</v>
      </c>
      <c r="W17" s="457">
        <f t="shared" si="7"/>
        <v>1.2205780602226593E-3</v>
      </c>
      <c r="X17" s="457">
        <f t="shared" si="7"/>
        <v>8.806814505104341E-4</v>
      </c>
    </row>
    <row r="18" spans="1:24" s="489" customFormat="1" ht="16.5" thickBot="1">
      <c r="A18" s="486"/>
      <c r="B18" s="487" t="s">
        <v>487</v>
      </c>
      <c r="C18" s="488">
        <f>C11/C14</f>
        <v>0</v>
      </c>
      <c r="D18" s="488">
        <f t="shared" ref="D18:X18" si="8">D11/D14</f>
        <v>4.3386817241029282E-4</v>
      </c>
      <c r="E18" s="492">
        <f t="shared" si="8"/>
        <v>1.6735303652110195E-3</v>
      </c>
      <c r="F18" s="488">
        <f t="shared" si="8"/>
        <v>1.6135828808149769E-3</v>
      </c>
      <c r="G18" s="488">
        <f t="shared" si="8"/>
        <v>1.5555758003974799E-3</v>
      </c>
      <c r="H18" s="488">
        <f t="shared" si="8"/>
        <v>1.499455821964998E-3</v>
      </c>
      <c r="I18" s="488">
        <f t="shared" si="8"/>
        <v>1.4451707599860736E-3</v>
      </c>
      <c r="J18" s="488">
        <f t="shared" si="8"/>
        <v>1.3926695285021095E-3</v>
      </c>
      <c r="K18" s="488">
        <f t="shared" si="8"/>
        <v>1.3419021248869865E-3</v>
      </c>
      <c r="L18" s="488">
        <f t="shared" si="8"/>
        <v>1.2928196141956312E-3</v>
      </c>
      <c r="M18" s="488">
        <f t="shared" si="8"/>
        <v>1.2453741140439167E-3</v>
      </c>
      <c r="N18" s="488">
        <f t="shared" si="8"/>
        <v>1.1995187799646134E-3</v>
      </c>
      <c r="O18" s="488">
        <f t="shared" si="8"/>
        <v>1.155207791186592E-3</v>
      </c>
      <c r="P18" s="488">
        <f t="shared" si="8"/>
        <v>1.1123963367870471E-3</v>
      </c>
      <c r="Q18" s="488">
        <f t="shared" si="8"/>
        <v>1.0710406021691742E-3</v>
      </c>
      <c r="R18" s="488">
        <f t="shared" si="8"/>
        <v>1.0310977558204645E-3</v>
      </c>
      <c r="S18" s="488">
        <f t="shared" si="8"/>
        <v>9.9252593630955004E-4</v>
      </c>
      <c r="T18" s="488">
        <f t="shared" si="8"/>
        <v>9.5528423948236659E-4</v>
      </c>
      <c r="U18" s="488">
        <f t="shared" si="8"/>
        <v>9.1933270582122983E-4</v>
      </c>
      <c r="V18" s="488">
        <f t="shared" si="8"/>
        <v>8.8463230793326417E-4</v>
      </c>
      <c r="W18" s="488">
        <f t="shared" si="8"/>
        <v>8.5114493813746265E-4</v>
      </c>
      <c r="X18" s="488">
        <f t="shared" si="8"/>
        <v>6.141250470918457E-4</v>
      </c>
    </row>
    <row r="19" spans="1:24" s="72" customFormat="1" ht="15">
      <c r="B19" s="74"/>
      <c r="C19" s="74" t="s">
        <v>472</v>
      </c>
      <c r="D19" s="74"/>
      <c r="E19" s="74"/>
      <c r="F19" s="74"/>
      <c r="G19" s="74"/>
      <c r="H19" s="74"/>
      <c r="I19" s="74"/>
      <c r="J19" s="74"/>
      <c r="K19" s="74"/>
      <c r="L19" s="74"/>
      <c r="M19" s="74"/>
      <c r="N19" s="74"/>
      <c r="O19" s="74"/>
      <c r="P19" s="74"/>
      <c r="Q19" s="74"/>
      <c r="R19" s="74"/>
      <c r="S19" s="74"/>
      <c r="T19" s="74"/>
      <c r="U19" s="74"/>
      <c r="V19" s="74"/>
      <c r="W19" s="74"/>
      <c r="X19" s="74"/>
    </row>
    <row r="20" spans="1:24" s="72" customFormat="1" ht="15">
      <c r="B20" s="74"/>
      <c r="C20" s="74"/>
      <c r="D20" s="74"/>
      <c r="E20" s="74"/>
      <c r="F20" s="440"/>
      <c r="G20" s="74"/>
      <c r="H20" s="74"/>
      <c r="I20" s="74"/>
      <c r="J20" s="74"/>
      <c r="K20" s="74"/>
      <c r="L20" s="74"/>
      <c r="M20" s="74"/>
      <c r="N20" s="74"/>
      <c r="O20" s="74"/>
      <c r="P20" s="74"/>
      <c r="Q20" s="74"/>
      <c r="R20" s="74"/>
      <c r="S20" s="74"/>
      <c r="T20" s="74"/>
      <c r="U20" s="74"/>
      <c r="V20" s="74"/>
      <c r="W20" s="74"/>
      <c r="X20" s="74"/>
    </row>
    <row r="21" spans="1:24" s="72" customFormat="1" ht="15">
      <c r="B21" s="74"/>
      <c r="C21" s="74"/>
      <c r="D21" s="74"/>
      <c r="E21" s="74"/>
      <c r="F21" s="74"/>
      <c r="G21" s="74"/>
      <c r="H21" s="74"/>
      <c r="I21" s="74"/>
      <c r="J21" s="74"/>
      <c r="K21" s="74"/>
      <c r="L21" s="74"/>
      <c r="M21" s="74"/>
      <c r="N21" s="74"/>
      <c r="O21" s="74"/>
      <c r="P21" s="74"/>
      <c r="Q21" s="74"/>
      <c r="R21" s="74"/>
      <c r="S21" s="74"/>
      <c r="T21" s="74"/>
      <c r="U21" s="74"/>
      <c r="V21" s="74"/>
      <c r="W21" s="74"/>
      <c r="X21" s="74"/>
    </row>
    <row r="22" spans="1:24" s="72" customFormat="1" ht="15">
      <c r="B22" s="74"/>
      <c r="C22" s="74"/>
      <c r="D22" s="74"/>
      <c r="E22" s="74"/>
      <c r="F22" s="74"/>
      <c r="G22" s="74"/>
      <c r="H22" s="74"/>
      <c r="I22" s="74"/>
      <c r="J22" s="74"/>
      <c r="K22" s="74"/>
      <c r="L22" s="74"/>
      <c r="M22" s="74"/>
      <c r="N22" s="74"/>
      <c r="O22" s="74"/>
      <c r="P22" s="74"/>
      <c r="Q22" s="74"/>
      <c r="R22" s="74"/>
      <c r="S22" s="74"/>
      <c r="T22" s="74"/>
      <c r="U22" s="74"/>
      <c r="V22" s="74"/>
      <c r="W22" s="74"/>
      <c r="X22" s="74"/>
    </row>
    <row r="23" spans="1:24" s="72" customFormat="1" thickBot="1">
      <c r="B23" s="74"/>
      <c r="C23" s="74"/>
      <c r="D23" s="74"/>
      <c r="E23" s="74"/>
      <c r="F23" s="74"/>
      <c r="G23" s="74"/>
      <c r="H23" s="74"/>
      <c r="I23" s="74"/>
      <c r="J23" s="74"/>
      <c r="K23" s="74" t="s">
        <v>491</v>
      </c>
      <c r="L23" s="74"/>
      <c r="M23" s="74"/>
      <c r="N23" s="74"/>
      <c r="O23" s="74"/>
      <c r="P23" s="74"/>
      <c r="Q23" s="74" t="s">
        <v>498</v>
      </c>
      <c r="R23" s="74" t="s">
        <v>463</v>
      </c>
      <c r="S23" s="74"/>
      <c r="T23" s="74"/>
      <c r="U23" s="74"/>
      <c r="V23" s="74"/>
      <c r="W23" s="74"/>
      <c r="X23" s="74"/>
    </row>
    <row r="24" spans="1:24">
      <c r="A24" s="475" t="s">
        <v>21</v>
      </c>
      <c r="B24" s="476"/>
      <c r="C24" s="461"/>
      <c r="D24" s="460"/>
      <c r="F24" s="471" t="s">
        <v>321</v>
      </c>
      <c r="G24" s="470"/>
      <c r="H24" s="470"/>
      <c r="I24" s="469"/>
      <c r="K24" s="569"/>
      <c r="L24" s="570" t="s">
        <v>484</v>
      </c>
      <c r="M24" s="570" t="s">
        <v>485</v>
      </c>
      <c r="N24" s="571" t="s">
        <v>486</v>
      </c>
      <c r="P24" s="497" t="s">
        <v>492</v>
      </c>
      <c r="Q24">
        <v>19731</v>
      </c>
      <c r="R24">
        <v>15758</v>
      </c>
    </row>
    <row r="25" spans="1:24">
      <c r="A25" s="479"/>
      <c r="B25" s="269" t="s">
        <v>298</v>
      </c>
      <c r="C25" s="395">
        <v>0.127</v>
      </c>
      <c r="D25" s="480" t="s">
        <v>299</v>
      </c>
      <c r="F25" s="468" t="s">
        <v>317</v>
      </c>
      <c r="G25" s="467" t="s">
        <v>316</v>
      </c>
      <c r="H25" s="467" t="s">
        <v>315</v>
      </c>
      <c r="I25" s="459" t="s">
        <v>299</v>
      </c>
      <c r="K25" s="572" t="s">
        <v>483</v>
      </c>
      <c r="L25" s="573">
        <v>-0.2</v>
      </c>
      <c r="M25" s="573">
        <v>-0.53500000000000003</v>
      </c>
      <c r="N25" s="574">
        <v>-0.7</v>
      </c>
      <c r="P25" t="s">
        <v>493</v>
      </c>
      <c r="Q25">
        <v>1077</v>
      </c>
      <c r="R25">
        <v>646</v>
      </c>
    </row>
    <row r="26" spans="1:24" ht="16.5" thickBot="1">
      <c r="A26" s="481"/>
      <c r="B26" s="259" t="s">
        <v>300</v>
      </c>
      <c r="C26" s="395">
        <v>0.08</v>
      </c>
      <c r="D26" s="480" t="s">
        <v>299</v>
      </c>
      <c r="F26" s="468" t="s">
        <v>318</v>
      </c>
      <c r="G26" s="467" t="s">
        <v>322</v>
      </c>
      <c r="H26" s="466">
        <v>27.6</v>
      </c>
      <c r="I26" s="459">
        <v>2.7600000000000003E-2</v>
      </c>
      <c r="K26" s="575" t="s">
        <v>490</v>
      </c>
      <c r="L26" s="576">
        <f>$C$39*L25</f>
        <v>0.4938733632117302</v>
      </c>
      <c r="M26" s="576">
        <f>$C$39*M25</f>
        <v>1.3211112465913784</v>
      </c>
      <c r="N26" s="577">
        <f>$C$39*N25</f>
        <v>1.7285567712410554</v>
      </c>
      <c r="P26" t="s">
        <v>494</v>
      </c>
      <c r="Q26">
        <v>18589</v>
      </c>
      <c r="R26">
        <v>7436</v>
      </c>
    </row>
    <row r="27" spans="1:24" ht="16.5" thickBot="1">
      <c r="A27" s="482"/>
      <c r="B27" s="483" t="s">
        <v>291</v>
      </c>
      <c r="C27" s="484">
        <v>9.5000000000000001E-2</v>
      </c>
      <c r="D27" s="485" t="s">
        <v>299</v>
      </c>
      <c r="F27" s="468" t="s">
        <v>319</v>
      </c>
      <c r="G27" s="467" t="s">
        <v>322</v>
      </c>
      <c r="H27" s="466">
        <v>16.3</v>
      </c>
      <c r="I27" s="459">
        <v>1.6300000000000002E-2</v>
      </c>
      <c r="P27" t="s">
        <v>495</v>
      </c>
      <c r="Q27">
        <v>1161</v>
      </c>
      <c r="R27">
        <v>1161</v>
      </c>
    </row>
    <row r="28" spans="1:24">
      <c r="F28" s="468" t="s">
        <v>320</v>
      </c>
      <c r="G28" s="467" t="s">
        <v>322</v>
      </c>
      <c r="H28" s="466">
        <v>15.9</v>
      </c>
      <c r="I28" s="459">
        <v>1.5900000000000001E-2</v>
      </c>
      <c r="P28" t="s">
        <v>496</v>
      </c>
      <c r="Q28">
        <v>5142</v>
      </c>
      <c r="R28">
        <v>771</v>
      </c>
    </row>
    <row r="29" spans="1:24">
      <c r="A29" s="19"/>
      <c r="B29" s="19"/>
      <c r="C29" s="19"/>
      <c r="D29" s="19"/>
      <c r="F29" s="468" t="s">
        <v>323</v>
      </c>
      <c r="G29" s="467" t="s">
        <v>322</v>
      </c>
      <c r="H29" s="466">
        <v>18.2</v>
      </c>
      <c r="I29" s="459">
        <v>1.8200000000000001E-2</v>
      </c>
      <c r="P29" t="s">
        <v>497</v>
      </c>
      <c r="Q29">
        <v>4812</v>
      </c>
      <c r="R29">
        <v>722</v>
      </c>
    </row>
    <row r="30" spans="1:24">
      <c r="A30" s="19"/>
      <c r="B30" s="19"/>
      <c r="C30" s="318"/>
      <c r="D30" s="19"/>
      <c r="F30" s="468" t="s">
        <v>324</v>
      </c>
      <c r="G30" s="467" t="s">
        <v>322</v>
      </c>
      <c r="H30" s="466">
        <v>20.9</v>
      </c>
      <c r="I30" s="459">
        <v>2.0899999999999998E-2</v>
      </c>
      <c r="P30" s="451" t="s">
        <v>499</v>
      </c>
      <c r="Q30">
        <f>SUM(Q24:Q29)</f>
        <v>50512</v>
      </c>
      <c r="R30">
        <f>SUM(R24:R29)</f>
        <v>26494</v>
      </c>
    </row>
    <row r="31" spans="1:24" ht="16.5" thickBot="1">
      <c r="B31" s="19"/>
      <c r="C31" s="19"/>
      <c r="D31" s="19"/>
      <c r="F31" s="458" t="s">
        <v>325</v>
      </c>
      <c r="G31" s="465" t="s">
        <v>326</v>
      </c>
      <c r="H31" s="464">
        <v>95</v>
      </c>
      <c r="I31" s="463">
        <v>9.5000000000000001E-2</v>
      </c>
      <c r="J31">
        <f>I31-I26</f>
        <v>6.7400000000000002E-2</v>
      </c>
      <c r="K31">
        <f>C25-C26</f>
        <v>4.7E-2</v>
      </c>
      <c r="P31" s="451" t="s">
        <v>500</v>
      </c>
      <c r="Q31" s="495">
        <f>Q26/Q30</f>
        <v>0.36801156160912257</v>
      </c>
      <c r="R31" s="495">
        <f>R26/R30</f>
        <v>0.28066732090284591</v>
      </c>
    </row>
    <row r="32" spans="1:24">
      <c r="A32" s="20" t="s">
        <v>482</v>
      </c>
      <c r="B32" s="19"/>
      <c r="C32" s="19"/>
      <c r="D32" s="19"/>
      <c r="F32" s="477"/>
      <c r="G32" s="477"/>
      <c r="H32" s="478"/>
      <c r="I32" s="462"/>
    </row>
    <row r="33" spans="1:5">
      <c r="A33" s="474" t="s">
        <v>473</v>
      </c>
      <c r="B33" s="474">
        <v>53.2</v>
      </c>
      <c r="C33" s="474" t="s">
        <v>474</v>
      </c>
      <c r="D33" s="474">
        <v>4.5470085470085471E-2</v>
      </c>
      <c r="E33" s="473" t="s">
        <v>475</v>
      </c>
    </row>
    <row r="34" spans="1:5">
      <c r="A34" s="474" t="s">
        <v>476</v>
      </c>
      <c r="B34" s="474">
        <v>92</v>
      </c>
      <c r="C34" s="474" t="s">
        <v>474</v>
      </c>
      <c r="D34" s="474">
        <v>6.7771639042357279E-2</v>
      </c>
      <c r="E34" s="473" t="s">
        <v>477</v>
      </c>
    </row>
    <row r="35" spans="1:5" ht="18">
      <c r="A35" s="474" t="s">
        <v>478</v>
      </c>
      <c r="B35" s="472">
        <v>1357.5</v>
      </c>
      <c r="C35" s="474" t="s">
        <v>479</v>
      </c>
      <c r="D35" s="474"/>
      <c r="E35" s="473" t="s">
        <v>480</v>
      </c>
    </row>
    <row r="36" spans="1:5">
      <c r="A36" s="474" t="s">
        <v>481</v>
      </c>
      <c r="B36" s="474">
        <v>1170</v>
      </c>
      <c r="C36" s="474"/>
      <c r="D36" s="474"/>
      <c r="E36" s="473" t="s">
        <v>480</v>
      </c>
    </row>
    <row r="37" spans="1:5">
      <c r="A37" s="474" t="s">
        <v>488</v>
      </c>
      <c r="C37" s="494">
        <f>-E18</f>
        <v>-1.6735303652110195E-3</v>
      </c>
    </row>
    <row r="38" spans="1:5">
      <c r="A38" s="474" t="s">
        <v>489</v>
      </c>
      <c r="C38" s="496">
        <f>C37/D34</f>
        <v>-2.4693668160586508E-2</v>
      </c>
    </row>
    <row r="39" spans="1:5">
      <c r="C39">
        <f>C38*100</f>
        <v>-2.4693668160586508</v>
      </c>
    </row>
  </sheetData>
  <hyperlinks>
    <hyperlink ref="E35" r:id="rId1"/>
    <hyperlink ref="E34" r:id="rId2"/>
    <hyperlink ref="E33" r:id="rId3"/>
    <hyperlink ref="E36" r:id="rId4"/>
  </hyperlinks>
  <pageMargins left="0.7" right="0.7" top="0.75" bottom="0.75" header="0.3" footer="0.3"/>
  <pageSetup orientation="portrait"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
  <sheetViews>
    <sheetView zoomScale="96" zoomScaleNormal="96" workbookViewId="0">
      <selection activeCell="H21" sqref="H21"/>
    </sheetView>
  </sheetViews>
  <sheetFormatPr defaultColWidth="8.88671875" defaultRowHeight="15"/>
  <cols>
    <col min="1" max="1" width="23.33203125" style="19" customWidth="1"/>
    <col min="2" max="3" width="10" style="19" customWidth="1"/>
    <col min="4" max="4" width="12.109375" style="19" customWidth="1"/>
    <col min="5" max="5" width="12.33203125" style="19" customWidth="1"/>
    <col min="6" max="6" width="9" style="19" bestFit="1" customWidth="1"/>
    <col min="7" max="7" width="9.88671875" style="19" customWidth="1"/>
    <col min="8" max="8" width="13.6640625" style="19" bestFit="1" customWidth="1"/>
    <col min="9" max="13" width="10" style="19" bestFit="1" customWidth="1"/>
    <col min="14" max="14" width="13.5546875" style="19" customWidth="1"/>
    <col min="15" max="15" width="11.5546875" style="19" customWidth="1"/>
    <col min="16" max="16" width="10.21875" style="19" bestFit="1" customWidth="1"/>
    <col min="17" max="17" width="10" style="19" bestFit="1" customWidth="1"/>
    <col min="18" max="18" width="10.21875" style="19" bestFit="1" customWidth="1"/>
    <col min="19" max="19" width="10" style="19" bestFit="1" customWidth="1"/>
    <col min="20" max="24" width="10.21875" style="19" bestFit="1" customWidth="1"/>
    <col min="25" max="25" width="12.5546875" style="19" bestFit="1" customWidth="1"/>
    <col min="26" max="26" width="11.5546875" style="19" customWidth="1"/>
    <col min="27" max="27" width="12.88671875" style="19" customWidth="1"/>
    <col min="28" max="28" width="12.21875" style="19" customWidth="1"/>
    <col min="29" max="16384" width="8.88671875" style="19"/>
  </cols>
  <sheetData>
    <row r="1" spans="1:28" s="1" customFormat="1" ht="20.25">
      <c r="A1" s="2" t="s">
        <v>576</v>
      </c>
      <c r="B1" s="2"/>
      <c r="C1" s="3"/>
    </row>
    <row r="2" spans="1:28" s="1" customFormat="1" ht="15.75">
      <c r="A2" s="702" t="s">
        <v>595</v>
      </c>
      <c r="B2" s="9"/>
    </row>
    <row r="3" spans="1:28" s="1" customFormat="1" ht="15.75">
      <c r="A3" s="702"/>
      <c r="B3" s="9"/>
    </row>
    <row r="4" spans="1:28" ht="15.75" thickBot="1">
      <c r="B4" s="19" t="s">
        <v>520</v>
      </c>
      <c r="C4" s="19" t="s">
        <v>549</v>
      </c>
      <c r="D4" s="19">
        <v>2009</v>
      </c>
      <c r="E4" s="19">
        <v>2010</v>
      </c>
      <c r="F4" s="19">
        <v>2011</v>
      </c>
      <c r="G4" s="19">
        <v>2012</v>
      </c>
      <c r="H4" s="19">
        <v>2013</v>
      </c>
      <c r="I4" s="19">
        <v>2014</v>
      </c>
      <c r="J4" s="19">
        <v>2015</v>
      </c>
      <c r="K4" s="19">
        <v>2016</v>
      </c>
      <c r="L4" s="19">
        <v>2017</v>
      </c>
      <c r="M4" s="19">
        <v>2018</v>
      </c>
      <c r="N4" s="19">
        <v>2019</v>
      </c>
      <c r="O4" s="19">
        <v>2020</v>
      </c>
      <c r="P4" s="19">
        <v>2021</v>
      </c>
      <c r="Q4" s="19">
        <v>2022</v>
      </c>
      <c r="R4" s="19">
        <v>2023</v>
      </c>
      <c r="S4" s="19">
        <v>2024</v>
      </c>
      <c r="T4" s="19">
        <v>2025</v>
      </c>
      <c r="U4" s="19">
        <v>2026</v>
      </c>
      <c r="V4" s="19">
        <v>2027</v>
      </c>
      <c r="W4" s="19">
        <v>2028</v>
      </c>
      <c r="X4" s="19">
        <v>2029</v>
      </c>
      <c r="Y4" s="19">
        <v>2030</v>
      </c>
      <c r="Z4" s="19">
        <v>2031</v>
      </c>
      <c r="AA4" s="19">
        <v>2032</v>
      </c>
      <c r="AB4" s="19">
        <v>2033</v>
      </c>
    </row>
    <row r="5" spans="1:28">
      <c r="A5" s="19" t="s">
        <v>517</v>
      </c>
      <c r="B5" s="601">
        <f>RATE(10,,D5,-N5)</f>
        <v>3.4383133944040377E-2</v>
      </c>
      <c r="C5" s="602">
        <f>B5*0.75</f>
        <v>2.5787350458030281E-2</v>
      </c>
      <c r="D5" s="628">
        <v>2710000</v>
      </c>
      <c r="E5" s="616"/>
      <c r="F5" s="617"/>
      <c r="G5" s="607"/>
      <c r="H5" s="608"/>
      <c r="I5" s="608"/>
      <c r="J5" s="608"/>
      <c r="K5" s="608"/>
      <c r="L5" s="608"/>
      <c r="M5" s="608"/>
      <c r="N5" s="626">
        <v>3800000</v>
      </c>
      <c r="O5" s="609">
        <f>N5*(1+$C$5)</f>
        <v>3897991.9317405154</v>
      </c>
      <c r="P5" s="609">
        <f t="shared" ref="P5:AB5" si="0">O5*(1+$C$5)</f>
        <v>3998510.8157668831</v>
      </c>
      <c r="Q5" s="609">
        <f t="shared" si="0"/>
        <v>4101621.8154832888</v>
      </c>
      <c r="R5" s="609">
        <f t="shared" si="0"/>
        <v>4207391.7746854592</v>
      </c>
      <c r="S5" s="609">
        <f t="shared" si="0"/>
        <v>4315889.2608935079</v>
      </c>
      <c r="T5" s="609">
        <f t="shared" si="0"/>
        <v>4427184.6098022182</v>
      </c>
      <c r="U5" s="609">
        <f t="shared" si="0"/>
        <v>4541349.9708775869</v>
      </c>
      <c r="V5" s="609">
        <f t="shared" si="0"/>
        <v>4658459.3541291729</v>
      </c>
      <c r="W5" s="609">
        <f t="shared" si="0"/>
        <v>4778588.6780885914</v>
      </c>
      <c r="X5" s="609">
        <f t="shared" si="0"/>
        <v>4901815.819025238</v>
      </c>
      <c r="Y5" s="609">
        <f t="shared" si="0"/>
        <v>5028220.6614311589</v>
      </c>
      <c r="Z5" s="609">
        <f t="shared" si="0"/>
        <v>5157885.1498077931</v>
      </c>
      <c r="AA5" s="609">
        <f t="shared" si="0"/>
        <v>5290893.3417881569</v>
      </c>
      <c r="AB5" s="610">
        <f t="shared" si="0"/>
        <v>5427331.4626289075</v>
      </c>
    </row>
    <row r="6" spans="1:28">
      <c r="A6" s="19" t="s">
        <v>518</v>
      </c>
      <c r="B6" s="603">
        <f>RATE(10,,D6,-N6)</f>
        <v>2.5911446285445453E-2</v>
      </c>
      <c r="C6" s="604">
        <f t="shared" ref="C6:C7" si="1">B6*0.75</f>
        <v>1.9433584714084091E-2</v>
      </c>
      <c r="D6" s="629">
        <v>2710000</v>
      </c>
      <c r="E6" s="619"/>
      <c r="F6" s="620"/>
      <c r="G6" s="611"/>
      <c r="H6" s="598"/>
      <c r="I6" s="598"/>
      <c r="J6" s="598"/>
      <c r="K6" s="598"/>
      <c r="L6" s="598"/>
      <c r="M6" s="598"/>
      <c r="N6" s="627">
        <v>3500000</v>
      </c>
      <c r="O6" s="599">
        <f>N6*(1+$C$6)</f>
        <v>3568017.5464992942</v>
      </c>
      <c r="P6" s="599">
        <f t="shared" ref="P6:AB6" si="2">O6*(1+$C$6)</f>
        <v>3637356.9177505267</v>
      </c>
      <c r="Q6" s="599">
        <f t="shared" si="2"/>
        <v>3708043.8015469913</v>
      </c>
      <c r="R6" s="599">
        <f t="shared" si="2"/>
        <v>3780104.384887889</v>
      </c>
      <c r="S6" s="599">
        <f t="shared" si="2"/>
        <v>3853565.3636796884</v>
      </c>
      <c r="T6" s="599">
        <f t="shared" si="2"/>
        <v>3928453.9526260179</v>
      </c>
      <c r="U6" s="599">
        <f t="shared" si="2"/>
        <v>4004797.8953097542</v>
      </c>
      <c r="V6" s="599">
        <f t="shared" si="2"/>
        <v>4082625.4744710419</v>
      </c>
      <c r="W6" s="599">
        <f t="shared" si="2"/>
        <v>4161965.5224850527</v>
      </c>
      <c r="X6" s="599">
        <f t="shared" si="2"/>
        <v>4242847.4320433633</v>
      </c>
      <c r="Y6" s="599">
        <f t="shared" si="2"/>
        <v>4325301.167042912</v>
      </c>
      <c r="Z6" s="599">
        <f t="shared" si="2"/>
        <v>4409357.2736865673</v>
      </c>
      <c r="AA6" s="599">
        <f t="shared" si="2"/>
        <v>4495046.8917994183</v>
      </c>
      <c r="AB6" s="612">
        <f t="shared" si="2"/>
        <v>4582401.7663649824</v>
      </c>
    </row>
    <row r="7" spans="1:28">
      <c r="A7" s="19" t="s">
        <v>519</v>
      </c>
      <c r="B7" s="603">
        <f>RATE(10,,D7,-N7)</f>
        <v>4.4787576879190744E-2</v>
      </c>
      <c r="C7" s="604">
        <f t="shared" si="1"/>
        <v>3.3590682659393058E-2</v>
      </c>
      <c r="D7" s="629">
        <v>2710000</v>
      </c>
      <c r="E7" s="619"/>
      <c r="F7" s="620"/>
      <c r="G7" s="611"/>
      <c r="H7" s="598"/>
      <c r="I7" s="598"/>
      <c r="J7" s="598"/>
      <c r="K7" s="598"/>
      <c r="L7" s="598"/>
      <c r="M7" s="598"/>
      <c r="N7" s="627">
        <v>4200000</v>
      </c>
      <c r="O7" s="599">
        <f>N7*(1+$C$7)</f>
        <v>4341080.867169451</v>
      </c>
      <c r="P7" s="599">
        <f t="shared" ref="P7:AB7" si="3">O7*(1+$C$7)</f>
        <v>4486900.7369773025</v>
      </c>
      <c r="Q7" s="599">
        <f t="shared" si="3"/>
        <v>4637618.7957573039</v>
      </c>
      <c r="R7" s="599">
        <f t="shared" si="3"/>
        <v>4793399.577020824</v>
      </c>
      <c r="S7" s="599">
        <f t="shared" si="3"/>
        <v>4954413.1410721987</v>
      </c>
      <c r="T7" s="599">
        <f t="shared" si="3"/>
        <v>5120835.2606574818</v>
      </c>
      <c r="U7" s="599">
        <f t="shared" si="3"/>
        <v>5292847.6128492579</v>
      </c>
      <c r="V7" s="599">
        <f t="shared" si="3"/>
        <v>5470637.9773770031</v>
      </c>
      <c r="W7" s="599">
        <f t="shared" si="3"/>
        <v>5654400.4416194977</v>
      </c>
      <c r="X7" s="599">
        <f t="shared" si="3"/>
        <v>5844335.6124830702</v>
      </c>
      <c r="Y7" s="599">
        <f t="shared" si="3"/>
        <v>6040650.8353969781</v>
      </c>
      <c r="Z7" s="599">
        <f t="shared" si="3"/>
        <v>6243560.420664995</v>
      </c>
      <c r="AA7" s="599">
        <f t="shared" si="3"/>
        <v>6453285.8774202997</v>
      </c>
      <c r="AB7" s="612">
        <f t="shared" si="3"/>
        <v>6670056.1554390676</v>
      </c>
    </row>
    <row r="8" spans="1:28" s="20" customFormat="1">
      <c r="A8" s="19" t="s">
        <v>527</v>
      </c>
      <c r="B8" s="603">
        <f>RATE(10,,D8,-N8)</f>
        <v>1.3976637918580332E-2</v>
      </c>
      <c r="C8" s="604">
        <f>RATE(21,,D8,-Y8)</f>
        <v>1.1786112313583013E-2</v>
      </c>
      <c r="D8" s="629">
        <v>3041142</v>
      </c>
      <c r="E8" s="634">
        <v>3086918</v>
      </c>
      <c r="F8" s="635">
        <v>3133318</v>
      </c>
      <c r="G8" s="636">
        <v>3179997</v>
      </c>
      <c r="H8" s="637">
        <v>3226516</v>
      </c>
      <c r="I8" s="637">
        <v>3272555</v>
      </c>
      <c r="J8" s="637">
        <v>3318100</v>
      </c>
      <c r="K8" s="637">
        <v>3363204</v>
      </c>
      <c r="L8" s="637">
        <v>3407696</v>
      </c>
      <c r="M8" s="637">
        <v>3451325</v>
      </c>
      <c r="N8" s="627">
        <v>3493946</v>
      </c>
      <c r="O8" s="637">
        <v>3535432</v>
      </c>
      <c r="P8" s="637">
        <v>3575716</v>
      </c>
      <c r="Q8" s="637">
        <v>3614817</v>
      </c>
      <c r="R8" s="637">
        <v>3652762</v>
      </c>
      <c r="S8" s="637">
        <v>3689617</v>
      </c>
      <c r="T8" s="637">
        <v>3725352</v>
      </c>
      <c r="U8" s="637">
        <v>3759929</v>
      </c>
      <c r="V8" s="637">
        <v>3793481</v>
      </c>
      <c r="W8" s="637">
        <v>3826205</v>
      </c>
      <c r="X8" s="637">
        <v>3858236</v>
      </c>
      <c r="Y8" s="637">
        <v>3889553</v>
      </c>
      <c r="Z8" s="637">
        <v>3889554</v>
      </c>
      <c r="AA8" s="637">
        <v>3889555</v>
      </c>
      <c r="AB8" s="638">
        <v>3889556</v>
      </c>
    </row>
    <row r="9" spans="1:28">
      <c r="A9" s="19" t="s">
        <v>529</v>
      </c>
      <c r="B9" s="603"/>
      <c r="C9" s="604"/>
      <c r="D9" s="618"/>
      <c r="E9" s="621"/>
      <c r="F9" s="622"/>
      <c r="G9" s="639">
        <v>3179997</v>
      </c>
      <c r="H9" s="599">
        <f>G9*(1+$C$10)</f>
        <v>3226711.1559300004</v>
      </c>
      <c r="I9" s="599">
        <f t="shared" ref="I9" si="4">H9*(1+$C$10)</f>
        <v>3274111.5428106124</v>
      </c>
      <c r="J9" s="599">
        <f t="shared" ref="J9" si="5">I9*(1+$C$10)</f>
        <v>3322208.2413745006</v>
      </c>
      <c r="K9" s="599">
        <f t="shared" ref="K9" si="6">J9*(1+$C$10)</f>
        <v>3371011.4804402925</v>
      </c>
      <c r="L9" s="599">
        <f t="shared" ref="L9" si="7">K9*(1+$C$10)</f>
        <v>3420531.6390879606</v>
      </c>
      <c r="M9" s="599">
        <f t="shared" ref="M9" si="8">L9*(1+$C$10)</f>
        <v>3470779.2488661632</v>
      </c>
      <c r="N9" s="599">
        <f t="shared" ref="N9" si="9">M9*(1+$C$10)</f>
        <v>3521764.9960320075</v>
      </c>
      <c r="O9" s="599">
        <f t="shared" ref="O9" si="10">N9*(1+$C$10)</f>
        <v>3573499.7238237178</v>
      </c>
      <c r="P9" s="599">
        <f t="shared" ref="P9" si="11">O9*(1+$C$10)</f>
        <v>3625994.4347666884</v>
      </c>
      <c r="Q9" s="599">
        <f t="shared" ref="Q9" si="12">P9*(1+$C$10)</f>
        <v>3679260.2930134116</v>
      </c>
      <c r="R9" s="599">
        <f t="shared" ref="R9" si="13">Q9*(1+$C$10)</f>
        <v>3733308.6267177789</v>
      </c>
      <c r="S9" s="599">
        <f t="shared" ref="S9" si="14">R9*(1+$C$10)</f>
        <v>3788150.9304442634</v>
      </c>
      <c r="T9" s="599">
        <f t="shared" ref="T9" si="15">S9*(1+$C$10)</f>
        <v>3843798.86761249</v>
      </c>
      <c r="U9" s="599">
        <f t="shared" ref="U9" si="16">T9*(1+$C$10)</f>
        <v>3900264.2729777177</v>
      </c>
      <c r="V9" s="599">
        <f t="shared" ref="V9" si="17">U9*(1+$C$10)</f>
        <v>3957559.1551477606</v>
      </c>
      <c r="W9" s="599">
        <f t="shared" ref="W9" si="18">V9*(1+$C$10)</f>
        <v>4015695.6991368816</v>
      </c>
      <c r="X9" s="599">
        <f t="shared" ref="X9" si="19">W9*(1+$C$10)</f>
        <v>4074686.2689572028</v>
      </c>
      <c r="Y9" s="599">
        <f t="shared" ref="Y9" si="20">X9*(1+$C$10)</f>
        <v>4134543.4102481846</v>
      </c>
      <c r="Z9" s="599">
        <f t="shared" ref="Z9" si="21">Y9*(1+$C$10)</f>
        <v>4195279.8529447308</v>
      </c>
      <c r="AA9" s="599">
        <f t="shared" ref="AA9" si="22">Z9*(1+$C$10)</f>
        <v>4256908.5139844893</v>
      </c>
      <c r="AB9" s="612">
        <f t="shared" ref="AB9" si="23">AA9*(1+$C$10)</f>
        <v>4319442.500054922</v>
      </c>
    </row>
    <row r="10" spans="1:28">
      <c r="A10" s="76" t="s">
        <v>530</v>
      </c>
      <c r="B10" s="605"/>
      <c r="C10" s="604">
        <v>1.469E-2</v>
      </c>
      <c r="D10" s="618"/>
      <c r="E10" s="619"/>
      <c r="F10" s="620"/>
      <c r="G10" s="611"/>
      <c r="H10" s="599"/>
      <c r="I10" s="599"/>
      <c r="J10" s="599"/>
      <c r="K10" s="599"/>
      <c r="L10" s="599"/>
      <c r="M10" s="599"/>
      <c r="N10" s="599"/>
      <c r="O10" s="599"/>
      <c r="P10" s="599"/>
      <c r="Q10" s="599"/>
      <c r="R10" s="599"/>
      <c r="S10" s="599"/>
      <c r="T10" s="599"/>
      <c r="U10" s="599"/>
      <c r="V10" s="599"/>
      <c r="W10" s="599"/>
      <c r="X10" s="599"/>
      <c r="Y10" s="599"/>
      <c r="Z10" s="599"/>
      <c r="AA10" s="599"/>
      <c r="AB10" s="612"/>
    </row>
    <row r="11" spans="1:28">
      <c r="A11" s="600" t="s">
        <v>532</v>
      </c>
      <c r="B11" s="605"/>
      <c r="C11" s="604"/>
      <c r="D11" s="618"/>
      <c r="E11" s="631">
        <v>2756000</v>
      </c>
      <c r="F11" s="620"/>
      <c r="G11" s="611"/>
      <c r="H11" s="599"/>
      <c r="I11" s="599"/>
      <c r="J11" s="599"/>
      <c r="K11" s="599"/>
      <c r="L11" s="599"/>
      <c r="M11" s="599"/>
      <c r="N11" s="599"/>
      <c r="O11" s="599"/>
      <c r="P11" s="599"/>
      <c r="Q11" s="599"/>
      <c r="R11" s="599"/>
      <c r="S11" s="599"/>
      <c r="T11" s="599"/>
      <c r="U11" s="599"/>
      <c r="V11" s="599"/>
      <c r="W11" s="599"/>
      <c r="X11" s="599"/>
      <c r="Y11" s="599"/>
      <c r="Z11" s="599"/>
      <c r="AA11" s="599"/>
      <c r="AB11" s="612"/>
    </row>
    <row r="12" spans="1:28">
      <c r="A12" s="600" t="s">
        <v>533</v>
      </c>
      <c r="B12" s="605"/>
      <c r="C12" s="604"/>
      <c r="D12" s="640">
        <v>2735800</v>
      </c>
      <c r="E12" s="631">
        <v>2780800</v>
      </c>
      <c r="F12" s="620">
        <f>E12*(1+$B$13)</f>
        <v>2818277.6153325252</v>
      </c>
      <c r="G12" s="611">
        <f>F12*(1+$B$13)</f>
        <v>2856260.3269146956</v>
      </c>
      <c r="H12" s="599">
        <f t="shared" ref="H12:AB12" si="24">G12*(1+$B$13)</f>
        <v>2894754.9420692055</v>
      </c>
      <c r="I12" s="599">
        <f t="shared" si="24"/>
        <v>2933768.3598629325</v>
      </c>
      <c r="J12" s="599">
        <f t="shared" si="24"/>
        <v>2973307.5723433974</v>
      </c>
      <c r="K12" s="599">
        <f t="shared" si="24"/>
        <v>3013379.6657918906</v>
      </c>
      <c r="L12" s="599">
        <f t="shared" si="24"/>
        <v>3053991.8219934879</v>
      </c>
      <c r="M12" s="599">
        <f t="shared" si="24"/>
        <v>3095151.3195241806</v>
      </c>
      <c r="N12" s="599">
        <f t="shared" si="24"/>
        <v>3136865.5350553533</v>
      </c>
      <c r="O12" s="599">
        <f t="shared" si="24"/>
        <v>3179141.9446758442</v>
      </c>
      <c r="P12" s="599">
        <f t="shared" si="24"/>
        <v>3221988.1252318197</v>
      </c>
      <c r="Q12" s="599">
        <f t="shared" si="24"/>
        <v>3265411.7556847115</v>
      </c>
      <c r="R12" s="599">
        <f t="shared" si="24"/>
        <v>3309420.6184874508</v>
      </c>
      <c r="S12" s="599">
        <f t="shared" si="24"/>
        <v>3354022.6009792518</v>
      </c>
      <c r="T12" s="599">
        <f t="shared" si="24"/>
        <v>3399225.6967991944</v>
      </c>
      <c r="U12" s="599">
        <f t="shared" si="24"/>
        <v>3445038.0073188562</v>
      </c>
      <c r="V12" s="599">
        <f t="shared" si="24"/>
        <v>3491467.7430942538</v>
      </c>
      <c r="W12" s="599">
        <f t="shared" si="24"/>
        <v>3538523.2253373517</v>
      </c>
      <c r="X12" s="599">
        <f t="shared" si="24"/>
        <v>3586212.8874074034</v>
      </c>
      <c r="Y12" s="599">
        <f t="shared" si="24"/>
        <v>3634545.2763223918</v>
      </c>
      <c r="Z12" s="599">
        <f t="shared" si="24"/>
        <v>3683529.0542908385</v>
      </c>
      <c r="AA12" s="599">
        <f t="shared" si="24"/>
        <v>3733173.0002642609</v>
      </c>
      <c r="AB12" s="612">
        <f t="shared" si="24"/>
        <v>3783486.0115105473</v>
      </c>
    </row>
    <row r="13" spans="1:28" ht="15.75" thickBot="1">
      <c r="A13" s="76" t="s">
        <v>548</v>
      </c>
      <c r="B13" s="624">
        <f>RATE(9,,D13,-L13)</f>
        <v>1.3477278240982774E-2</v>
      </c>
      <c r="C13" s="606"/>
      <c r="D13" s="630">
        <f>1000000*2.71</f>
        <v>2710000</v>
      </c>
      <c r="E13" s="632">
        <f>1000000*2.755</f>
        <v>2755000</v>
      </c>
      <c r="F13" s="623">
        <f>1000000*2.796</f>
        <v>2796000</v>
      </c>
      <c r="G13" s="613">
        <f>1000000*2.838</f>
        <v>2838000</v>
      </c>
      <c r="H13" s="614">
        <f>1000000*2.881</f>
        <v>2881000</v>
      </c>
      <c r="I13" s="614">
        <f>1000000*2.924</f>
        <v>2924000</v>
      </c>
      <c r="J13" s="614">
        <f>1000000*2.968</f>
        <v>2968000</v>
      </c>
      <c r="K13" s="614">
        <f>1000000*3.012</f>
        <v>3012000</v>
      </c>
      <c r="L13" s="614">
        <f>1000000*3.057</f>
        <v>3057000</v>
      </c>
      <c r="M13" s="614">
        <f>L13*(1+$B$13)</f>
        <v>3098200.0395826846</v>
      </c>
      <c r="N13" s="614">
        <f t="shared" ref="N13:AB13" si="25">M13*(1+$B$13)</f>
        <v>3139955.3435623646</v>
      </c>
      <c r="O13" s="614">
        <f t="shared" si="25"/>
        <v>3182273.3953918153</v>
      </c>
      <c r="P13" s="614">
        <f t="shared" si="25"/>
        <v>3225161.7793803881</v>
      </c>
      <c r="Q13" s="614">
        <f t="shared" si="25"/>
        <v>3268628.182053281</v>
      </c>
      <c r="R13" s="614">
        <f t="shared" si="25"/>
        <v>3312680.3935291311</v>
      </c>
      <c r="S13" s="614">
        <f t="shared" si="25"/>
        <v>3357326.308916172</v>
      </c>
      <c r="T13" s="614">
        <f t="shared" si="25"/>
        <v>3402573.9297272074</v>
      </c>
      <c r="U13" s="614">
        <f t="shared" si="25"/>
        <v>3448431.3653136557</v>
      </c>
      <c r="V13" s="614">
        <f t="shared" si="25"/>
        <v>3494906.8343189205</v>
      </c>
      <c r="W13" s="614">
        <f t="shared" si="25"/>
        <v>3542008.6661513494</v>
      </c>
      <c r="X13" s="614">
        <f t="shared" si="25"/>
        <v>3589745.3024770436</v>
      </c>
      <c r="Y13" s="614">
        <f t="shared" si="25"/>
        <v>3638125.2987327878</v>
      </c>
      <c r="Z13" s="614">
        <f t="shared" si="25"/>
        <v>3687157.3256593687</v>
      </c>
      <c r="AA13" s="614">
        <f t="shared" si="25"/>
        <v>3736850.1708555585</v>
      </c>
      <c r="AB13" s="615">
        <f t="shared" si="25"/>
        <v>3787212.7403530432</v>
      </c>
    </row>
    <row r="14" spans="1:28">
      <c r="A14" s="20" t="s">
        <v>521</v>
      </c>
    </row>
    <row r="15" spans="1:28">
      <c r="A15" s="19" t="s">
        <v>522</v>
      </c>
      <c r="D15" s="367">
        <f>D19/D5</f>
        <v>0.41044280442804426</v>
      </c>
      <c r="E15" s="95">
        <f>E21/E12</f>
        <v>0.41408947065592633</v>
      </c>
      <c r="Y15" s="95">
        <v>0.55500000000000005</v>
      </c>
    </row>
    <row r="16" spans="1:28">
      <c r="A16" s="19" t="s">
        <v>523</v>
      </c>
      <c r="C16" s="111">
        <f>RATE(21,,D16,-Y16)</f>
        <v>4.4775820478098714E-2</v>
      </c>
      <c r="D16" s="625">
        <f t="shared" ref="D16:D19" si="26">D17</f>
        <v>1112300</v>
      </c>
      <c r="Y16" s="22">
        <f>Y5*$Y$15</f>
        <v>2790662.4670942933</v>
      </c>
    </row>
    <row r="17" spans="1:25">
      <c r="A17" s="19" t="s">
        <v>524</v>
      </c>
      <c r="C17" s="111">
        <f>RATE(21,,D17,-Y17)</f>
        <v>3.7310857650673261E-2</v>
      </c>
      <c r="D17" s="625">
        <f t="shared" si="26"/>
        <v>1112300</v>
      </c>
      <c r="Y17" s="22">
        <f>Y6*$Y$15</f>
        <v>2400542.1477088165</v>
      </c>
    </row>
    <row r="18" spans="1:25">
      <c r="A18" s="19" t="s">
        <v>525</v>
      </c>
      <c r="C18" s="111">
        <f>RATE(21,,D18,-Y18)</f>
        <v>5.3942443082922661E-2</v>
      </c>
      <c r="D18" s="625">
        <f t="shared" si="26"/>
        <v>1112300</v>
      </c>
      <c r="Y18" s="22">
        <f>Y7*$Y$15</f>
        <v>3352561.2136453232</v>
      </c>
    </row>
    <row r="19" spans="1:25">
      <c r="A19" s="19" t="s">
        <v>526</v>
      </c>
      <c r="C19" s="111">
        <f>RATE(21,,D19,-Y19)</f>
        <v>3.2078883389360019E-2</v>
      </c>
      <c r="D19" s="625">
        <f t="shared" si="26"/>
        <v>1112300</v>
      </c>
      <c r="Y19" s="22">
        <f>Y8*$Y$15</f>
        <v>2158701.915</v>
      </c>
    </row>
    <row r="20" spans="1:25">
      <c r="A20" s="600" t="s">
        <v>531</v>
      </c>
      <c r="C20" s="111">
        <f t="shared" ref="C20:C22" si="27">RATE(21,,D20,-Y20)</f>
        <v>3.5085259503663431E-2</v>
      </c>
      <c r="D20" s="625">
        <f>D21</f>
        <v>1112300</v>
      </c>
      <c r="Y20" s="22">
        <f>Y9*$Y$15</f>
        <v>2294671.5926877428</v>
      </c>
    </row>
    <row r="21" spans="1:25">
      <c r="A21" s="19" t="s">
        <v>534</v>
      </c>
      <c r="C21" s="111">
        <f t="shared" si="27"/>
        <v>2.8751614903354254E-2</v>
      </c>
      <c r="D21" s="625">
        <v>1112300</v>
      </c>
      <c r="E21" s="22">
        <v>1151500</v>
      </c>
      <c r="Y21" s="22">
        <f>Y12*$Y$15</f>
        <v>2017172.6283589276</v>
      </c>
    </row>
    <row r="22" spans="1:25">
      <c r="A22" s="76" t="s">
        <v>548</v>
      </c>
      <c r="C22" s="111">
        <f t="shared" si="27"/>
        <v>2.8799845571178269E-2</v>
      </c>
      <c r="D22" s="625">
        <v>1112300</v>
      </c>
      <c r="Y22" s="22">
        <f>Y13*$Y$15</f>
        <v>2019159.5407966974</v>
      </c>
    </row>
    <row r="23" spans="1:25">
      <c r="B23" s="19" t="s">
        <v>552</v>
      </c>
      <c r="C23" s="111">
        <f>AVERAGE(C16:C22)</f>
        <v>3.7249246368464377E-2</v>
      </c>
    </row>
    <row r="24" spans="1:25">
      <c r="A24" s="19" t="s">
        <v>550</v>
      </c>
      <c r="C24" s="95">
        <v>0.04</v>
      </c>
      <c r="D24" s="74"/>
    </row>
    <row r="25" spans="1:25">
      <c r="C25" s="95"/>
      <c r="D25" s="74"/>
    </row>
    <row r="26" spans="1:25">
      <c r="B26" s="19">
        <v>2007</v>
      </c>
      <c r="C26" s="19">
        <v>2009</v>
      </c>
    </row>
    <row r="27" spans="1:25">
      <c r="A27" s="19" t="s">
        <v>551</v>
      </c>
      <c r="B27" s="19">
        <v>1031.2</v>
      </c>
      <c r="C27" s="19">
        <v>1112.3</v>
      </c>
      <c r="D27" s="111">
        <f>RATE(2,,B27,-C27)</f>
        <v>3.857895096866492E-2</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4"/>
  <sheetViews>
    <sheetView showGridLines="0" zoomScale="80" zoomScaleNormal="80" workbookViewId="0">
      <selection activeCell="B7" sqref="B7"/>
    </sheetView>
  </sheetViews>
  <sheetFormatPr defaultColWidth="8.88671875" defaultRowHeight="12.75"/>
  <cols>
    <col min="1" max="1" width="4.77734375" style="15" customWidth="1"/>
    <col min="2" max="2" width="80.88671875" style="1" customWidth="1"/>
    <col min="3" max="3" width="8.88671875" style="1"/>
    <col min="4" max="4" width="12.88671875" style="1" bestFit="1" customWidth="1"/>
    <col min="5" max="5" width="14.5546875" style="1" bestFit="1" customWidth="1"/>
    <col min="6" max="6" width="8.88671875" style="1"/>
    <col min="7" max="7" width="10" style="1" bestFit="1" customWidth="1"/>
    <col min="8" max="16384" width="8.88671875" style="1"/>
  </cols>
  <sheetData>
    <row r="1" spans="1:4" ht="20.25">
      <c r="B1" s="2" t="s">
        <v>576</v>
      </c>
      <c r="C1" s="3"/>
    </row>
    <row r="2" spans="1:4" ht="15.75">
      <c r="B2" s="702" t="s">
        <v>595</v>
      </c>
    </row>
    <row r="3" spans="1:4">
      <c r="B3" s="694"/>
    </row>
    <row r="4" spans="1:4" ht="30" customHeight="1">
      <c r="B4" s="358" t="s">
        <v>11</v>
      </c>
    </row>
    <row r="5" spans="1:4" ht="24" customHeight="1">
      <c r="B5" s="4" t="s">
        <v>12</v>
      </c>
    </row>
    <row r="6" spans="1:4" ht="7.5" customHeight="1">
      <c r="B6" s="4"/>
    </row>
    <row r="7" spans="1:4" ht="199.5" customHeight="1">
      <c r="A7" s="16"/>
      <c r="B7" s="754" t="s">
        <v>610</v>
      </c>
      <c r="D7" s="6"/>
    </row>
    <row r="8" spans="1:4" ht="30.75" customHeight="1">
      <c r="B8" s="4" t="s">
        <v>13</v>
      </c>
    </row>
    <row r="9" spans="1:4" ht="7.5" customHeight="1">
      <c r="B9" s="4"/>
    </row>
    <row r="10" spans="1:4">
      <c r="A10" s="740"/>
      <c r="B10" s="7" t="s">
        <v>15</v>
      </c>
    </row>
    <row r="11" spans="1:4" ht="25.5">
      <c r="A11" s="740"/>
      <c r="B11" s="8" t="s">
        <v>17</v>
      </c>
    </row>
    <row r="12" spans="1:4" ht="59.25" customHeight="1">
      <c r="A12" s="740"/>
      <c r="B12" s="8" t="s">
        <v>16</v>
      </c>
    </row>
    <row r="13" spans="1:4">
      <c r="A13" s="740"/>
      <c r="B13" s="10" t="s">
        <v>18</v>
      </c>
    </row>
    <row r="14" spans="1:4">
      <c r="A14" s="740"/>
      <c r="B14" s="8" t="s">
        <v>608</v>
      </c>
    </row>
    <row r="15" spans="1:4">
      <c r="A15" s="740"/>
      <c r="B15" s="8"/>
    </row>
    <row r="16" spans="1:4" ht="30.75" customHeight="1">
      <c r="B16" s="4" t="s">
        <v>14</v>
      </c>
    </row>
    <row r="17" spans="1:13" ht="7.5" customHeight="1">
      <c r="B17" s="4"/>
    </row>
    <row r="18" spans="1:13" ht="38.25">
      <c r="A18" s="740"/>
      <c r="B18" s="5" t="s">
        <v>19</v>
      </c>
    </row>
    <row r="19" spans="1:13" ht="25.5">
      <c r="A19" s="740"/>
      <c r="B19" s="11" t="s">
        <v>20</v>
      </c>
    </row>
    <row r="20" spans="1:13" hidden="1"/>
    <row r="21" spans="1:13" hidden="1">
      <c r="B21" s="4" t="s">
        <v>21</v>
      </c>
    </row>
    <row r="22" spans="1:13" hidden="1">
      <c r="G22" s="1">
        <f>G26*H26</f>
        <v>88674.669298328125</v>
      </c>
      <c r="H22" s="1">
        <f>G27*F26</f>
        <v>88674.669298328139</v>
      </c>
    </row>
    <row r="23" spans="1:13" ht="24.95" hidden="1" customHeight="1">
      <c r="A23" s="15">
        <v>1</v>
      </c>
      <c r="B23" s="13" t="s">
        <v>49</v>
      </c>
      <c r="D23" s="498">
        <v>8000</v>
      </c>
      <c r="E23" s="499" t="s">
        <v>62</v>
      </c>
    </row>
    <row r="24" spans="1:13" ht="24.95" hidden="1" customHeight="1">
      <c r="A24" s="15">
        <v>2</v>
      </c>
      <c r="B24" s="691" t="s">
        <v>592</v>
      </c>
      <c r="D24" s="500">
        <v>6</v>
      </c>
      <c r="E24" s="499" t="s">
        <v>58</v>
      </c>
      <c r="G24" s="17">
        <f>D24*D25</f>
        <v>5760000</v>
      </c>
      <c r="H24" s="1" t="s">
        <v>60</v>
      </c>
    </row>
    <row r="25" spans="1:13" ht="24.95" hidden="1" customHeight="1">
      <c r="A25" s="15">
        <v>3</v>
      </c>
      <c r="B25" s="13" t="s">
        <v>594</v>
      </c>
      <c r="D25" s="498">
        <v>960000</v>
      </c>
      <c r="E25" s="499" t="s">
        <v>59</v>
      </c>
      <c r="F25" s="1" t="s">
        <v>573</v>
      </c>
      <c r="G25" s="680" t="s">
        <v>572</v>
      </c>
      <c r="H25" s="1" t="s">
        <v>574</v>
      </c>
      <c r="I25" s="1" t="s">
        <v>575</v>
      </c>
    </row>
    <row r="26" spans="1:13" ht="24.95" hidden="1" customHeight="1">
      <c r="A26" s="15">
        <v>4</v>
      </c>
      <c r="B26" s="14" t="s">
        <v>593</v>
      </c>
      <c r="D26" s="501">
        <f>206200/7800000</f>
        <v>2.6435897435897436E-2</v>
      </c>
      <c r="E26" s="499" t="s">
        <v>61</v>
      </c>
      <c r="F26" s="1">
        <v>7800000</v>
      </c>
      <c r="G26" s="330">
        <v>3.1433771463427199E-2</v>
      </c>
      <c r="H26" s="1">
        <v>2821000</v>
      </c>
      <c r="I26" s="1">
        <f>F26/H26</f>
        <v>2.7649769585253456</v>
      </c>
    </row>
    <row r="27" spans="1:13" ht="24.95" hidden="1" customHeight="1">
      <c r="A27" s="15">
        <v>5</v>
      </c>
      <c r="B27" s="13" t="s">
        <v>50</v>
      </c>
      <c r="D27" s="498">
        <f>1200000</f>
        <v>1200000</v>
      </c>
      <c r="E27" s="499" t="s">
        <v>571</v>
      </c>
      <c r="G27" s="1">
        <f>G26/I26</f>
        <v>1.1368547345939504E-2</v>
      </c>
    </row>
    <row r="28" spans="1:13" ht="24.95" hidden="1" customHeight="1">
      <c r="A28" s="15">
        <v>6</v>
      </c>
      <c r="B28" s="516" t="s">
        <v>511</v>
      </c>
      <c r="C28" s="517"/>
      <c r="D28" s="518">
        <v>6.0000000000000001E-3</v>
      </c>
      <c r="E28" s="518" t="s">
        <v>570</v>
      </c>
      <c r="K28" s="514" t="s">
        <v>516</v>
      </c>
      <c r="L28" s="515"/>
      <c r="M28" s="515"/>
    </row>
    <row r="29" spans="1:13" ht="24.95" hidden="1" customHeight="1">
      <c r="A29" s="15">
        <v>7</v>
      </c>
      <c r="B29" s="516" t="s">
        <v>544</v>
      </c>
      <c r="C29" s="517"/>
      <c r="D29" s="692">
        <v>1320</v>
      </c>
      <c r="E29" s="693" t="s">
        <v>63</v>
      </c>
      <c r="F29" s="741" t="s">
        <v>561</v>
      </c>
      <c r="G29" s="741"/>
      <c r="H29" s="741"/>
      <c r="I29" s="741"/>
      <c r="K29" s="513" t="s">
        <v>513</v>
      </c>
      <c r="L29" s="513"/>
      <c r="M29" s="517">
        <f>0.000006*1000</f>
        <v>6.0000000000000001E-3</v>
      </c>
    </row>
    <row r="30" spans="1:13" ht="24.95" hidden="1" customHeight="1">
      <c r="A30" s="15">
        <v>8</v>
      </c>
      <c r="B30" s="13" t="s">
        <v>51</v>
      </c>
      <c r="D30" s="498">
        <v>200000</v>
      </c>
      <c r="E30" s="499" t="s">
        <v>64</v>
      </c>
      <c r="G30" s="18">
        <f>D30*12</f>
        <v>2400000</v>
      </c>
      <c r="H30" s="1" t="s">
        <v>65</v>
      </c>
      <c r="K30" s="513" t="s">
        <v>514</v>
      </c>
      <c r="L30" s="513"/>
      <c r="M30" s="517">
        <f>0.00048*1000</f>
        <v>0.48000000000000004</v>
      </c>
    </row>
    <row r="31" spans="1:13" ht="24.95" hidden="1" customHeight="1">
      <c r="A31" s="15">
        <v>9</v>
      </c>
      <c r="B31" s="12" t="s">
        <v>56</v>
      </c>
      <c r="D31" s="502">
        <v>7.2999999999999995E-2</v>
      </c>
      <c r="E31" s="499" t="s">
        <v>66</v>
      </c>
      <c r="K31" s="513" t="s">
        <v>515</v>
      </c>
      <c r="L31" s="513"/>
      <c r="M31" s="642">
        <f>0.61/D29*1000</f>
        <v>0.4621212121212121</v>
      </c>
    </row>
    <row r="32" spans="1:13" ht="24.95" hidden="1" customHeight="1">
      <c r="A32" s="15">
        <v>10</v>
      </c>
      <c r="B32" s="14" t="s">
        <v>52</v>
      </c>
      <c r="C32" s="332" t="s">
        <v>372</v>
      </c>
    </row>
    <row r="33" spans="1:5" hidden="1">
      <c r="B33" s="1" t="s">
        <v>23</v>
      </c>
      <c r="C33" s="130">
        <v>2010</v>
      </c>
      <c r="D33" s="379">
        <v>7.0000000000000007E-2</v>
      </c>
      <c r="E33" s="130" t="s">
        <v>125</v>
      </c>
    </row>
    <row r="34" spans="1:5" hidden="1">
      <c r="B34" s="1" t="s">
        <v>24</v>
      </c>
      <c r="C34" s="131" t="s">
        <v>126</v>
      </c>
      <c r="D34" s="379">
        <v>0.08</v>
      </c>
      <c r="E34" s="130" t="s">
        <v>125</v>
      </c>
    </row>
    <row r="35" spans="1:5" hidden="1">
      <c r="B35" s="1" t="s">
        <v>25</v>
      </c>
      <c r="C35" s="131" t="s">
        <v>127</v>
      </c>
      <c r="D35" s="379">
        <v>0.127</v>
      </c>
      <c r="E35" s="130" t="s">
        <v>125</v>
      </c>
    </row>
    <row r="36" spans="1:5" hidden="1">
      <c r="B36" s="1" t="s">
        <v>26</v>
      </c>
      <c r="C36" s="131" t="s">
        <v>128</v>
      </c>
      <c r="D36" s="379">
        <v>0.127</v>
      </c>
      <c r="E36" s="130" t="s">
        <v>125</v>
      </c>
    </row>
    <row r="37" spans="1:5" hidden="1">
      <c r="B37" s="1" t="s">
        <v>27</v>
      </c>
      <c r="C37" s="131" t="s">
        <v>129</v>
      </c>
      <c r="D37" s="379">
        <v>0.127</v>
      </c>
      <c r="E37" s="130" t="s">
        <v>125</v>
      </c>
    </row>
    <row r="38" spans="1:5" hidden="1">
      <c r="B38" s="1" t="s">
        <v>28</v>
      </c>
      <c r="C38" s="131" t="s">
        <v>130</v>
      </c>
      <c r="D38" s="379">
        <v>0.127</v>
      </c>
      <c r="E38" s="130" t="s">
        <v>125</v>
      </c>
    </row>
    <row r="39" spans="1:5" ht="30" hidden="1" customHeight="1">
      <c r="A39" s="15">
        <v>11</v>
      </c>
      <c r="B39" s="13" t="s">
        <v>54</v>
      </c>
    </row>
    <row r="40" spans="1:5" hidden="1">
      <c r="B40" s="12" t="s">
        <v>55</v>
      </c>
      <c r="C40" s="332" t="s">
        <v>371</v>
      </c>
    </row>
    <row r="41" spans="1:5" ht="25.5" hidden="1">
      <c r="B41" s="12" t="s">
        <v>200</v>
      </c>
      <c r="C41" s="130">
        <v>2010</v>
      </c>
      <c r="D41" s="379">
        <v>7.0000000000000007E-2</v>
      </c>
      <c r="E41" s="130" t="s">
        <v>125</v>
      </c>
    </row>
    <row r="42" spans="1:5" ht="21" hidden="1" customHeight="1">
      <c r="A42" s="15">
        <v>12</v>
      </c>
      <c r="B42" s="14" t="s">
        <v>53</v>
      </c>
      <c r="C42" s="131" t="s">
        <v>126</v>
      </c>
      <c r="D42" s="379">
        <v>0.08</v>
      </c>
      <c r="E42" s="130" t="s">
        <v>125</v>
      </c>
    </row>
    <row r="43" spans="1:5" hidden="1">
      <c r="C43" s="131" t="s">
        <v>127</v>
      </c>
      <c r="D43" s="379">
        <v>8.5000000000000006E-2</v>
      </c>
      <c r="E43" s="130" t="s">
        <v>125</v>
      </c>
    </row>
    <row r="44" spans="1:5" hidden="1">
      <c r="C44" s="131" t="s">
        <v>128</v>
      </c>
      <c r="D44" s="379">
        <v>0.09</v>
      </c>
      <c r="E44" s="130" t="s">
        <v>125</v>
      </c>
    </row>
    <row r="45" spans="1:5" hidden="1">
      <c r="C45" s="131" t="s">
        <v>129</v>
      </c>
      <c r="D45" s="379">
        <v>0.1</v>
      </c>
      <c r="E45" s="130" t="s">
        <v>125</v>
      </c>
    </row>
    <row r="46" spans="1:5" hidden="1">
      <c r="B46" s="357"/>
      <c r="C46" s="131" t="s">
        <v>130</v>
      </c>
      <c r="D46" s="379">
        <v>0.123</v>
      </c>
      <c r="E46" s="130" t="s">
        <v>125</v>
      </c>
    </row>
    <row r="47" spans="1:5" hidden="1">
      <c r="B47" s="357"/>
    </row>
    <row r="48" spans="1:5" hidden="1"/>
    <row r="53" spans="7:8">
      <c r="G53" s="1">
        <f>0.000006*1000</f>
        <v>6.0000000000000001E-3</v>
      </c>
    </row>
    <row r="54" spans="7:8">
      <c r="G54" s="1" t="s">
        <v>568</v>
      </c>
      <c r="H54" s="1" t="s">
        <v>569</v>
      </c>
    </row>
  </sheetData>
  <mergeCells count="3">
    <mergeCell ref="A10:A15"/>
    <mergeCell ref="A18:A19"/>
    <mergeCell ref="F29:I29"/>
  </mergeCells>
  <dataValidations count="1">
    <dataValidation type="list" allowBlank="1" showInputMessage="1" showErrorMessage="1" sqref="D28">
      <formula1>$M$29:$M$31</formula1>
    </dataValidation>
  </dataValidations>
  <pageMargins left="0.75" right="0.75" top="1" bottom="1" header="0.5" footer="0.5"/>
  <pageSetup scale="5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D79"/>
  <sheetViews>
    <sheetView zoomScale="70" zoomScaleNormal="70" workbookViewId="0">
      <pane xSplit="1" ySplit="4" topLeftCell="B5" activePane="bottomRight" state="frozen"/>
      <selection pane="topRight" activeCell="B1" sqref="B1"/>
      <selection pane="bottomLeft" activeCell="A2" sqref="A2"/>
      <selection pane="bottomRight" activeCell="F20" sqref="F20"/>
    </sheetView>
  </sheetViews>
  <sheetFormatPr defaultColWidth="8.88671875" defaultRowHeight="15"/>
  <cols>
    <col min="1" max="1" width="39.88671875" style="19" customWidth="1"/>
    <col min="2" max="2" width="17.44140625" style="19" customWidth="1"/>
    <col min="3" max="3" width="11" style="19" bestFit="1" customWidth="1"/>
    <col min="4" max="5" width="11.77734375" style="19" bestFit="1" customWidth="1"/>
    <col min="6" max="6" width="13.5546875" style="19" bestFit="1" customWidth="1"/>
    <col min="7" max="7" width="15" style="19" customWidth="1"/>
    <col min="8" max="21" width="11.77734375" style="19" bestFit="1" customWidth="1"/>
    <col min="22" max="23" width="11.77734375" style="347" customWidth="1"/>
    <col min="24" max="24" width="3.77734375" style="19" customWidth="1"/>
    <col min="25" max="25" width="11.77734375" style="19" bestFit="1" customWidth="1"/>
    <col min="26" max="26" width="13.77734375" style="19" customWidth="1"/>
    <col min="27" max="28" width="8.88671875" style="19" customWidth="1"/>
    <col min="29" max="29" width="8.21875" style="19" bestFit="1" customWidth="1"/>
    <col min="30" max="30" width="8.88671875" style="19" customWidth="1"/>
    <col min="31" max="16384" width="8.88671875" style="19"/>
  </cols>
  <sheetData>
    <row r="1" spans="1:30" s="1" customFormat="1" ht="20.25">
      <c r="A1" s="2" t="s">
        <v>576</v>
      </c>
      <c r="B1" s="2"/>
      <c r="C1" s="3"/>
    </row>
    <row r="2" spans="1:30" s="1" customFormat="1" ht="15.75">
      <c r="A2" s="702" t="s">
        <v>595</v>
      </c>
      <c r="B2" s="9"/>
    </row>
    <row r="3" spans="1:30" s="1" customFormat="1" ht="12.75">
      <c r="A3" s="9"/>
      <c r="B3" s="9"/>
    </row>
    <row r="4" spans="1:30" ht="21">
      <c r="A4" s="21" t="s">
        <v>395</v>
      </c>
      <c r="B4" s="20">
        <v>2012</v>
      </c>
      <c r="C4" s="20">
        <v>2013</v>
      </c>
      <c r="D4" s="20">
        <v>2014</v>
      </c>
      <c r="E4" s="20">
        <v>2015</v>
      </c>
      <c r="F4" s="20">
        <v>2016</v>
      </c>
      <c r="G4" s="20">
        <v>2017</v>
      </c>
      <c r="H4" s="20">
        <v>2018</v>
      </c>
      <c r="I4" s="20">
        <v>2019</v>
      </c>
      <c r="J4" s="20">
        <v>2020</v>
      </c>
      <c r="K4" s="20">
        <v>2021</v>
      </c>
      <c r="L4" s="20">
        <v>2022</v>
      </c>
      <c r="M4" s="20">
        <v>2023</v>
      </c>
      <c r="N4" s="20">
        <v>2024</v>
      </c>
      <c r="O4" s="20">
        <v>2025</v>
      </c>
      <c r="P4" s="20">
        <v>2026</v>
      </c>
      <c r="Q4" s="20">
        <v>2027</v>
      </c>
      <c r="R4" s="20">
        <v>2028</v>
      </c>
      <c r="S4" s="20">
        <v>2029</v>
      </c>
      <c r="T4" s="20">
        <v>2030</v>
      </c>
      <c r="U4" s="20">
        <v>2031</v>
      </c>
      <c r="V4" s="20">
        <v>2032</v>
      </c>
      <c r="W4" s="20">
        <v>2033</v>
      </c>
      <c r="X4" s="20"/>
      <c r="AC4" s="132"/>
      <c r="AD4" s="133"/>
    </row>
    <row r="5" spans="1:30" s="20" customFormat="1">
      <c r="B5" s="352"/>
      <c r="E5" s="303" t="s">
        <v>314</v>
      </c>
      <c r="V5" s="338"/>
      <c r="W5" s="338"/>
      <c r="Y5" s="337" t="s">
        <v>388</v>
      </c>
      <c r="Z5" s="337" t="s">
        <v>389</v>
      </c>
      <c r="AA5" s="20" t="s">
        <v>390</v>
      </c>
      <c r="AC5" s="132"/>
      <c r="AD5" s="133"/>
    </row>
    <row r="6" spans="1:30" s="70" customFormat="1">
      <c r="A6" s="69" t="s">
        <v>78</v>
      </c>
      <c r="V6" s="339"/>
      <c r="W6" s="339"/>
    </row>
    <row r="7" spans="1:30" s="72" customFormat="1">
      <c r="A7" s="72" t="s">
        <v>226</v>
      </c>
      <c r="B7" s="312"/>
      <c r="V7" s="340"/>
      <c r="W7" s="340"/>
      <c r="Y7" s="22">
        <f>SUM(B7:W7)</f>
        <v>0</v>
      </c>
      <c r="Z7" s="22">
        <f>NPV(0.1,B7:W7)</f>
        <v>0</v>
      </c>
      <c r="AA7" s="86">
        <f>Z7/$Z$18</f>
        <v>0</v>
      </c>
    </row>
    <row r="8" spans="1:30" s="72" customFormat="1">
      <c r="A8" s="72" t="s">
        <v>229</v>
      </c>
      <c r="B8" s="376">
        <v>78783603.993329957</v>
      </c>
      <c r="C8" s="73"/>
      <c r="D8" s="73"/>
      <c r="E8" s="73"/>
      <c r="F8" s="73"/>
      <c r="G8" s="73"/>
      <c r="H8" s="73"/>
      <c r="I8" s="73"/>
      <c r="J8" s="73"/>
      <c r="K8" s="73"/>
      <c r="L8" s="73"/>
      <c r="M8" s="73"/>
      <c r="N8" s="73"/>
      <c r="O8" s="73"/>
      <c r="P8" s="73"/>
      <c r="Q8" s="73"/>
      <c r="R8" s="73"/>
      <c r="S8" s="73"/>
      <c r="T8" s="73"/>
      <c r="U8" s="73"/>
      <c r="V8" s="341"/>
      <c r="W8" s="341"/>
      <c r="X8" s="73"/>
      <c r="Y8" s="22">
        <f>SUM(B8:U8)</f>
        <v>78783603.993329957</v>
      </c>
      <c r="Z8" s="22">
        <f>NPV(Assumptions!$C$30,B8:U8)</f>
        <v>71621458.175754502</v>
      </c>
      <c r="AA8" s="86">
        <f>Z8/$Z$18</f>
        <v>0.74872257440609946</v>
      </c>
    </row>
    <row r="9" spans="1:30" s="72" customFormat="1">
      <c r="A9" s="72" t="s">
        <v>359</v>
      </c>
      <c r="B9" s="376">
        <v>2403847.7811606554</v>
      </c>
      <c r="C9" s="73"/>
      <c r="D9" s="73"/>
      <c r="E9" s="73"/>
      <c r="F9" s="73"/>
      <c r="G9" s="73"/>
      <c r="H9" s="73"/>
      <c r="I9" s="73"/>
      <c r="J9" s="73"/>
      <c r="K9" s="73"/>
      <c r="L9" s="73"/>
      <c r="M9" s="73"/>
      <c r="N9" s="73"/>
      <c r="O9" s="73"/>
      <c r="P9" s="73"/>
      <c r="Q9" s="73"/>
      <c r="R9" s="73"/>
      <c r="S9" s="73"/>
      <c r="T9" s="73"/>
      <c r="U9" s="73"/>
      <c r="V9" s="341"/>
      <c r="W9" s="341"/>
      <c r="X9" s="73"/>
      <c r="Y9" s="22">
        <f t="shared" ref="Y9:Y18" si="0">SUM(B9:U9)</f>
        <v>2403847.7811606554</v>
      </c>
      <c r="Z9" s="22">
        <f>NPV(Assumptions!$C$30,B9:U9)</f>
        <v>2185316.1646915046</v>
      </c>
      <c r="AA9" s="86">
        <f t="shared" ref="AA9:AA18" si="1">Z9/$Z$18</f>
        <v>2.2845046532059807E-2</v>
      </c>
      <c r="AC9" s="87" t="s">
        <v>377</v>
      </c>
    </row>
    <row r="10" spans="1:30">
      <c r="A10" s="19" t="s">
        <v>228</v>
      </c>
      <c r="B10" s="380">
        <v>1020000</v>
      </c>
      <c r="C10" s="73"/>
      <c r="D10" s="73"/>
      <c r="E10" s="73"/>
      <c r="F10" s="73"/>
      <c r="G10" s="73"/>
      <c r="H10" s="73"/>
      <c r="I10" s="73"/>
      <c r="J10" s="73"/>
      <c r="K10" s="73"/>
      <c r="L10" s="73"/>
      <c r="M10" s="73"/>
      <c r="N10" s="73"/>
      <c r="O10" s="73"/>
      <c r="P10" s="73"/>
      <c r="Q10" s="73"/>
      <c r="R10" s="73"/>
      <c r="S10" s="73"/>
      <c r="T10" s="73"/>
      <c r="U10" s="73"/>
      <c r="V10" s="341"/>
      <c r="W10" s="341"/>
      <c r="X10" s="73"/>
      <c r="Y10" s="22">
        <f t="shared" si="0"/>
        <v>1020000</v>
      </c>
      <c r="Z10" s="22">
        <f>NPV(Assumptions!$C$30,B10:U10)</f>
        <v>927272.72727272718</v>
      </c>
      <c r="AA10" s="86">
        <f t="shared" si="1"/>
        <v>9.6936035822742777E-3</v>
      </c>
      <c r="AC10" s="22">
        <f>SUM(Z10:Z12,Z14,Z16:Z17)</f>
        <v>4914832.6711019184</v>
      </c>
      <c r="AD10" s="111">
        <f>AC10/Z18</f>
        <v>5.1379101515254356E-2</v>
      </c>
    </row>
    <row r="11" spans="1:30">
      <c r="A11" s="19" t="s">
        <v>311</v>
      </c>
      <c r="B11" s="380">
        <v>750000</v>
      </c>
      <c r="C11" s="73"/>
      <c r="D11" s="73"/>
      <c r="E11" s="73"/>
      <c r="F11" s="73"/>
      <c r="G11" s="73"/>
      <c r="H11" s="73"/>
      <c r="I11" s="73"/>
      <c r="J11" s="73"/>
      <c r="K11" s="73"/>
      <c r="L11" s="73"/>
      <c r="M11" s="73"/>
      <c r="N11" s="73"/>
      <c r="O11" s="73"/>
      <c r="P11" s="73"/>
      <c r="Q11" s="73"/>
      <c r="R11" s="73"/>
      <c r="S11" s="73"/>
      <c r="T11" s="73"/>
      <c r="U11" s="73"/>
      <c r="V11" s="341"/>
      <c r="W11" s="341"/>
      <c r="X11" s="73"/>
      <c r="Y11" s="22">
        <f t="shared" si="0"/>
        <v>750000</v>
      </c>
      <c r="Z11" s="22">
        <f>NPV(Assumptions!$C$30,B11:U11)</f>
        <v>681818.18181818177</v>
      </c>
      <c r="AA11" s="86">
        <f t="shared" si="1"/>
        <v>7.1276496928487339E-3</v>
      </c>
    </row>
    <row r="12" spans="1:30">
      <c r="A12" s="19" t="s">
        <v>227</v>
      </c>
      <c r="B12" s="84">
        <f>'MCC Costs'!I32</f>
        <v>700000</v>
      </c>
      <c r="C12" s="73"/>
      <c r="D12" s="73"/>
      <c r="E12" s="73"/>
      <c r="F12" s="73"/>
      <c r="G12" s="73"/>
      <c r="H12" s="73"/>
      <c r="I12" s="73"/>
      <c r="J12" s="73"/>
      <c r="K12" s="73"/>
      <c r="L12" s="73"/>
      <c r="M12" s="73"/>
      <c r="N12" s="73"/>
      <c r="O12" s="73"/>
      <c r="P12" s="73"/>
      <c r="Q12" s="73"/>
      <c r="R12" s="73"/>
      <c r="S12" s="73"/>
      <c r="T12" s="73"/>
      <c r="U12" s="73"/>
      <c r="V12" s="341"/>
      <c r="W12" s="341"/>
      <c r="X12" s="73"/>
      <c r="Y12" s="22">
        <f t="shared" si="0"/>
        <v>700000</v>
      </c>
      <c r="Z12" s="22">
        <f>NPV(Assumptions!$C$30,B12:U12)</f>
        <v>636363.63636363635</v>
      </c>
      <c r="AA12" s="86">
        <f t="shared" si="1"/>
        <v>6.6524730466588191E-3</v>
      </c>
    </row>
    <row r="13" spans="1:30">
      <c r="A13" s="19" t="s">
        <v>79</v>
      </c>
      <c r="B13" s="81">
        <f>Newcom!C32</f>
        <v>0</v>
      </c>
      <c r="C13" s="81">
        <f>Newcom!D32</f>
        <v>555495.34759019327</v>
      </c>
      <c r="D13" s="81">
        <f>Newcom!E32</f>
        <v>2339081.4673987543</v>
      </c>
      <c r="E13" s="81">
        <f>Newcom!F32</f>
        <v>1790476.9551805095</v>
      </c>
      <c r="F13" s="81">
        <f>Newcom!G32</f>
        <v>1840440.7082041197</v>
      </c>
      <c r="G13" s="81">
        <f>Newcom!H32</f>
        <v>1892252.9891234026</v>
      </c>
      <c r="H13" s="81">
        <f>Newcom!I32</f>
        <v>2482359.2684640754</v>
      </c>
      <c r="I13" s="81">
        <f>Newcom!J32</f>
        <v>2538137.1981835458</v>
      </c>
      <c r="J13" s="81">
        <f>Newcom!K32</f>
        <v>2596042.1602121736</v>
      </c>
      <c r="K13" s="81">
        <f>Newcom!L32</f>
        <v>2656177.3836190295</v>
      </c>
      <c r="L13" s="81">
        <f>Newcom!M32</f>
        <v>2718651.803359936</v>
      </c>
      <c r="M13" s="81">
        <f>Newcom!N32</f>
        <v>2783580.3928735298</v>
      </c>
      <c r="N13" s="81">
        <f>Newcom!O32</f>
        <v>2851084.5164379361</v>
      </c>
      <c r="O13" s="81">
        <f>Newcom!P32</f>
        <v>2921292.3024698044</v>
      </c>
      <c r="P13" s="81">
        <f>Newcom!Q32</f>
        <v>2994339.0390182529</v>
      </c>
      <c r="Q13" s="81">
        <f>Newcom!R32</f>
        <v>3070367.5927813724</v>
      </c>
      <c r="R13" s="81">
        <f>Newcom!S32</f>
        <v>2613171.3082547821</v>
      </c>
      <c r="S13" s="81">
        <f>Newcom!T32</f>
        <v>2695624.657289993</v>
      </c>
      <c r="T13" s="81">
        <f>Newcom!U32</f>
        <v>2781538.4686781154</v>
      </c>
      <c r="U13" s="81">
        <f>Newcom!V32</f>
        <v>2871090.6353885392</v>
      </c>
      <c r="V13" s="342">
        <f>Newcom!W32</f>
        <v>5964469.1292733829</v>
      </c>
      <c r="W13" s="342">
        <f>Newcom!X32</f>
        <v>2223351.8469550377</v>
      </c>
      <c r="X13" s="81"/>
      <c r="Y13" s="22">
        <f t="shared" si="0"/>
        <v>46991204.194528073</v>
      </c>
      <c r="Z13" s="22">
        <f>NPV(Assumptions!$C$30,B13:U13)</f>
        <v>16936598.876749188</v>
      </c>
      <c r="AA13" s="86">
        <f t="shared" si="1"/>
        <v>0.17705327754658656</v>
      </c>
    </row>
    <row r="14" spans="1:30">
      <c r="A14" s="19" t="s">
        <v>80</v>
      </c>
      <c r="B14" s="81">
        <f>IF(Assumptions!$C$12="yes",CRETN!C21,0)</f>
        <v>0</v>
      </c>
      <c r="C14" s="81">
        <f>IF(Assumptions!$C$12="yes",CRETN!D21,0)</f>
        <v>1077507.6000000001</v>
      </c>
      <c r="D14" s="81">
        <f>IF(Assumptions!$C$12="yes",CRETN!E21,0)</f>
        <v>1701041.4</v>
      </c>
      <c r="E14" s="81">
        <f>IF(Assumptions!$C$12="yes",CRETN!F21,0)</f>
        <v>0</v>
      </c>
      <c r="F14" s="81">
        <f>IF(Assumptions!$C$12="yes",CRETN!G21,0)</f>
        <v>0</v>
      </c>
      <c r="G14" s="81">
        <f>IF(Assumptions!$C$12="yes",CRETN!H21,0)</f>
        <v>0</v>
      </c>
      <c r="H14" s="81">
        <f>IF(Assumptions!$C$12="yes",CRETN!I21,0)</f>
        <v>0</v>
      </c>
      <c r="I14" s="81">
        <f>IF(Assumptions!$C$12="yes",CRETN!J21,0)</f>
        <v>0</v>
      </c>
      <c r="J14" s="81">
        <f>IF(Assumptions!$C$12="yes",CRETN!K21,0)</f>
        <v>0</v>
      </c>
      <c r="K14" s="81">
        <f>IF(Assumptions!$C$12="yes",CRETN!L21,0)</f>
        <v>0</v>
      </c>
      <c r="L14" s="81">
        <f>IF(Assumptions!$C$12="yes",CRETN!M21,0)</f>
        <v>0</v>
      </c>
      <c r="M14" s="81">
        <f>IF(Assumptions!$C$12="yes",CRETN!N21,0)</f>
        <v>0</v>
      </c>
      <c r="N14" s="81">
        <f>IF(Assumptions!$C$12="yes",CRETN!O21,0)</f>
        <v>0</v>
      </c>
      <c r="O14" s="81">
        <f>IF(Assumptions!$C$12="yes",CRETN!P21,0)</f>
        <v>0</v>
      </c>
      <c r="P14" s="81">
        <f>IF(Assumptions!$C$12="yes",CRETN!Q21,0)</f>
        <v>0</v>
      </c>
      <c r="Q14" s="81">
        <f>IF(Assumptions!$C$12="yes",CRETN!R21,0)</f>
        <v>0</v>
      </c>
      <c r="R14" s="81">
        <f>IF(Assumptions!$C$12="yes",CRETN!S21,0)</f>
        <v>0</v>
      </c>
      <c r="S14" s="81">
        <f>IF(Assumptions!$C$12="yes",CRETN!T21,0)</f>
        <v>0</v>
      </c>
      <c r="T14" s="81">
        <f>IF(Assumptions!$C$12="yes",CRETN!U21,0)</f>
        <v>0</v>
      </c>
      <c r="U14" s="81">
        <f>IF(Assumptions!$C$12="yes",CRETN!V21,0)</f>
        <v>0</v>
      </c>
      <c r="V14" s="342">
        <f>IF(Assumptions!$C$12="yes",CRETN!W21,0)</f>
        <v>0</v>
      </c>
      <c r="W14" s="342">
        <f>IF(Assumptions!$C$12="yes",CRETN!X21,0)</f>
        <v>0</v>
      </c>
      <c r="X14" s="81"/>
      <c r="Y14" s="22">
        <f t="shared" si="0"/>
        <v>2778549</v>
      </c>
      <c r="Z14" s="22">
        <f>NPV(Assumptions!$C$30,B14:U14)</f>
        <v>2168519.7295266716</v>
      </c>
      <c r="AA14" s="86">
        <f t="shared" si="1"/>
        <v>2.2669458510009229E-2</v>
      </c>
    </row>
    <row r="15" spans="1:30">
      <c r="A15" s="19" t="s">
        <v>364</v>
      </c>
      <c r="B15" s="81">
        <f>IF(Assumptions!$C$13="yes",CRETN!C22,0)</f>
        <v>0</v>
      </c>
      <c r="C15" s="81">
        <f>IF(Assumptions!$C$13="yes",CRETN!D22,0)</f>
        <v>0</v>
      </c>
      <c r="D15" s="81">
        <f>IF(Assumptions!$C$13="yes",CRETN!E22,0)</f>
        <v>0</v>
      </c>
      <c r="E15" s="81">
        <f>IF(Assumptions!$C$13="yes",CRETN!F22,0)</f>
        <v>0</v>
      </c>
      <c r="F15" s="81">
        <f>IF(Assumptions!$C$13="yes",CRETN!G22,0)</f>
        <v>0</v>
      </c>
      <c r="G15" s="81">
        <f>IF(Assumptions!$C$13="yes",CRETN!H22,0)</f>
        <v>0</v>
      </c>
      <c r="H15" s="81">
        <f>IF(Assumptions!$C$13="yes",CRETN!I22,0)</f>
        <v>0</v>
      </c>
      <c r="I15" s="81">
        <f>IF(Assumptions!$C$13="yes",CRETN!J22,0)</f>
        <v>0</v>
      </c>
      <c r="J15" s="81">
        <f>IF(Assumptions!$C$13="yes",CRETN!K22,0)</f>
        <v>0</v>
      </c>
      <c r="K15" s="81">
        <f>IF(Assumptions!$C$13="yes",CRETN!L22,0)</f>
        <v>0</v>
      </c>
      <c r="L15" s="81">
        <f>IF(Assumptions!$C$13="yes",CRETN!M22,0)</f>
        <v>0</v>
      </c>
      <c r="M15" s="81">
        <f>IF(Assumptions!$C$13="yes",CRETN!N22,0)</f>
        <v>0</v>
      </c>
      <c r="N15" s="81">
        <f>IF(Assumptions!$C$13="yes",CRETN!O22,0)</f>
        <v>0</v>
      </c>
      <c r="O15" s="81">
        <f>IF(Assumptions!$C$13="yes",CRETN!P22,0)</f>
        <v>0</v>
      </c>
      <c r="P15" s="81">
        <f>IF(Assumptions!$C$13="yes",CRETN!Q22,0)</f>
        <v>0</v>
      </c>
      <c r="Q15" s="81">
        <f>IF(Assumptions!$C$13="yes",CRETN!R22,0)</f>
        <v>0</v>
      </c>
      <c r="R15" s="81">
        <f>IF(Assumptions!$C$13="yes",CRETN!S22,0)</f>
        <v>0</v>
      </c>
      <c r="S15" s="81">
        <f>IF(Assumptions!$C$13="yes",CRETN!T22,0)</f>
        <v>0</v>
      </c>
      <c r="T15" s="81">
        <f>IF(Assumptions!$C$13="yes",CRETN!U22,0)</f>
        <v>0</v>
      </c>
      <c r="U15" s="81">
        <f>IF(Assumptions!$C$13="yes",CRETN!V22,0)</f>
        <v>0</v>
      </c>
      <c r="V15" s="342">
        <f>IF(Assumptions!$C$13="yes",CRETN!W22,0)</f>
        <v>0</v>
      </c>
      <c r="W15" s="342">
        <f>IF(Assumptions!$C$13="yes",CRETN!X22,0)</f>
        <v>0</v>
      </c>
      <c r="X15" s="81"/>
      <c r="Y15" s="22">
        <f t="shared" si="0"/>
        <v>0</v>
      </c>
      <c r="Z15" s="22">
        <f>NPV(Assumptions!$C$30,B15:U15)</f>
        <v>0</v>
      </c>
      <c r="AA15" s="86">
        <f t="shared" si="1"/>
        <v>0</v>
      </c>
    </row>
    <row r="16" spans="1:30">
      <c r="A16" s="19" t="s">
        <v>287</v>
      </c>
      <c r="B16" s="380">
        <v>250000</v>
      </c>
      <c r="C16" s="81"/>
      <c r="D16" s="81"/>
      <c r="E16" s="81"/>
      <c r="F16" s="81"/>
      <c r="G16" s="81"/>
      <c r="H16" s="81"/>
      <c r="I16" s="81"/>
      <c r="J16" s="81"/>
      <c r="K16" s="81"/>
      <c r="L16" s="81"/>
      <c r="M16" s="81"/>
      <c r="N16" s="81"/>
      <c r="O16" s="81"/>
      <c r="P16" s="81"/>
      <c r="Q16" s="81"/>
      <c r="R16" s="81"/>
      <c r="S16" s="81"/>
      <c r="T16" s="81"/>
      <c r="U16" s="81"/>
      <c r="V16" s="342"/>
      <c r="W16" s="342"/>
      <c r="X16" s="81"/>
      <c r="Y16" s="22">
        <f t="shared" si="0"/>
        <v>250000</v>
      </c>
      <c r="Z16" s="22">
        <f>NPV(Assumptions!$C$30,B16:U16)</f>
        <v>227272.72727272726</v>
      </c>
      <c r="AA16" s="86">
        <f t="shared" si="1"/>
        <v>2.3758832309495781E-3</v>
      </c>
    </row>
    <row r="17" spans="1:27">
      <c r="A17" s="19" t="s">
        <v>124</v>
      </c>
      <c r="B17" s="81">
        <f>'MCC Costs'!$K$30/4</f>
        <v>86308.290833940468</v>
      </c>
      <c r="C17" s="81">
        <f>'MCC Costs'!$K$30/4</f>
        <v>86308.290833940468</v>
      </c>
      <c r="D17" s="81">
        <f>'MCC Costs'!$K$30/4</f>
        <v>86308.290833940468</v>
      </c>
      <c r="E17" s="81">
        <f>'MCC Costs'!$K$30/4</f>
        <v>86308.290833940468</v>
      </c>
      <c r="F17" s="82"/>
      <c r="G17" s="82"/>
      <c r="H17" s="82"/>
      <c r="I17" s="82"/>
      <c r="J17" s="82"/>
      <c r="K17" s="82"/>
      <c r="L17" s="82"/>
      <c r="M17" s="82"/>
      <c r="N17" s="82"/>
      <c r="O17" s="82"/>
      <c r="P17" s="82"/>
      <c r="Q17" s="82"/>
      <c r="R17" s="82"/>
      <c r="S17" s="82"/>
      <c r="T17" s="82"/>
      <c r="U17" s="82"/>
      <c r="V17" s="343"/>
      <c r="W17" s="343"/>
      <c r="X17" s="82"/>
      <c r="Y17" s="22">
        <f t="shared" si="0"/>
        <v>345233.16333576187</v>
      </c>
      <c r="Z17" s="22">
        <f>NPV(Assumptions!$C$30,B17:U17)</f>
        <v>273585.66884797323</v>
      </c>
      <c r="AA17" s="86">
        <f t="shared" si="1"/>
        <v>2.8600334525137054E-3</v>
      </c>
    </row>
    <row r="18" spans="1:27">
      <c r="A18" s="20" t="s">
        <v>132</v>
      </c>
      <c r="B18" s="81">
        <f>SUM(B8:B17)</f>
        <v>83993760.065324545</v>
      </c>
      <c r="C18" s="81">
        <f t="shared" ref="C18:W18" si="2">SUM(C8:C17)</f>
        <v>1719311.2384241337</v>
      </c>
      <c r="D18" s="81">
        <f t="shared" si="2"/>
        <v>4126431.1582326945</v>
      </c>
      <c r="E18" s="81">
        <f t="shared" si="2"/>
        <v>1876785.24601445</v>
      </c>
      <c r="F18" s="81">
        <f t="shared" si="2"/>
        <v>1840440.7082041197</v>
      </c>
      <c r="G18" s="81">
        <f t="shared" si="2"/>
        <v>1892252.9891234026</v>
      </c>
      <c r="H18" s="81">
        <f t="shared" si="2"/>
        <v>2482359.2684640754</v>
      </c>
      <c r="I18" s="81">
        <f t="shared" si="2"/>
        <v>2538137.1981835458</v>
      </c>
      <c r="J18" s="81">
        <f t="shared" si="2"/>
        <v>2596042.1602121736</v>
      </c>
      <c r="K18" s="81">
        <f t="shared" si="2"/>
        <v>2656177.3836190295</v>
      </c>
      <c r="L18" s="81">
        <f t="shared" si="2"/>
        <v>2718651.803359936</v>
      </c>
      <c r="M18" s="81">
        <f t="shared" si="2"/>
        <v>2783580.3928735298</v>
      </c>
      <c r="N18" s="81">
        <f t="shared" si="2"/>
        <v>2851084.5164379361</v>
      </c>
      <c r="O18" s="81">
        <f t="shared" si="2"/>
        <v>2921292.3024698044</v>
      </c>
      <c r="P18" s="81">
        <f t="shared" si="2"/>
        <v>2994339.0390182529</v>
      </c>
      <c r="Q18" s="81">
        <f t="shared" si="2"/>
        <v>3070367.5927813724</v>
      </c>
      <c r="R18" s="81">
        <f t="shared" si="2"/>
        <v>2613171.3082547821</v>
      </c>
      <c r="S18" s="81">
        <f t="shared" si="2"/>
        <v>2695624.657289993</v>
      </c>
      <c r="T18" s="81">
        <f t="shared" si="2"/>
        <v>2781538.4686781154</v>
      </c>
      <c r="U18" s="81">
        <f t="shared" si="2"/>
        <v>2871090.6353885392</v>
      </c>
      <c r="V18" s="342">
        <f t="shared" si="2"/>
        <v>5964469.1292733829</v>
      </c>
      <c r="W18" s="342">
        <f t="shared" si="2"/>
        <v>2223351.8469550377</v>
      </c>
      <c r="X18" s="81"/>
      <c r="Y18" s="22">
        <f t="shared" si="0"/>
        <v>134022438.13235444</v>
      </c>
      <c r="Z18" s="22">
        <f>NPV(Assumptions!$C$30,B18:U18)</f>
        <v>95658205.888297096</v>
      </c>
      <c r="AA18" s="86">
        <f t="shared" si="1"/>
        <v>1</v>
      </c>
    </row>
    <row r="19" spans="1:27">
      <c r="B19" s="82"/>
      <c r="C19" s="82"/>
      <c r="D19" s="82"/>
      <c r="E19" s="82"/>
      <c r="F19" s="82"/>
      <c r="G19" s="82"/>
      <c r="H19" s="82"/>
      <c r="I19" s="82"/>
      <c r="J19" s="82"/>
      <c r="K19" s="82"/>
      <c r="L19" s="82"/>
      <c r="M19" s="82"/>
      <c r="N19" s="82"/>
      <c r="O19" s="82"/>
      <c r="P19" s="82"/>
      <c r="Q19" s="82"/>
      <c r="R19" s="82"/>
      <c r="S19" s="82"/>
      <c r="T19" s="82"/>
      <c r="U19" s="82"/>
      <c r="V19" s="343"/>
      <c r="W19" s="343"/>
      <c r="X19" s="82"/>
    </row>
    <row r="20" spans="1:27" s="68" customFormat="1">
      <c r="A20" s="67" t="s">
        <v>30</v>
      </c>
      <c r="B20" s="83"/>
      <c r="C20" s="83"/>
      <c r="D20" s="83"/>
      <c r="E20" s="83"/>
      <c r="F20" s="83"/>
      <c r="G20" s="83"/>
      <c r="H20" s="83"/>
      <c r="I20" s="83"/>
      <c r="J20" s="83"/>
      <c r="K20" s="83"/>
      <c r="L20" s="83"/>
      <c r="M20" s="83"/>
      <c r="N20" s="83"/>
      <c r="O20" s="83"/>
      <c r="P20" s="83"/>
      <c r="Q20" s="83"/>
      <c r="R20" s="83"/>
      <c r="S20" s="83"/>
      <c r="T20" s="83"/>
      <c r="U20" s="83"/>
      <c r="V20" s="344"/>
      <c r="W20" s="344"/>
      <c r="X20" s="83"/>
    </row>
    <row r="21" spans="1:27" s="72" customFormat="1">
      <c r="A21" s="72" t="s">
        <v>134</v>
      </c>
      <c r="B21" s="84"/>
      <c r="C21" s="84"/>
      <c r="D21" s="84"/>
      <c r="E21" s="84"/>
      <c r="F21" s="84"/>
      <c r="G21" s="84"/>
      <c r="H21" s="84"/>
      <c r="I21" s="84"/>
      <c r="J21" s="84"/>
      <c r="K21" s="84"/>
      <c r="L21" s="84"/>
      <c r="M21" s="84"/>
      <c r="N21" s="84"/>
      <c r="O21" s="84"/>
      <c r="P21" s="84"/>
      <c r="Q21" s="84"/>
      <c r="R21" s="84"/>
      <c r="S21" s="84"/>
      <c r="T21" s="84"/>
      <c r="U21" s="84"/>
      <c r="V21" s="345"/>
      <c r="W21" s="345"/>
      <c r="X21" s="84"/>
      <c r="AA21" s="86">
        <f>SUM(AA22:AA22)</f>
        <v>0.19327267368297882</v>
      </c>
    </row>
    <row r="22" spans="1:27" s="72" customFormat="1">
      <c r="A22" s="72" t="s">
        <v>365</v>
      </c>
      <c r="B22" s="84">
        <f>Newcom!C11</f>
        <v>0</v>
      </c>
      <c r="C22" s="84">
        <f>Newcom!D11</f>
        <v>594867.04137391225</v>
      </c>
      <c r="D22" s="84">
        <f>Newcom!E11</f>
        <v>2379468.165495649</v>
      </c>
      <c r="E22" s="84">
        <f>Newcom!F11</f>
        <v>2379468.165495649</v>
      </c>
      <c r="F22" s="84">
        <f>Newcom!G11</f>
        <v>2379468.165495649</v>
      </c>
      <c r="G22" s="84">
        <f>Newcom!H11</f>
        <v>2379468.165495649</v>
      </c>
      <c r="H22" s="84">
        <f>Newcom!I11</f>
        <v>2379468.165495649</v>
      </c>
      <c r="I22" s="84">
        <f>Newcom!J11</f>
        <v>2379468.165495649</v>
      </c>
      <c r="J22" s="84">
        <f>Newcom!K11</f>
        <v>2379468.165495649</v>
      </c>
      <c r="K22" s="84">
        <f>Newcom!L11</f>
        <v>2379468.165495649</v>
      </c>
      <c r="L22" s="84">
        <f>Newcom!M11</f>
        <v>2379468.165495649</v>
      </c>
      <c r="M22" s="84">
        <f>Newcom!N11</f>
        <v>2379468.165495649</v>
      </c>
      <c r="N22" s="84">
        <f>Newcom!O11</f>
        <v>2379468.165495649</v>
      </c>
      <c r="O22" s="84">
        <f>Newcom!P11</f>
        <v>2379468.165495649</v>
      </c>
      <c r="P22" s="84">
        <f>Newcom!Q11</f>
        <v>2379468.165495649</v>
      </c>
      <c r="Q22" s="84">
        <f>Newcom!R11</f>
        <v>2379468.165495649</v>
      </c>
      <c r="R22" s="84">
        <f>Newcom!S11</f>
        <v>2379468.165495649</v>
      </c>
      <c r="S22" s="84">
        <f>Newcom!T11</f>
        <v>2379468.165495649</v>
      </c>
      <c r="T22" s="84">
        <f>Newcom!U11</f>
        <v>2379468.165495649</v>
      </c>
      <c r="U22" s="84">
        <f>Newcom!V11</f>
        <v>2379468.165495649</v>
      </c>
      <c r="V22" s="345">
        <f>Newcom!W11</f>
        <v>2379468.165495649</v>
      </c>
      <c r="W22" s="345">
        <f>Newcom!X11</f>
        <v>1784601.1241217367</v>
      </c>
      <c r="X22" s="84"/>
      <c r="Y22" s="74">
        <f t="shared" ref="Y22:Y29" si="3">SUM(B22:U22)</f>
        <v>43425294.02029559</v>
      </c>
      <c r="Z22" s="22">
        <f>NPV(Assumptions!$C$30,B22:U22)</f>
        <v>16619724.006276811</v>
      </c>
      <c r="AA22" s="86">
        <f>Z22/$Z$29</f>
        <v>0.19327267368297882</v>
      </c>
    </row>
    <row r="23" spans="1:27">
      <c r="A23" s="19" t="s">
        <v>133</v>
      </c>
      <c r="B23" s="81">
        <f>IF(Assumptions!$C$16="Willingness-to-pay",Health!C92,Health!E49)</f>
        <v>0</v>
      </c>
      <c r="C23" s="81">
        <f>IF(Assumptions!$C$16="Willingness-to-pay",Health!D92,Health!F49)</f>
        <v>921769.72389331216</v>
      </c>
      <c r="D23" s="81">
        <f>IF(Assumptions!$C$16="Willingness-to-pay",Health!E92,Health!G49)</f>
        <v>4034467.1397612267</v>
      </c>
      <c r="E23" s="81">
        <f>IF(Assumptions!$C$16="Willingness-to-pay",Health!F92,Health!H49)</f>
        <v>4139489.1881968849</v>
      </c>
      <c r="F23" s="81">
        <f>IF(Assumptions!$C$16="Willingness-to-pay",Health!G92,Health!I49)</f>
        <v>4626762.257333667</v>
      </c>
      <c r="G23" s="81">
        <f>IF(Assumptions!$C$16="Willingness-to-pay",Health!H92,Health!J49)</f>
        <v>4964067.0416810019</v>
      </c>
      <c r="H23" s="81">
        <f>IF(Assumptions!$C$16="Willingness-to-pay",Health!I92,Health!K49)</f>
        <v>5346582.1407054747</v>
      </c>
      <c r="I23" s="81">
        <f>IF(Assumptions!$C$16="Willingness-to-pay",Health!J92,Health!L49)</f>
        <v>5758621.6202452807</v>
      </c>
      <c r="J23" s="81">
        <f>IF(Assumptions!$C$16="Willingness-to-pay",Health!K92,Health!M49)</f>
        <v>6202417.3382861214</v>
      </c>
      <c r="K23" s="81">
        <f>IF(Assumptions!$C$16="Willingness-to-pay",Health!L92,Health!N49)</f>
        <v>6680366.6034383085</v>
      </c>
      <c r="L23" s="81">
        <f>IF(Assumptions!$C$16="Willingness-to-pay",Health!M92,Health!O49)</f>
        <v>7195044.2790574003</v>
      </c>
      <c r="M23" s="81">
        <f>IF(Assumptions!$C$16="Willingness-to-pay",Health!N92,Health!P49)</f>
        <v>7749215.7675064802</v>
      </c>
      <c r="N23" s="81">
        <f>IF(Assumptions!$C$16="Willingness-to-pay",Health!O92,Health!Q49)</f>
        <v>8345850.9385111509</v>
      </c>
      <c r="O23" s="81">
        <f>IF(Assumptions!$C$16="Willingness-to-pay",Health!P92,Health!R49)</f>
        <v>8988139.0702162571</v>
      </c>
      <c r="P23" s="81">
        <f>IF(Assumptions!$C$16="Willingness-to-pay",Health!Q92,Health!S49)</f>
        <v>9679504.8765507452</v>
      </c>
      <c r="Q23" s="81">
        <f>IF(Assumptions!$C$16="Willingness-to-pay",Health!R92,Health!T49)</f>
        <v>10423625.699853383</v>
      </c>
      <c r="R23" s="81">
        <f>IF(Assumptions!$C$16="Willingness-to-pay",Health!S92,Health!U49)</f>
        <v>11224449.953475846</v>
      </c>
      <c r="S23" s="81">
        <f>IF(Assumptions!$C$16="Willingness-to-pay",Health!T92,Health!V49)</f>
        <v>12086216.905234575</v>
      </c>
      <c r="T23" s="81">
        <f>IF(Assumptions!$C$16="Willingness-to-pay",Health!U92,Health!W49)</f>
        <v>13013477.899205834</v>
      </c>
      <c r="U23" s="81">
        <f>IF(Assumptions!$C$16="Willingness-to-pay",Health!V92,Health!X49)</f>
        <v>14011119.120459341</v>
      </c>
      <c r="V23" s="81">
        <f>IF(Assumptions!$C$16="Willingness-to-pay",Health!W92,Health!Y49)</f>
        <v>15084386.014943141</v>
      </c>
      <c r="W23" s="81">
        <f>IF(Assumptions!$C$16="Willingness-to-pay",Health!X92,Health!Z49)</f>
        <v>12179182.113677451</v>
      </c>
      <c r="X23" s="81"/>
      <c r="Y23" s="74">
        <f t="shared" si="3"/>
        <v>145391187.56361228</v>
      </c>
      <c r="Z23" s="22">
        <f>NPV(Assumptions!$C$30,B23:U23)</f>
        <v>45897273.127788953</v>
      </c>
      <c r="AA23" s="86">
        <f>Z23/$Z$29</f>
        <v>0.53374464514666387</v>
      </c>
    </row>
    <row r="24" spans="1:27">
      <c r="A24" s="19" t="s">
        <v>243</v>
      </c>
      <c r="B24" s="81">
        <f>'Power Quality'!E28</f>
        <v>0</v>
      </c>
      <c r="C24" s="81">
        <f>'Power Quality'!F28</f>
        <v>191256.945238913</v>
      </c>
      <c r="D24" s="81">
        <f>'Power Quality'!G28</f>
        <v>239548.02914737261</v>
      </c>
      <c r="E24" s="81">
        <f>'Power Quality'!H28</f>
        <v>280704.30610851373</v>
      </c>
      <c r="F24" s="81">
        <f>'Power Quality'!I28</f>
        <v>359337.33347718546</v>
      </c>
      <c r="G24" s="81">
        <f>'Power Quality'!J28</f>
        <v>440952.46575300704</v>
      </c>
      <c r="H24" s="81">
        <f>'Power Quality'!K28</f>
        <v>543253.43780770479</v>
      </c>
      <c r="I24" s="81">
        <f>'Power Quality'!L28</f>
        <v>669288.23537909391</v>
      </c>
      <c r="J24" s="81">
        <f>'Power Quality'!M28</f>
        <v>824563.10598704265</v>
      </c>
      <c r="K24" s="81">
        <f>'Power Quality'!N28</f>
        <v>1015861.7465760357</v>
      </c>
      <c r="L24" s="81">
        <f>'Power Quality'!O28</f>
        <v>1251541.6717816733</v>
      </c>
      <c r="M24" s="81">
        <f>'Power Quality'!P28</f>
        <v>1541899.3396350231</v>
      </c>
      <c r="N24" s="81">
        <f>'Power Quality'!Q28</f>
        <v>1899619.9864303449</v>
      </c>
      <c r="O24" s="81">
        <f>'Power Quality'!R28</f>
        <v>2340331.8232821915</v>
      </c>
      <c r="P24" s="81">
        <f>'Power Quality'!S28</f>
        <v>2883288.8062836728</v>
      </c>
      <c r="Q24" s="81">
        <f>'Power Quality'!T28</f>
        <v>3552211.8093414577</v>
      </c>
      <c r="R24" s="81">
        <f>'Power Quality'!U28</f>
        <v>4376324.9491086928</v>
      </c>
      <c r="S24" s="81">
        <f>'Power Quality'!V28</f>
        <v>5391632.3373018997</v>
      </c>
      <c r="T24" s="81">
        <f>'Power Quality'!W28</f>
        <v>6642491.0395559631</v>
      </c>
      <c r="U24" s="81">
        <f>'Power Quality'!X28</f>
        <v>8183548.960732935</v>
      </c>
      <c r="V24" s="342">
        <f>'Power Quality'!Y28</f>
        <v>10082132.319622956</v>
      </c>
      <c r="W24" s="342">
        <f>'Power Quality'!Z28</f>
        <v>12421187.01777548</v>
      </c>
      <c r="X24" s="81"/>
      <c r="Y24" s="74">
        <f t="shared" si="3"/>
        <v>42627656.328928724</v>
      </c>
      <c r="Z24" s="22">
        <f>NPV(Assumptions!$C$30,B24:U24)</f>
        <v>10032035.645196952</v>
      </c>
      <c r="AA24" s="86">
        <f>Z24/$Z$29</f>
        <v>0.11666369134035477</v>
      </c>
    </row>
    <row r="25" spans="1:27">
      <c r="A25" s="19" t="s">
        <v>162</v>
      </c>
      <c r="B25" s="81">
        <f>IF(Assumptions!$C$14="yes",'Power Quality'!C45,0)</f>
        <v>0</v>
      </c>
      <c r="C25" s="81">
        <f>IF(Assumptions!$C$14="yes",'Power Quality'!D45,0)</f>
        <v>0</v>
      </c>
      <c r="D25" s="81">
        <f>IF(Assumptions!$C$14="yes",'Power Quality'!E45,0)</f>
        <v>0</v>
      </c>
      <c r="E25" s="81">
        <f>IF(Assumptions!$C$14="yes",'Power Quality'!F45,0)</f>
        <v>0</v>
      </c>
      <c r="F25" s="81">
        <f>IF(Assumptions!$C$14="yes",'Power Quality'!G45,0)</f>
        <v>0</v>
      </c>
      <c r="G25" s="81">
        <f>IF(Assumptions!$C$14="yes",'Power Quality'!H45,0)</f>
        <v>0</v>
      </c>
      <c r="H25" s="81">
        <f>IF(Assumptions!$C$14="yes",'Power Quality'!I45,0)</f>
        <v>0</v>
      </c>
      <c r="I25" s="81">
        <f>IF(Assumptions!$C$14="yes",'Power Quality'!J45,0)</f>
        <v>0</v>
      </c>
      <c r="J25" s="81">
        <f>IF(Assumptions!$C$14="yes",'Power Quality'!K45,0)</f>
        <v>0</v>
      </c>
      <c r="K25" s="81">
        <f>IF(Assumptions!$C$14="yes",'Power Quality'!L45,0)</f>
        <v>0</v>
      </c>
      <c r="L25" s="81">
        <f>IF(Assumptions!$C$14="yes",'Power Quality'!M45,0)</f>
        <v>0</v>
      </c>
      <c r="M25" s="81">
        <f>IF(Assumptions!$C$14="yes",'Power Quality'!N45,0)</f>
        <v>0</v>
      </c>
      <c r="N25" s="81">
        <f>IF(Assumptions!$C$14="yes",'Power Quality'!O45,0)</f>
        <v>0</v>
      </c>
      <c r="O25" s="81">
        <f>IF(Assumptions!$C$14="yes",'Power Quality'!P45,0)</f>
        <v>0</v>
      </c>
      <c r="P25" s="81">
        <f>IF(Assumptions!$C$14="yes",'Power Quality'!Q45,0)</f>
        <v>0</v>
      </c>
      <c r="Q25" s="81">
        <f>IF(Assumptions!$C$14="yes",'Power Quality'!R45,0)</f>
        <v>0</v>
      </c>
      <c r="R25" s="81">
        <f>IF(Assumptions!$C$14="yes",'Power Quality'!S45,0)</f>
        <v>0</v>
      </c>
      <c r="S25" s="81">
        <f>IF(Assumptions!$C$14="yes",'Power Quality'!T45,0)</f>
        <v>0</v>
      </c>
      <c r="T25" s="81">
        <f>IF(Assumptions!$C$14="yes",'Power Quality'!U45,0)</f>
        <v>0</v>
      </c>
      <c r="U25" s="81">
        <f>IF(Assumptions!$C$14="yes",'Power Quality'!V45,0)</f>
        <v>0</v>
      </c>
      <c r="V25" s="342">
        <f>IF(Assumptions!$C$14="yes",'Power Quality'!W45,0)</f>
        <v>0</v>
      </c>
      <c r="W25" s="342">
        <f>IF(Assumptions!$C$14="yes",'Power Quality'!X45,0)</f>
        <v>0</v>
      </c>
      <c r="X25" s="81"/>
      <c r="Y25" s="74">
        <f t="shared" si="3"/>
        <v>0</v>
      </c>
      <c r="Z25" s="22">
        <f>NPV(Assumptions!$C$30,B25:U25)</f>
        <v>0</v>
      </c>
      <c r="AA25" s="86">
        <f>Z25/$Z$29</f>
        <v>0</v>
      </c>
    </row>
    <row r="26" spans="1:27">
      <c r="A26" s="545" t="s">
        <v>504</v>
      </c>
      <c r="C26" s="81"/>
      <c r="D26" s="81"/>
      <c r="E26" s="81"/>
      <c r="F26" s="81"/>
      <c r="G26" s="81"/>
      <c r="H26" s="81"/>
      <c r="I26" s="81"/>
      <c r="J26" s="81"/>
      <c r="K26" s="81"/>
      <c r="L26" s="81"/>
      <c r="M26" s="81"/>
      <c r="N26" s="81"/>
      <c r="O26" s="81"/>
      <c r="P26" s="81"/>
      <c r="Q26" s="81"/>
      <c r="R26" s="81"/>
      <c r="S26" s="81"/>
      <c r="T26" s="81"/>
      <c r="U26" s="81"/>
      <c r="V26" s="342"/>
      <c r="W26" s="342"/>
      <c r="X26" s="81"/>
      <c r="Y26" s="74"/>
      <c r="Z26" s="22">
        <f>NPV(Assumptions!$C$30,B26:U26)</f>
        <v>0</v>
      </c>
      <c r="AA26" s="86"/>
    </row>
    <row r="27" spans="1:27">
      <c r="A27" s="545" t="s">
        <v>510</v>
      </c>
      <c r="B27" s="505">
        <f>'Coal O&amp;M'!F11</f>
        <v>0</v>
      </c>
      <c r="C27" s="505">
        <f>'Coal O&amp;M'!G11</f>
        <v>0</v>
      </c>
      <c r="D27" s="505">
        <f>'Coal O&amp;M'!H11</f>
        <v>0</v>
      </c>
      <c r="E27" s="505">
        <f>'Coal O&amp;M'!I11</f>
        <v>607120.55699175817</v>
      </c>
      <c r="F27" s="505">
        <f>'Coal O&amp;M'!J11</f>
        <v>2428482.2279670327</v>
      </c>
      <c r="G27" s="505">
        <f>'Coal O&amp;M'!K11</f>
        <v>2428482.2279670327</v>
      </c>
      <c r="H27" s="505">
        <f>'Coal O&amp;M'!L11</f>
        <v>2428482.2279670327</v>
      </c>
      <c r="I27" s="505">
        <f>'Coal O&amp;M'!M11</f>
        <v>2428482.2279670327</v>
      </c>
      <c r="J27" s="505">
        <f>'Coal O&amp;M'!N11</f>
        <v>2428482.2279670327</v>
      </c>
      <c r="K27" s="505">
        <f>'Coal O&amp;M'!O11</f>
        <v>2428482.2279670327</v>
      </c>
      <c r="L27" s="505">
        <f>'Coal O&amp;M'!P11</f>
        <v>2428482.2279670327</v>
      </c>
      <c r="M27" s="505">
        <f>'Coal O&amp;M'!Q11</f>
        <v>2428482.2279670327</v>
      </c>
      <c r="N27" s="505">
        <f>'Coal O&amp;M'!R11</f>
        <v>2428482.2279670327</v>
      </c>
      <c r="O27" s="505">
        <f>'Coal O&amp;M'!S11</f>
        <v>2428482.2279670327</v>
      </c>
      <c r="P27" s="505">
        <f>'Coal O&amp;M'!T11</f>
        <v>2428482.2279670327</v>
      </c>
      <c r="Q27" s="505">
        <f>'Coal O&amp;M'!U11</f>
        <v>2428482.2279670327</v>
      </c>
      <c r="R27" s="505">
        <f>'Coal O&amp;M'!V11</f>
        <v>2428482.2279670327</v>
      </c>
      <c r="S27" s="505">
        <f>'Coal O&amp;M'!W11</f>
        <v>2428482.2279670327</v>
      </c>
      <c r="T27" s="505">
        <f>'Coal O&amp;M'!X11</f>
        <v>2428482.2279670327</v>
      </c>
      <c r="U27" s="505">
        <f>'Coal O&amp;M'!Y11</f>
        <v>2428482.2279670327</v>
      </c>
      <c r="V27" s="505">
        <f>'Coal O&amp;M'!Z11</f>
        <v>2428482.2279670327</v>
      </c>
      <c r="W27" s="505">
        <f>'Coal O&amp;M'!AA11</f>
        <v>2428482.2279670327</v>
      </c>
      <c r="X27" s="81"/>
      <c r="Y27" s="74"/>
      <c r="Z27" s="22">
        <f>NPV(Assumptions!$C$30,B27:U27)</f>
        <v>13391747.798046622</v>
      </c>
      <c r="AA27" s="86">
        <f>Z27/$Z$29</f>
        <v>0.15573416870455256</v>
      </c>
    </row>
    <row r="28" spans="1:27">
      <c r="A28" s="507" t="s">
        <v>528</v>
      </c>
      <c r="B28" s="505">
        <f>IF(Assumptions!$C$15="yes",'Power Quality'!C44,0)</f>
        <v>0</v>
      </c>
      <c r="C28" s="505">
        <f>IF(Assumptions!$C$15="yes",'Power Quality'!D44,0)</f>
        <v>1800</v>
      </c>
      <c r="D28" s="505">
        <f>IF(Assumptions!$C$15="yes",'Power Quality'!E44,0)</f>
        <v>7200</v>
      </c>
      <c r="E28" s="505">
        <f>IF(Assumptions!$C$15="yes",'Power Quality'!F44,0)</f>
        <v>7200</v>
      </c>
      <c r="F28" s="505">
        <f>IF(Assumptions!$C$15="yes",'Power Quality'!G44,0)</f>
        <v>7200</v>
      </c>
      <c r="G28" s="505">
        <f>IF(Assumptions!$C$15="yes",'Power Quality'!H44,0)</f>
        <v>7200</v>
      </c>
      <c r="H28" s="505">
        <f>IF(Assumptions!$C$15="yes",'Power Quality'!I44,0)</f>
        <v>7200</v>
      </c>
      <c r="I28" s="505">
        <f>IF(Assumptions!$C$15="yes",'Power Quality'!J44,0)</f>
        <v>7200</v>
      </c>
      <c r="J28" s="505">
        <f>IF(Assumptions!$C$15="yes",'Power Quality'!K44,0)</f>
        <v>7200</v>
      </c>
      <c r="K28" s="505">
        <f>IF(Assumptions!$C$15="yes",'Power Quality'!L44,0)</f>
        <v>7200</v>
      </c>
      <c r="L28" s="505">
        <f>IF(Assumptions!$C$15="yes",'Power Quality'!M44,0)</f>
        <v>7200</v>
      </c>
      <c r="M28" s="505">
        <f>IF(Assumptions!$C$15="yes",'Power Quality'!N44,0)</f>
        <v>7200</v>
      </c>
      <c r="N28" s="505">
        <f>IF(Assumptions!$C$15="yes",'Power Quality'!O44,0)</f>
        <v>7200</v>
      </c>
      <c r="O28" s="505">
        <f>IF(Assumptions!$C$15="yes",'Power Quality'!P44,0)</f>
        <v>7200</v>
      </c>
      <c r="P28" s="505">
        <f>IF(Assumptions!$C$15="yes",'Power Quality'!Q44,0)</f>
        <v>7200</v>
      </c>
      <c r="Q28" s="505">
        <f>IF(Assumptions!$C$15="yes",'Power Quality'!R44,0)</f>
        <v>7200</v>
      </c>
      <c r="R28" s="505">
        <f>IF(Assumptions!$C$15="yes",'Power Quality'!S44,0)</f>
        <v>7200</v>
      </c>
      <c r="S28" s="505">
        <f>IF(Assumptions!$C$15="yes",'Power Quality'!T44,0)</f>
        <v>7200</v>
      </c>
      <c r="T28" s="505">
        <f>IF(Assumptions!$C$15="yes",'Power Quality'!U44,0)</f>
        <v>7200</v>
      </c>
      <c r="U28" s="505">
        <f>IF(Assumptions!$C$15="yes",'Power Quality'!V44,0)</f>
        <v>7200</v>
      </c>
      <c r="V28" s="546">
        <f>IF(Assumptions!$C$15="yes",'Power Quality'!W44,0)</f>
        <v>7200</v>
      </c>
      <c r="W28" s="546">
        <f>IF(Assumptions!$C$15="yes",'Power Quality'!X44,0)</f>
        <v>5400</v>
      </c>
      <c r="X28" s="81"/>
      <c r="Y28" s="74">
        <f>SUM(B28:U28)</f>
        <v>131400</v>
      </c>
      <c r="Z28" s="22">
        <f>NPV(Assumptions!$C$30,B28:U28)</f>
        <v>50289.394319451705</v>
      </c>
      <c r="AA28" s="86">
        <f>Z28/$Z$29</f>
        <v>5.8482112544993084E-4</v>
      </c>
    </row>
    <row r="29" spans="1:27">
      <c r="A29" s="20" t="s">
        <v>136</v>
      </c>
      <c r="B29" s="81">
        <f t="shared" ref="B29:W29" si="4">SUM(B21:B28)</f>
        <v>0</v>
      </c>
      <c r="C29" s="81">
        <f t="shared" si="4"/>
        <v>1709693.7105061375</v>
      </c>
      <c r="D29" s="81">
        <f t="shared" si="4"/>
        <v>6660683.3344042478</v>
      </c>
      <c r="E29" s="81">
        <f t="shared" si="4"/>
        <v>7413982.2167928051</v>
      </c>
      <c r="F29" s="81">
        <f t="shared" si="4"/>
        <v>9801249.9842735343</v>
      </c>
      <c r="G29" s="81">
        <f t="shared" si="4"/>
        <v>10220169.900896691</v>
      </c>
      <c r="H29" s="81">
        <f t="shared" si="4"/>
        <v>10704985.971975861</v>
      </c>
      <c r="I29" s="81">
        <f t="shared" si="4"/>
        <v>11243060.249087056</v>
      </c>
      <c r="J29" s="81">
        <f t="shared" si="4"/>
        <v>11842130.837735845</v>
      </c>
      <c r="K29" s="81">
        <f t="shared" si="4"/>
        <v>12511378.743477026</v>
      </c>
      <c r="L29" s="81">
        <f t="shared" si="4"/>
        <v>13261736.344301756</v>
      </c>
      <c r="M29" s="81">
        <f t="shared" si="4"/>
        <v>14106265.500604186</v>
      </c>
      <c r="N29" s="81">
        <f t="shared" si="4"/>
        <v>15060621.318404179</v>
      </c>
      <c r="O29" s="81">
        <f t="shared" si="4"/>
        <v>16143621.286961131</v>
      </c>
      <c r="P29" s="81">
        <f t="shared" si="4"/>
        <v>17377944.076297101</v>
      </c>
      <c r="Q29" s="81">
        <f t="shared" si="4"/>
        <v>18790987.90265752</v>
      </c>
      <c r="R29" s="81">
        <f t="shared" si="4"/>
        <v>20415925.296047218</v>
      </c>
      <c r="S29" s="81">
        <f t="shared" si="4"/>
        <v>22292999.635999154</v>
      </c>
      <c r="T29" s="81">
        <f t="shared" si="4"/>
        <v>24471119.332224477</v>
      </c>
      <c r="U29" s="81">
        <f t="shared" si="4"/>
        <v>27009818.474654958</v>
      </c>
      <c r="V29" s="81">
        <f t="shared" si="4"/>
        <v>29981668.728028778</v>
      </c>
      <c r="W29" s="81">
        <f t="shared" si="4"/>
        <v>28818852.483541697</v>
      </c>
      <c r="X29" s="81"/>
      <c r="Y29" s="74">
        <f t="shared" si="3"/>
        <v>271038374.11730087</v>
      </c>
      <c r="Z29" s="22">
        <f>NPV(Assumptions!$C$30,B29:U29)</f>
        <v>85991069.9716288</v>
      </c>
      <c r="AA29" s="86">
        <f>Z29/$Z$29</f>
        <v>1</v>
      </c>
    </row>
    <row r="30" spans="1:27">
      <c r="B30" s="82"/>
      <c r="C30" s="82"/>
      <c r="D30" s="82"/>
      <c r="E30" s="82"/>
      <c r="F30" s="82"/>
      <c r="G30" s="82"/>
      <c r="H30" s="82"/>
      <c r="I30" s="82"/>
      <c r="J30" s="82"/>
      <c r="K30" s="82"/>
      <c r="L30" s="82"/>
      <c r="M30" s="82"/>
      <c r="N30" s="82"/>
      <c r="O30" s="82"/>
      <c r="P30" s="82"/>
      <c r="Q30" s="82"/>
      <c r="R30" s="82"/>
      <c r="S30" s="82"/>
      <c r="T30" s="82"/>
      <c r="U30" s="82"/>
      <c r="V30" s="343"/>
      <c r="W30" s="343"/>
      <c r="X30" s="82"/>
    </row>
    <row r="31" spans="1:27" s="79" customFormat="1">
      <c r="A31" s="79" t="s">
        <v>137</v>
      </c>
      <c r="B31" s="96">
        <f t="shared" ref="B31:W31" si="5">B29-B18</f>
        <v>-83993760.065324545</v>
      </c>
      <c r="C31" s="96">
        <f t="shared" si="5"/>
        <v>-9617.5279179962818</v>
      </c>
      <c r="D31" s="96">
        <f t="shared" si="5"/>
        <v>2534252.1761715533</v>
      </c>
      <c r="E31" s="96">
        <f t="shared" si="5"/>
        <v>5537196.9707783554</v>
      </c>
      <c r="F31" s="96">
        <f t="shared" si="5"/>
        <v>7960809.2760694148</v>
      </c>
      <c r="G31" s="96">
        <f t="shared" si="5"/>
        <v>8327916.9117732886</v>
      </c>
      <c r="H31" s="96">
        <f t="shared" si="5"/>
        <v>8222626.7035117857</v>
      </c>
      <c r="I31" s="96">
        <f t="shared" si="5"/>
        <v>8704923.0509035103</v>
      </c>
      <c r="J31" s="96">
        <f t="shared" si="5"/>
        <v>9246088.6775236707</v>
      </c>
      <c r="K31" s="96">
        <f t="shared" si="5"/>
        <v>9855201.3598579969</v>
      </c>
      <c r="L31" s="96">
        <f t="shared" si="5"/>
        <v>10543084.54094182</v>
      </c>
      <c r="M31" s="96">
        <f t="shared" si="5"/>
        <v>11322685.107730657</v>
      </c>
      <c r="N31" s="96">
        <f t="shared" si="5"/>
        <v>12209536.801966242</v>
      </c>
      <c r="O31" s="96">
        <f t="shared" si="5"/>
        <v>13222328.984491326</v>
      </c>
      <c r="P31" s="96">
        <f t="shared" si="5"/>
        <v>14383605.037278848</v>
      </c>
      <c r="Q31" s="96">
        <f t="shared" si="5"/>
        <v>15720620.309876148</v>
      </c>
      <c r="R31" s="96">
        <f t="shared" si="5"/>
        <v>17802753.987792436</v>
      </c>
      <c r="S31" s="96">
        <f t="shared" si="5"/>
        <v>19597374.978709161</v>
      </c>
      <c r="T31" s="96">
        <f t="shared" si="5"/>
        <v>21689580.86354636</v>
      </c>
      <c r="U31" s="96">
        <f t="shared" si="5"/>
        <v>24138727.839266419</v>
      </c>
      <c r="V31" s="346">
        <f t="shared" si="5"/>
        <v>24017199.598755397</v>
      </c>
      <c r="W31" s="346">
        <f t="shared" si="5"/>
        <v>26595500.636586659</v>
      </c>
      <c r="X31" s="96"/>
    </row>
    <row r="32" spans="1:27">
      <c r="B32" s="23">
        <f>NPV(0.1,B27:U27)</f>
        <v>13391747.798046622</v>
      </c>
    </row>
    <row r="33" spans="1:24">
      <c r="A33" s="77" t="s">
        <v>138</v>
      </c>
      <c r="B33" s="173">
        <f>IRR(B31:U31)</f>
        <v>8.5925095494605586E-2</v>
      </c>
    </row>
    <row r="34" spans="1:24">
      <c r="A34" s="76" t="s">
        <v>539</v>
      </c>
      <c r="B34" s="75">
        <f>NPV(0.1,B31:U31)</f>
        <v>-9667135.9166682903</v>
      </c>
    </row>
    <row r="35" spans="1:24">
      <c r="A35" s="76" t="s">
        <v>540</v>
      </c>
      <c r="B35" s="75">
        <f>NPV(0.1,B29:U29)</f>
        <v>85991069.9716288</v>
      </c>
    </row>
    <row r="36" spans="1:24">
      <c r="A36" s="76"/>
      <c r="B36" s="75"/>
      <c r="C36" s="19" t="s">
        <v>502</v>
      </c>
    </row>
    <row r="37" spans="1:24">
      <c r="A37" s="76"/>
      <c r="B37" s="75"/>
    </row>
    <row r="38" spans="1:24" s="177" customFormat="1">
      <c r="A38" s="175" t="s">
        <v>271</v>
      </c>
      <c r="B38" s="176"/>
      <c r="V38" s="348"/>
      <c r="W38" s="348"/>
    </row>
    <row r="39" spans="1:24" s="71" customFormat="1" ht="15.75" thickBot="1">
      <c r="A39" s="182"/>
      <c r="B39" s="183"/>
      <c r="V39" s="349"/>
      <c r="W39" s="349"/>
    </row>
    <row r="40" spans="1:24" s="71" customFormat="1">
      <c r="A40" s="184" t="s">
        <v>22</v>
      </c>
      <c r="B40" s="189" t="s">
        <v>274</v>
      </c>
      <c r="C40" s="190" t="s">
        <v>265</v>
      </c>
      <c r="D40" s="191" t="s">
        <v>266</v>
      </c>
      <c r="F40" s="187" t="s">
        <v>272</v>
      </c>
      <c r="G40" s="189" t="s">
        <v>274</v>
      </c>
      <c r="H40" s="190" t="s">
        <v>265</v>
      </c>
      <c r="I40" s="191" t="s">
        <v>266</v>
      </c>
      <c r="V40" s="349"/>
      <c r="W40" s="349"/>
    </row>
    <row r="41" spans="1:24" s="71" customFormat="1">
      <c r="A41" s="185" t="s">
        <v>273</v>
      </c>
      <c r="B41" s="218">
        <f>B33</f>
        <v>8.5925095494605586E-2</v>
      </c>
      <c r="C41" s="188">
        <f>B48</f>
        <v>6.2737762876697412E-2</v>
      </c>
      <c r="D41" s="192">
        <f>B52</f>
        <v>0.11594697902903262</v>
      </c>
      <c r="F41" s="185" t="s">
        <v>273</v>
      </c>
      <c r="G41" s="219">
        <f>B34</f>
        <v>-9667135.9166682903</v>
      </c>
      <c r="H41" s="195">
        <f>B49</f>
        <v>-28798777.094327725</v>
      </c>
      <c r="I41" s="196">
        <f>B53</f>
        <v>9464505.2609911133</v>
      </c>
      <c r="V41" s="349"/>
      <c r="W41" s="349"/>
    </row>
    <row r="42" spans="1:24" s="71" customFormat="1">
      <c r="A42" s="185" t="s">
        <v>267</v>
      </c>
      <c r="B42" s="188">
        <f>B56</f>
        <v>0.1102942670490199</v>
      </c>
      <c r="C42" s="188">
        <f>B72</f>
        <v>8.5925095494605586E-2</v>
      </c>
      <c r="D42" s="220">
        <f>B64</f>
        <v>0.14223729349790237</v>
      </c>
      <c r="F42" s="185" t="s">
        <v>267</v>
      </c>
      <c r="G42" s="195">
        <f>B57</f>
        <v>7531078.0776574416</v>
      </c>
      <c r="H42" s="195">
        <f>B73</f>
        <v>-11600563.100001967</v>
      </c>
      <c r="I42" s="221">
        <f>B65</f>
        <v>26662719.255316857</v>
      </c>
      <c r="V42" s="349"/>
      <c r="W42" s="349"/>
    </row>
    <row r="43" spans="1:24" s="71" customFormat="1" ht="15.75" thickBot="1">
      <c r="A43" s="186" t="s">
        <v>268</v>
      </c>
      <c r="B43" s="193">
        <f>B60</f>
        <v>5.7674968640808011E-2</v>
      </c>
      <c r="C43" s="222">
        <f>B68</f>
        <v>3.5495185396894113E-2</v>
      </c>
      <c r="D43" s="194">
        <f>B76</f>
        <v>8.5925095494605586E-2</v>
      </c>
      <c r="F43" s="186" t="s">
        <v>268</v>
      </c>
      <c r="G43" s="197">
        <f>B61</f>
        <v>-26865349.91099406</v>
      </c>
      <c r="H43" s="223">
        <f>B69</f>
        <v>-45996991.08865343</v>
      </c>
      <c r="I43" s="198">
        <f>B77</f>
        <v>-7733708.7333346372</v>
      </c>
      <c r="V43" s="349"/>
      <c r="W43" s="349"/>
    </row>
    <row r="44" spans="1:24" s="71" customFormat="1">
      <c r="A44" s="182"/>
      <c r="B44" s="183"/>
      <c r="V44" s="349"/>
      <c r="W44" s="349"/>
    </row>
    <row r="45" spans="1:24" s="71" customFormat="1">
      <c r="A45" s="182"/>
      <c r="B45" s="183"/>
      <c r="V45" s="349"/>
      <c r="W45" s="349"/>
    </row>
    <row r="46" spans="1:24" s="71" customFormat="1">
      <c r="A46" s="182"/>
      <c r="B46" s="183"/>
      <c r="V46" s="349"/>
      <c r="W46" s="349"/>
    </row>
    <row r="47" spans="1:24">
      <c r="A47" s="105" t="s">
        <v>265</v>
      </c>
      <c r="B47" s="178">
        <f t="shared" ref="B47:W47" si="6">B29-(B18*1.2)</f>
        <v>-100792512.07838945</v>
      </c>
      <c r="C47" s="178">
        <f t="shared" si="6"/>
        <v>-353479.77560282289</v>
      </c>
      <c r="D47" s="178">
        <f t="shared" si="6"/>
        <v>1708965.9445250146</v>
      </c>
      <c r="E47" s="178">
        <f t="shared" si="6"/>
        <v>5161839.9215754652</v>
      </c>
      <c r="F47" s="178">
        <f t="shared" si="6"/>
        <v>7592721.1344285905</v>
      </c>
      <c r="G47" s="178">
        <f t="shared" si="6"/>
        <v>7949466.3139486071</v>
      </c>
      <c r="H47" s="178">
        <f t="shared" si="6"/>
        <v>7726154.849818971</v>
      </c>
      <c r="I47" s="178">
        <f t="shared" si="6"/>
        <v>8197295.6112668011</v>
      </c>
      <c r="J47" s="178">
        <f t="shared" si="6"/>
        <v>8726880.2454812359</v>
      </c>
      <c r="K47" s="178">
        <f t="shared" si="6"/>
        <v>9323965.88313419</v>
      </c>
      <c r="L47" s="178">
        <f t="shared" si="6"/>
        <v>9999354.1802698337</v>
      </c>
      <c r="M47" s="178">
        <f t="shared" si="6"/>
        <v>10765969.029155951</v>
      </c>
      <c r="N47" s="178">
        <f t="shared" si="6"/>
        <v>11639319.898678657</v>
      </c>
      <c r="O47" s="178">
        <f t="shared" si="6"/>
        <v>12638070.523997366</v>
      </c>
      <c r="P47" s="178">
        <f t="shared" si="6"/>
        <v>13784737.229475196</v>
      </c>
      <c r="Q47" s="178">
        <f t="shared" si="6"/>
        <v>15106546.791319873</v>
      </c>
      <c r="R47" s="178">
        <f t="shared" si="6"/>
        <v>17280119.726141479</v>
      </c>
      <c r="S47" s="178">
        <f t="shared" si="6"/>
        <v>19058250.047251161</v>
      </c>
      <c r="T47" s="178">
        <f t="shared" si="6"/>
        <v>21133273.169810738</v>
      </c>
      <c r="U47" s="178">
        <f t="shared" si="6"/>
        <v>23564509.71218871</v>
      </c>
      <c r="V47" s="350">
        <f t="shared" si="6"/>
        <v>22824305.772900719</v>
      </c>
      <c r="W47" s="350">
        <f t="shared" si="6"/>
        <v>26150830.267195653</v>
      </c>
      <c r="X47" s="178"/>
    </row>
    <row r="48" spans="1:24">
      <c r="A48" s="179" t="s">
        <v>138</v>
      </c>
      <c r="B48" s="180">
        <f>IRR(B47:U47)</f>
        <v>6.2737762876697412E-2</v>
      </c>
      <c r="F48" s="22"/>
    </row>
    <row r="49" spans="1:24">
      <c r="A49" s="179" t="s">
        <v>139</v>
      </c>
      <c r="B49" s="181">
        <f>NPV(0.1,B47:U47)</f>
        <v>-28798777.094327725</v>
      </c>
      <c r="F49" s="22"/>
    </row>
    <row r="50" spans="1:24">
      <c r="F50" s="22"/>
    </row>
    <row r="51" spans="1:24">
      <c r="A51" s="105" t="s">
        <v>266</v>
      </c>
      <c r="B51" s="82">
        <f t="shared" ref="B51:W51" si="7">B29-(B18*0.8)</f>
        <v>-67195008.052259639</v>
      </c>
      <c r="C51" s="82">
        <f t="shared" si="7"/>
        <v>334244.71976683033</v>
      </c>
      <c r="D51" s="82">
        <f t="shared" si="7"/>
        <v>3359538.407818092</v>
      </c>
      <c r="E51" s="82">
        <f t="shared" si="7"/>
        <v>5912554.0199812446</v>
      </c>
      <c r="F51" s="82">
        <f t="shared" si="7"/>
        <v>8328897.4177102381</v>
      </c>
      <c r="G51" s="82">
        <f t="shared" si="7"/>
        <v>8706367.5095979683</v>
      </c>
      <c r="H51" s="82">
        <f t="shared" si="7"/>
        <v>8719098.5572046004</v>
      </c>
      <c r="I51" s="82">
        <f t="shared" si="7"/>
        <v>9212550.4905402195</v>
      </c>
      <c r="J51" s="82">
        <f t="shared" si="7"/>
        <v>9765297.1095661055</v>
      </c>
      <c r="K51" s="82">
        <f t="shared" si="7"/>
        <v>10386436.836581802</v>
      </c>
      <c r="L51" s="82">
        <f t="shared" si="7"/>
        <v>11086814.901613807</v>
      </c>
      <c r="M51" s="82">
        <f t="shared" si="7"/>
        <v>11879401.186305363</v>
      </c>
      <c r="N51" s="82">
        <f t="shared" si="7"/>
        <v>12779753.70525383</v>
      </c>
      <c r="O51" s="82">
        <f t="shared" si="7"/>
        <v>13806587.444985287</v>
      </c>
      <c r="P51" s="82">
        <f t="shared" si="7"/>
        <v>14982472.845082499</v>
      </c>
      <c r="Q51" s="82">
        <f t="shared" si="7"/>
        <v>16334693.828432422</v>
      </c>
      <c r="R51" s="82">
        <f t="shared" si="7"/>
        <v>18325388.249443393</v>
      </c>
      <c r="S51" s="82">
        <f t="shared" si="7"/>
        <v>20136499.910167161</v>
      </c>
      <c r="T51" s="82">
        <f t="shared" si="7"/>
        <v>22245888.557281986</v>
      </c>
      <c r="U51" s="82">
        <f t="shared" si="7"/>
        <v>24712945.966344126</v>
      </c>
      <c r="V51" s="343">
        <f t="shared" si="7"/>
        <v>25210093.424610071</v>
      </c>
      <c r="W51" s="343">
        <f t="shared" si="7"/>
        <v>27040171.005977668</v>
      </c>
      <c r="X51" s="82"/>
    </row>
    <row r="52" spans="1:24">
      <c r="A52" s="179" t="s">
        <v>138</v>
      </c>
      <c r="B52" s="180">
        <f>IRR(B51:U51)</f>
        <v>0.11594697902903262</v>
      </c>
      <c r="F52" s="22"/>
    </row>
    <row r="53" spans="1:24">
      <c r="A53" s="179" t="s">
        <v>139</v>
      </c>
      <c r="B53" s="181">
        <f>NPV(0.1,B51:U51)</f>
        <v>9464505.2609911133</v>
      </c>
      <c r="F53" s="22"/>
    </row>
    <row r="55" spans="1:24">
      <c r="A55" s="105" t="s">
        <v>267</v>
      </c>
      <c r="B55" s="82">
        <f t="shared" ref="B55:W55" si="8">(B29*1.2)-B18</f>
        <v>-83993760.065324545</v>
      </c>
      <c r="C55" s="82">
        <f t="shared" si="8"/>
        <v>332321.21418323112</v>
      </c>
      <c r="D55" s="82">
        <f t="shared" si="8"/>
        <v>3866388.8430524021</v>
      </c>
      <c r="E55" s="82">
        <f t="shared" si="8"/>
        <v>7019993.4141369164</v>
      </c>
      <c r="F55" s="82">
        <f t="shared" si="8"/>
        <v>9921059.2729241196</v>
      </c>
      <c r="G55" s="82">
        <f t="shared" si="8"/>
        <v>10371950.891952626</v>
      </c>
      <c r="H55" s="82">
        <f t="shared" si="8"/>
        <v>10363623.897906957</v>
      </c>
      <c r="I55" s="82">
        <f t="shared" si="8"/>
        <v>10953535.100720922</v>
      </c>
      <c r="J55" s="82">
        <f t="shared" si="8"/>
        <v>11614514.845070839</v>
      </c>
      <c r="K55" s="82">
        <f t="shared" si="8"/>
        <v>12357477.108553402</v>
      </c>
      <c r="L55" s="82">
        <f t="shared" si="8"/>
        <v>13195431.809802171</v>
      </c>
      <c r="M55" s="82">
        <f t="shared" si="8"/>
        <v>14143938.207851492</v>
      </c>
      <c r="N55" s="82">
        <f t="shared" si="8"/>
        <v>15221661.065647077</v>
      </c>
      <c r="O55" s="82">
        <f t="shared" si="8"/>
        <v>16451053.24188355</v>
      </c>
      <c r="P55" s="82">
        <f t="shared" si="8"/>
        <v>17859193.852538265</v>
      </c>
      <c r="Q55" s="82">
        <f t="shared" si="8"/>
        <v>19478817.890407652</v>
      </c>
      <c r="R55" s="82">
        <f t="shared" si="8"/>
        <v>21885939.04700188</v>
      </c>
      <c r="S55" s="82">
        <f t="shared" si="8"/>
        <v>24055974.905908991</v>
      </c>
      <c r="T55" s="82">
        <f t="shared" si="8"/>
        <v>26583804.729991253</v>
      </c>
      <c r="U55" s="82">
        <f t="shared" si="8"/>
        <v>29540691.534197409</v>
      </c>
      <c r="V55" s="343">
        <f t="shared" si="8"/>
        <v>30013533.344361149</v>
      </c>
      <c r="W55" s="343">
        <f t="shared" si="8"/>
        <v>32359271.133295</v>
      </c>
      <c r="X55" s="82"/>
    </row>
    <row r="56" spans="1:24">
      <c r="A56" s="179" t="s">
        <v>138</v>
      </c>
      <c r="B56" s="180">
        <f>IRR(B55:U55)</f>
        <v>0.1102942670490199</v>
      </c>
    </row>
    <row r="57" spans="1:24">
      <c r="A57" s="179" t="s">
        <v>139</v>
      </c>
      <c r="B57" s="181">
        <f>NPV(0.1,B55:U55)</f>
        <v>7531078.0776574416</v>
      </c>
    </row>
    <row r="59" spans="1:24">
      <c r="A59" s="105" t="s">
        <v>268</v>
      </c>
      <c r="B59" s="82">
        <f t="shared" ref="B59:W59" si="9">(B29*0.8)-B18</f>
        <v>-83993760.065324545</v>
      </c>
      <c r="C59" s="82">
        <f t="shared" si="9"/>
        <v>-351556.27001922368</v>
      </c>
      <c r="D59" s="82">
        <f t="shared" si="9"/>
        <v>1202115.5092907045</v>
      </c>
      <c r="E59" s="82">
        <f t="shared" si="9"/>
        <v>4054400.5274197944</v>
      </c>
      <c r="F59" s="82">
        <f t="shared" si="9"/>
        <v>6000559.2792147081</v>
      </c>
      <c r="G59" s="82">
        <f t="shared" si="9"/>
        <v>6283882.9315939508</v>
      </c>
      <c r="H59" s="82">
        <f t="shared" si="9"/>
        <v>6081629.5091166142</v>
      </c>
      <c r="I59" s="82">
        <f t="shared" si="9"/>
        <v>6456311.0010860991</v>
      </c>
      <c r="J59" s="82">
        <f t="shared" si="9"/>
        <v>6877662.5099765025</v>
      </c>
      <c r="K59" s="82">
        <f t="shared" si="9"/>
        <v>7352925.6111625917</v>
      </c>
      <c r="L59" s="82">
        <f t="shared" si="9"/>
        <v>7890737.2720814692</v>
      </c>
      <c r="M59" s="82">
        <f t="shared" si="9"/>
        <v>8501432.00760982</v>
      </c>
      <c r="N59" s="82">
        <f t="shared" si="9"/>
        <v>9197412.5382854082</v>
      </c>
      <c r="O59" s="82">
        <f t="shared" si="9"/>
        <v>9993604.7270991001</v>
      </c>
      <c r="P59" s="82">
        <f t="shared" si="9"/>
        <v>10908016.222019428</v>
      </c>
      <c r="Q59" s="82">
        <f t="shared" si="9"/>
        <v>11962422.729344644</v>
      </c>
      <c r="R59" s="82">
        <f t="shared" si="9"/>
        <v>13719568.928582992</v>
      </c>
      <c r="S59" s="82">
        <f t="shared" si="9"/>
        <v>15138775.051509332</v>
      </c>
      <c r="T59" s="82">
        <f t="shared" si="9"/>
        <v>16795356.997101467</v>
      </c>
      <c r="U59" s="82">
        <f t="shared" si="9"/>
        <v>18736764.14433543</v>
      </c>
      <c r="V59" s="343">
        <f t="shared" si="9"/>
        <v>18020865.853149638</v>
      </c>
      <c r="W59" s="343">
        <f t="shared" si="9"/>
        <v>20831730.139878321</v>
      </c>
      <c r="X59" s="82"/>
    </row>
    <row r="60" spans="1:24">
      <c r="A60" s="179" t="s">
        <v>138</v>
      </c>
      <c r="B60" s="180">
        <f>IRR(B59:U59)</f>
        <v>5.7674968640808011E-2</v>
      </c>
    </row>
    <row r="61" spans="1:24">
      <c r="A61" s="179" t="s">
        <v>139</v>
      </c>
      <c r="B61" s="181">
        <f>NPV(0.1,B59:U59)</f>
        <v>-26865349.91099406</v>
      </c>
    </row>
    <row r="63" spans="1:24">
      <c r="A63" s="105" t="s">
        <v>269</v>
      </c>
      <c r="B63" s="82">
        <f t="shared" ref="B63:W63" si="10">(B29*1.2)-(B18*0.8)</f>
        <v>-67195008.052259639</v>
      </c>
      <c r="C63" s="82">
        <f t="shared" si="10"/>
        <v>676183.46186805773</v>
      </c>
      <c r="D63" s="82">
        <f t="shared" si="10"/>
        <v>4691675.0746989409</v>
      </c>
      <c r="E63" s="82">
        <f t="shared" si="10"/>
        <v>7395350.4633398056</v>
      </c>
      <c r="F63" s="82">
        <f t="shared" si="10"/>
        <v>10289147.414564945</v>
      </c>
      <c r="G63" s="82">
        <f t="shared" si="10"/>
        <v>10750401.489777306</v>
      </c>
      <c r="H63" s="82">
        <f t="shared" si="10"/>
        <v>10860095.751599772</v>
      </c>
      <c r="I63" s="82">
        <f t="shared" si="10"/>
        <v>11461162.540357631</v>
      </c>
      <c r="J63" s="82">
        <f t="shared" si="10"/>
        <v>12133723.277113274</v>
      </c>
      <c r="K63" s="82">
        <f t="shared" si="10"/>
        <v>12888712.585277207</v>
      </c>
      <c r="L63" s="82">
        <f t="shared" si="10"/>
        <v>13739162.170474159</v>
      </c>
      <c r="M63" s="82">
        <f t="shared" si="10"/>
        <v>14700654.286426198</v>
      </c>
      <c r="N63" s="82">
        <f t="shared" si="10"/>
        <v>15791877.968934665</v>
      </c>
      <c r="O63" s="82">
        <f t="shared" si="10"/>
        <v>17035311.702377513</v>
      </c>
      <c r="P63" s="82">
        <f t="shared" si="10"/>
        <v>18458061.660341918</v>
      </c>
      <c r="Q63" s="82">
        <f t="shared" si="10"/>
        <v>20092891.408963926</v>
      </c>
      <c r="R63" s="82">
        <f t="shared" si="10"/>
        <v>22408573.308652837</v>
      </c>
      <c r="S63" s="82">
        <f t="shared" si="10"/>
        <v>24595099.837366991</v>
      </c>
      <c r="T63" s="82">
        <f t="shared" si="10"/>
        <v>27140112.423726879</v>
      </c>
      <c r="U63" s="82">
        <f t="shared" si="10"/>
        <v>30114909.661275115</v>
      </c>
      <c r="V63" s="343">
        <f t="shared" si="10"/>
        <v>31206427.170215826</v>
      </c>
      <c r="W63" s="343">
        <f t="shared" si="10"/>
        <v>32803941.502686009</v>
      </c>
      <c r="X63" s="82"/>
    </row>
    <row r="64" spans="1:24">
      <c r="A64" s="179" t="s">
        <v>138</v>
      </c>
      <c r="B64" s="180">
        <f>IRR(B63:U63)</f>
        <v>0.14223729349790237</v>
      </c>
      <c r="E64" s="72"/>
    </row>
    <row r="65" spans="1:24">
      <c r="A65" s="179" t="s">
        <v>139</v>
      </c>
      <c r="B65" s="181">
        <f>NPV(0.1,B63:U63)</f>
        <v>26662719.255316857</v>
      </c>
      <c r="E65" s="72"/>
    </row>
    <row r="66" spans="1:24">
      <c r="E66" s="72"/>
    </row>
    <row r="67" spans="1:24">
      <c r="A67" s="105" t="s">
        <v>270</v>
      </c>
      <c r="B67" s="82">
        <f t="shared" ref="B67:W67" si="11">(B29*0.8)-(B18*1.2)</f>
        <v>-100792512.07838945</v>
      </c>
      <c r="C67" s="82">
        <f t="shared" si="11"/>
        <v>-695418.51770405029</v>
      </c>
      <c r="D67" s="82">
        <f t="shared" si="11"/>
        <v>376829.27764416579</v>
      </c>
      <c r="E67" s="82">
        <f t="shared" si="11"/>
        <v>3679043.4782169042</v>
      </c>
      <c r="F67" s="82">
        <f t="shared" si="11"/>
        <v>5632471.1375738839</v>
      </c>
      <c r="G67" s="82">
        <f t="shared" si="11"/>
        <v>5905432.3337692693</v>
      </c>
      <c r="H67" s="82">
        <f t="shared" si="11"/>
        <v>5585157.6554237995</v>
      </c>
      <c r="I67" s="82">
        <f t="shared" si="11"/>
        <v>5948683.5614493899</v>
      </c>
      <c r="J67" s="82">
        <f t="shared" si="11"/>
        <v>6358454.0779340677</v>
      </c>
      <c r="K67" s="82">
        <f t="shared" si="11"/>
        <v>6821690.1344387848</v>
      </c>
      <c r="L67" s="82">
        <f t="shared" si="11"/>
        <v>7347006.9114094824</v>
      </c>
      <c r="M67" s="82">
        <f t="shared" si="11"/>
        <v>7944715.9290351141</v>
      </c>
      <c r="N67" s="82">
        <f t="shared" si="11"/>
        <v>8627195.6349978223</v>
      </c>
      <c r="O67" s="82">
        <f t="shared" si="11"/>
        <v>9409346.2666051388</v>
      </c>
      <c r="P67" s="82">
        <f t="shared" si="11"/>
        <v>10309148.414215777</v>
      </c>
      <c r="Q67" s="82">
        <f t="shared" si="11"/>
        <v>11348349.210788369</v>
      </c>
      <c r="R67" s="82">
        <f t="shared" si="11"/>
        <v>13196934.666932035</v>
      </c>
      <c r="S67" s="82">
        <f t="shared" si="11"/>
        <v>14599650.120051334</v>
      </c>
      <c r="T67" s="82">
        <f t="shared" si="11"/>
        <v>16239049.303365845</v>
      </c>
      <c r="U67" s="82">
        <f t="shared" si="11"/>
        <v>18162546.01725772</v>
      </c>
      <c r="V67" s="343">
        <f t="shared" si="11"/>
        <v>16827972.027294964</v>
      </c>
      <c r="W67" s="343">
        <f t="shared" si="11"/>
        <v>20387059.770487316</v>
      </c>
      <c r="X67" s="82"/>
    </row>
    <row r="68" spans="1:24">
      <c r="A68" s="179" t="s">
        <v>138</v>
      </c>
      <c r="B68" s="180">
        <f>IRR(B67:U67)</f>
        <v>3.5495185396894113E-2</v>
      </c>
      <c r="E68" s="72"/>
    </row>
    <row r="69" spans="1:24">
      <c r="A69" s="179" t="s">
        <v>139</v>
      </c>
      <c r="B69" s="181">
        <f>NPV(0.1,B67:U67)</f>
        <v>-45996991.08865343</v>
      </c>
      <c r="E69" s="72"/>
    </row>
    <row r="70" spans="1:24">
      <c r="E70" s="72"/>
    </row>
    <row r="71" spans="1:24">
      <c r="A71" s="105" t="s">
        <v>283</v>
      </c>
      <c r="B71" s="82">
        <f t="shared" ref="B71:W71" si="12">(B29*1.2)-(B18*1.2)</f>
        <v>-100792512.07838945</v>
      </c>
      <c r="C71" s="82">
        <f t="shared" si="12"/>
        <v>-11541.033501595492</v>
      </c>
      <c r="D71" s="82">
        <f t="shared" si="12"/>
        <v>3041102.6114058634</v>
      </c>
      <c r="E71" s="82">
        <f t="shared" si="12"/>
        <v>6644636.3649340263</v>
      </c>
      <c r="F71" s="82">
        <f t="shared" si="12"/>
        <v>9552971.1312832963</v>
      </c>
      <c r="G71" s="82">
        <f t="shared" si="12"/>
        <v>9993500.2941279449</v>
      </c>
      <c r="H71" s="82">
        <f t="shared" si="12"/>
        <v>9867152.0442141425</v>
      </c>
      <c r="I71" s="82">
        <f t="shared" si="12"/>
        <v>10445907.661084212</v>
      </c>
      <c r="J71" s="82">
        <f t="shared" si="12"/>
        <v>11095306.413028404</v>
      </c>
      <c r="K71" s="82">
        <f t="shared" si="12"/>
        <v>11826241.631829595</v>
      </c>
      <c r="L71" s="82">
        <f t="shared" si="12"/>
        <v>12651701.449130185</v>
      </c>
      <c r="M71" s="82">
        <f t="shared" si="12"/>
        <v>13587222.129276786</v>
      </c>
      <c r="N71" s="82">
        <f t="shared" si="12"/>
        <v>14651444.162359491</v>
      </c>
      <c r="O71" s="82">
        <f t="shared" si="12"/>
        <v>15866794.78138959</v>
      </c>
      <c r="P71" s="82">
        <f t="shared" si="12"/>
        <v>17260326.044734616</v>
      </c>
      <c r="Q71" s="82">
        <f t="shared" si="12"/>
        <v>18864744.371851377</v>
      </c>
      <c r="R71" s="82">
        <f t="shared" si="12"/>
        <v>21363304.785350922</v>
      </c>
      <c r="S71" s="82">
        <f t="shared" si="12"/>
        <v>23516849.974450991</v>
      </c>
      <c r="T71" s="82">
        <f t="shared" si="12"/>
        <v>26027497.036255632</v>
      </c>
      <c r="U71" s="82">
        <f t="shared" si="12"/>
        <v>28966473.407119699</v>
      </c>
      <c r="V71" s="343">
        <f t="shared" si="12"/>
        <v>28820639.518506475</v>
      </c>
      <c r="W71" s="343">
        <f t="shared" si="12"/>
        <v>31914600.763903994</v>
      </c>
      <c r="X71" s="82"/>
    </row>
    <row r="72" spans="1:24">
      <c r="A72" s="179" t="s">
        <v>138</v>
      </c>
      <c r="B72" s="180">
        <f>IRR(B71:U71)</f>
        <v>8.5925095494605586E-2</v>
      </c>
      <c r="E72" s="72"/>
      <c r="H72" s="72"/>
    </row>
    <row r="73" spans="1:24">
      <c r="A73" s="179" t="s">
        <v>139</v>
      </c>
      <c r="B73" s="181">
        <f>NPV(0.1,B71:U71)</f>
        <v>-11600563.100001967</v>
      </c>
    </row>
    <row r="75" spans="1:24">
      <c r="A75" s="105" t="s">
        <v>284</v>
      </c>
      <c r="B75" s="82">
        <f t="shared" ref="B75:W75" si="13">(B29*0.8)-(B18*0.8)</f>
        <v>-67195008.052259639</v>
      </c>
      <c r="C75" s="82">
        <f t="shared" si="13"/>
        <v>-7694.022334397072</v>
      </c>
      <c r="D75" s="82">
        <f t="shared" si="13"/>
        <v>2027401.7409372432</v>
      </c>
      <c r="E75" s="82">
        <f t="shared" si="13"/>
        <v>4429757.5766226836</v>
      </c>
      <c r="F75" s="82">
        <f t="shared" si="13"/>
        <v>6368647.4208555315</v>
      </c>
      <c r="G75" s="82">
        <f t="shared" si="13"/>
        <v>6662333.5294186305</v>
      </c>
      <c r="H75" s="82">
        <f t="shared" si="13"/>
        <v>6578101.3628094289</v>
      </c>
      <c r="I75" s="82">
        <f t="shared" si="13"/>
        <v>6963938.4407228082</v>
      </c>
      <c r="J75" s="82">
        <f t="shared" si="13"/>
        <v>7396870.9420189373</v>
      </c>
      <c r="K75" s="82">
        <f t="shared" si="13"/>
        <v>7884161.0878863968</v>
      </c>
      <c r="L75" s="82">
        <f t="shared" si="13"/>
        <v>8434467.632753456</v>
      </c>
      <c r="M75" s="82">
        <f t="shared" si="13"/>
        <v>9058148.0861845259</v>
      </c>
      <c r="N75" s="82">
        <f t="shared" si="13"/>
        <v>9767629.4415729959</v>
      </c>
      <c r="O75" s="82">
        <f t="shared" si="13"/>
        <v>10577863.187593061</v>
      </c>
      <c r="P75" s="82">
        <f t="shared" si="13"/>
        <v>11506884.02982308</v>
      </c>
      <c r="Q75" s="82">
        <f t="shared" si="13"/>
        <v>12576496.247900918</v>
      </c>
      <c r="R75" s="82">
        <f t="shared" si="13"/>
        <v>14242203.19023395</v>
      </c>
      <c r="S75" s="82">
        <f t="shared" si="13"/>
        <v>15677899.98296733</v>
      </c>
      <c r="T75" s="82">
        <f t="shared" si="13"/>
        <v>17351664.690837093</v>
      </c>
      <c r="U75" s="82">
        <f t="shared" si="13"/>
        <v>19310982.271413136</v>
      </c>
      <c r="V75" s="343">
        <f t="shared" si="13"/>
        <v>19213759.679004315</v>
      </c>
      <c r="W75" s="343">
        <f t="shared" si="13"/>
        <v>21276400.509269331</v>
      </c>
      <c r="X75" s="82"/>
    </row>
    <row r="76" spans="1:24">
      <c r="A76" s="179" t="s">
        <v>138</v>
      </c>
      <c r="B76" s="180">
        <f>IRR(B75:U75)</f>
        <v>8.5925095494605586E-2</v>
      </c>
    </row>
    <row r="77" spans="1:24">
      <c r="A77" s="179" t="s">
        <v>139</v>
      </c>
      <c r="B77" s="181">
        <f>NPV(0.1,B75:U75)</f>
        <v>-7733708.7333346372</v>
      </c>
    </row>
    <row r="79" spans="1:24">
      <c r="A79" s="430" t="s">
        <v>447</v>
      </c>
      <c r="B79" s="431">
        <f>SUM(B8:B9)/'Power Gen'!F6/1000</f>
        <v>1623.7490354898123</v>
      </c>
    </row>
  </sheetData>
  <pageMargins left="0.7" right="0.7" top="0.75" bottom="0.75" header="0.3" footer="0.3"/>
  <pageSetup scale="51" fitToWidth="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92"/>
  <sheetViews>
    <sheetView zoomScale="80" zoomScaleNormal="80" workbookViewId="0">
      <pane xSplit="2" topLeftCell="C1" activePane="topRight" state="frozen"/>
      <selection pane="topRight" activeCell="C15" sqref="C15"/>
    </sheetView>
  </sheetViews>
  <sheetFormatPr defaultRowHeight="15.75"/>
  <cols>
    <col min="1" max="1" width="4.77734375" customWidth="1"/>
    <col min="2" max="2" width="53.21875" bestFit="1" customWidth="1"/>
    <col min="3" max="3" width="12.109375" bestFit="1" customWidth="1"/>
    <col min="4" max="4" width="22" bestFit="1" customWidth="1"/>
    <col min="5" max="5" width="22" customWidth="1"/>
    <col min="6" max="6" width="14.33203125" bestFit="1" customWidth="1"/>
    <col min="7" max="7" width="12.44140625" customWidth="1"/>
    <col min="8" max="8" width="11.5546875" bestFit="1" customWidth="1"/>
    <col min="11" max="12" width="8.88671875" customWidth="1"/>
  </cols>
  <sheetData>
    <row r="1" spans="1:13" s="1" customFormat="1" ht="20.25">
      <c r="B1" s="2" t="s">
        <v>576</v>
      </c>
      <c r="C1" s="2"/>
      <c r="D1" s="3"/>
    </row>
    <row r="2" spans="1:13" s="1" customFormat="1">
      <c r="B2" s="702" t="s">
        <v>595</v>
      </c>
      <c r="C2" s="9"/>
    </row>
    <row r="3" spans="1:13">
      <c r="B3" s="519"/>
    </row>
    <row r="4" spans="1:13">
      <c r="B4" s="696" t="s">
        <v>596</v>
      </c>
      <c r="C4" s="703"/>
    </row>
    <row r="5" spans="1:13">
      <c r="B5" s="705" t="s">
        <v>553</v>
      </c>
      <c r="C5" s="704"/>
    </row>
    <row r="6" spans="1:13">
      <c r="B6" s="706" t="s">
        <v>554</v>
      </c>
      <c r="C6" s="704"/>
    </row>
    <row r="7" spans="1:13">
      <c r="B7" s="707" t="s">
        <v>555</v>
      </c>
      <c r="C7" s="704"/>
    </row>
    <row r="9" spans="1:13" s="200" customFormat="1" ht="21">
      <c r="A9" s="709" t="s">
        <v>600</v>
      </c>
      <c r="B9" s="85" t="s">
        <v>143</v>
      </c>
      <c r="C9" s="199"/>
      <c r="D9" s="199"/>
      <c r="E9" s="199"/>
      <c r="F9" s="72"/>
      <c r="K9" s="19" t="s">
        <v>141</v>
      </c>
      <c r="L9" s="19" t="s">
        <v>178</v>
      </c>
      <c r="M9" s="19"/>
    </row>
    <row r="10" spans="1:13" s="200" customFormat="1">
      <c r="A10" s="649"/>
      <c r="B10" s="71"/>
      <c r="C10" s="199"/>
      <c r="D10" s="199"/>
      <c r="E10" s="199"/>
      <c r="F10" s="72"/>
      <c r="K10" s="19" t="s">
        <v>142</v>
      </c>
      <c r="L10" s="19" t="s">
        <v>179</v>
      </c>
      <c r="M10" s="19"/>
    </row>
    <row r="11" spans="1:13">
      <c r="A11" s="711"/>
      <c r="B11" s="202" t="s">
        <v>275</v>
      </c>
      <c r="C11" s="203" t="s">
        <v>277</v>
      </c>
      <c r="D11" s="204" t="s">
        <v>278</v>
      </c>
      <c r="E11" s="204"/>
      <c r="F11" s="205" t="s">
        <v>276</v>
      </c>
    </row>
    <row r="12" spans="1:13">
      <c r="A12" s="711"/>
      <c r="B12" s="91" t="s">
        <v>140</v>
      </c>
      <c r="C12" s="406" t="s">
        <v>141</v>
      </c>
      <c r="D12" s="207" t="s">
        <v>198</v>
      </c>
      <c r="E12" s="207"/>
      <c r="F12" s="208" t="s">
        <v>141</v>
      </c>
    </row>
    <row r="13" spans="1:13">
      <c r="A13" s="711"/>
      <c r="B13" s="91" t="s">
        <v>295</v>
      </c>
      <c r="C13" s="406" t="s">
        <v>142</v>
      </c>
      <c r="D13" s="207" t="s">
        <v>198</v>
      </c>
      <c r="E13" s="207"/>
      <c r="F13" s="208" t="s">
        <v>142</v>
      </c>
    </row>
    <row r="14" spans="1:13">
      <c r="A14" s="711"/>
      <c r="B14" s="91" t="s">
        <v>161</v>
      </c>
      <c r="C14" s="406" t="s">
        <v>142</v>
      </c>
      <c r="D14" s="207" t="s">
        <v>198</v>
      </c>
      <c r="E14" s="207"/>
      <c r="F14" s="208" t="s">
        <v>142</v>
      </c>
    </row>
    <row r="15" spans="1:13">
      <c r="A15" s="711"/>
      <c r="B15" s="91" t="s">
        <v>175</v>
      </c>
      <c r="C15" s="406" t="s">
        <v>141</v>
      </c>
      <c r="D15" s="207" t="s">
        <v>198</v>
      </c>
      <c r="E15" s="207"/>
      <c r="F15" s="208" t="s">
        <v>142</v>
      </c>
    </row>
    <row r="16" spans="1:13">
      <c r="A16" s="712">
        <v>1</v>
      </c>
      <c r="B16" s="91" t="s">
        <v>177</v>
      </c>
      <c r="C16" s="206" t="s">
        <v>178</v>
      </c>
      <c r="D16" s="207" t="s">
        <v>199</v>
      </c>
      <c r="E16" s="207"/>
      <c r="F16" s="208" t="s">
        <v>178</v>
      </c>
    </row>
    <row r="17" spans="1:16">
      <c r="A17" s="712"/>
      <c r="B17" s="91" t="s">
        <v>312</v>
      </c>
      <c r="C17" s="206" t="s">
        <v>141</v>
      </c>
      <c r="D17" s="207" t="s">
        <v>198</v>
      </c>
      <c r="E17" s="207"/>
      <c r="F17" s="208" t="s">
        <v>141</v>
      </c>
    </row>
    <row r="18" spans="1:16" s="200" customFormat="1">
      <c r="A18" s="710"/>
      <c r="B18" s="72"/>
      <c r="C18" s="201"/>
      <c r="D18" s="199"/>
      <c r="E18" s="199"/>
      <c r="F18" s="72"/>
    </row>
    <row r="19" spans="1:16">
      <c r="A19" s="712"/>
      <c r="B19" s="209" t="s">
        <v>279</v>
      </c>
      <c r="C19" s="210" t="s">
        <v>280</v>
      </c>
      <c r="D19" s="211" t="s">
        <v>278</v>
      </c>
      <c r="E19" s="211" t="s">
        <v>501</v>
      </c>
      <c r="F19" s="231" t="s">
        <v>276</v>
      </c>
      <c r="G19" s="231" t="s">
        <v>282</v>
      </c>
      <c r="H19" s="231" t="s">
        <v>281</v>
      </c>
    </row>
    <row r="20" spans="1:16">
      <c r="A20" s="712">
        <v>2</v>
      </c>
      <c r="B20" s="68" t="s">
        <v>153</v>
      </c>
      <c r="C20" s="411">
        <f>IF(E20=$F$19,F20, IF(E20=$G$19,G20,IF(E20=$H$19,H20,)))</f>
        <v>104904.58732708107</v>
      </c>
      <c r="D20" s="212" t="s">
        <v>62</v>
      </c>
      <c r="E20" s="650" t="s">
        <v>276</v>
      </c>
      <c r="F20" s="228">
        <f>Health!B122</f>
        <v>104904.58732708107</v>
      </c>
      <c r="G20" s="213">
        <v>80000</v>
      </c>
      <c r="H20" s="213">
        <v>120000</v>
      </c>
    </row>
    <row r="21" spans="1:16">
      <c r="A21" s="712">
        <v>2</v>
      </c>
      <c r="B21" s="68" t="s">
        <v>148</v>
      </c>
      <c r="C21" s="408">
        <f>IF(E21=$F$19,F21, IF(E21=$G$19,G21,IF(E21=$H$19,H21,)))</f>
        <v>1</v>
      </c>
      <c r="D21" s="212" t="s">
        <v>58</v>
      </c>
      <c r="E21" s="650" t="s">
        <v>276</v>
      </c>
      <c r="F21" s="229">
        <v>1</v>
      </c>
      <c r="G21" s="68">
        <v>1</v>
      </c>
      <c r="H21" s="68">
        <v>2</v>
      </c>
    </row>
    <row r="22" spans="1:16">
      <c r="A22" s="712">
        <v>2</v>
      </c>
      <c r="B22" s="68" t="s">
        <v>155</v>
      </c>
      <c r="C22" s="412">
        <f>IF(E22=$F$19,F22, IF(E22=$G$19,G22,IF(E22=$H$19,H22,)))</f>
        <v>3.7999999999999999E-2</v>
      </c>
      <c r="D22" s="212" t="s">
        <v>241</v>
      </c>
      <c r="E22" s="650" t="s">
        <v>276</v>
      </c>
      <c r="F22" s="230">
        <v>3.7999999999999999E-2</v>
      </c>
      <c r="G22" s="216">
        <v>0.03</v>
      </c>
      <c r="H22" s="216">
        <v>0.04</v>
      </c>
    </row>
    <row r="23" spans="1:16">
      <c r="A23" s="712">
        <v>3</v>
      </c>
      <c r="B23" s="68" t="s">
        <v>156</v>
      </c>
      <c r="C23" s="503">
        <f>IF(E23=$F$19,F23, IF(E23=$G$19,G23,IF(E23=$H$19,H23,)))</f>
        <v>1319.86</v>
      </c>
      <c r="D23" s="212" t="s">
        <v>63</v>
      </c>
      <c r="E23" s="650" t="s">
        <v>276</v>
      </c>
      <c r="F23" s="503">
        <f>1319.86</f>
        <v>1319.86</v>
      </c>
      <c r="G23" s="504">
        <v>1302.9422999999999</v>
      </c>
      <c r="H23" s="504">
        <v>1418.9918</v>
      </c>
      <c r="I23" s="385"/>
    </row>
    <row r="24" spans="1:16">
      <c r="A24" s="712"/>
      <c r="B24" s="68" t="s">
        <v>151</v>
      </c>
      <c r="C24" s="522">
        <f>IF(E24=$F$19,F24, IF(E24=$G$19,G24,IF(E24=$H$19,H24,)))</f>
        <v>0.04</v>
      </c>
      <c r="D24" s="215" t="s">
        <v>152</v>
      </c>
      <c r="E24" s="650" t="s">
        <v>276</v>
      </c>
      <c r="F24" s="520">
        <v>0.04</v>
      </c>
      <c r="G24" s="521">
        <v>0.03</v>
      </c>
      <c r="H24" s="521">
        <v>0.05</v>
      </c>
    </row>
    <row r="25" spans="1:16">
      <c r="A25" s="712">
        <v>4</v>
      </c>
      <c r="B25" s="68" t="s">
        <v>159</v>
      </c>
      <c r="C25" s="407">
        <f t="shared" ref="C25:C31" si="0">IF(E25=$F$19,F25, IF(E25=$G$19,G25,IF(E25=$H$19,H25,)))</f>
        <v>2821</v>
      </c>
      <c r="D25" s="215" t="s">
        <v>158</v>
      </c>
      <c r="E25" s="650" t="s">
        <v>276</v>
      </c>
      <c r="F25" s="228">
        <v>2821</v>
      </c>
      <c r="G25" s="213">
        <v>2500</v>
      </c>
      <c r="H25" s="213">
        <v>3000</v>
      </c>
    </row>
    <row r="26" spans="1:16">
      <c r="A26" s="712"/>
      <c r="B26" s="68" t="s">
        <v>240</v>
      </c>
      <c r="C26" s="412">
        <f t="shared" si="0"/>
        <v>0.26500000000000001</v>
      </c>
      <c r="D26" s="215" t="s">
        <v>242</v>
      </c>
      <c r="E26" s="650" t="s">
        <v>276</v>
      </c>
      <c r="F26" s="230">
        <v>0.26500000000000001</v>
      </c>
      <c r="G26" s="214">
        <v>0.2</v>
      </c>
      <c r="H26" s="214">
        <v>0.3</v>
      </c>
    </row>
    <row r="27" spans="1:16">
      <c r="A27" s="712">
        <v>5</v>
      </c>
      <c r="B27" s="68" t="s">
        <v>350</v>
      </c>
      <c r="C27" s="409">
        <f t="shared" si="0"/>
        <v>0.25</v>
      </c>
      <c r="D27" s="215" t="s">
        <v>351</v>
      </c>
      <c r="E27" s="650" t="s">
        <v>276</v>
      </c>
      <c r="F27" s="316">
        <v>0.25</v>
      </c>
      <c r="G27" s="214">
        <v>0.2</v>
      </c>
      <c r="H27" s="214">
        <v>0.3</v>
      </c>
    </row>
    <row r="28" spans="1:16">
      <c r="A28" s="712">
        <v>6</v>
      </c>
      <c r="B28" s="68" t="s">
        <v>352</v>
      </c>
      <c r="C28" s="420">
        <f t="shared" si="0"/>
        <v>0.05</v>
      </c>
      <c r="D28" s="421" t="s">
        <v>353</v>
      </c>
      <c r="E28" s="650" t="s">
        <v>276</v>
      </c>
      <c r="F28" s="316">
        <v>0.05</v>
      </c>
      <c r="G28" s="214">
        <v>0</v>
      </c>
      <c r="H28" s="214">
        <v>0.1</v>
      </c>
    </row>
    <row r="29" spans="1:16">
      <c r="A29" s="712">
        <v>7</v>
      </c>
      <c r="B29" s="322" t="s">
        <v>368</v>
      </c>
      <c r="C29" s="410">
        <f t="shared" si="0"/>
        <v>2.0500285737017739E-2</v>
      </c>
      <c r="D29" s="323" t="s">
        <v>299</v>
      </c>
      <c r="E29" s="650" t="s">
        <v>276</v>
      </c>
      <c r="F29" s="330">
        <f>0.0314337714634272/46*30</f>
        <v>2.0500285737017739E-2</v>
      </c>
      <c r="G29" s="331">
        <f>0.025/46*30</f>
        <v>1.6304347826086956E-2</v>
      </c>
      <c r="H29" s="331">
        <f>0.035/45*30</f>
        <v>2.3333333333333334E-2</v>
      </c>
      <c r="J29" s="422">
        <f>F29/$N29</f>
        <v>29.729516992020621</v>
      </c>
      <c r="K29" s="422">
        <f>G29/$N29</f>
        <v>23.644567298113227</v>
      </c>
      <c r="L29" s="422">
        <f>H29/$N29</f>
        <v>33.838002977744267</v>
      </c>
      <c r="M29" s="423" t="s">
        <v>446</v>
      </c>
      <c r="N29">
        <f>0.68956/1000</f>
        <v>6.8955999999999998E-4</v>
      </c>
      <c r="O29" t="s">
        <v>445</v>
      </c>
      <c r="P29" t="s">
        <v>444</v>
      </c>
    </row>
    <row r="30" spans="1:16">
      <c r="A30" s="712">
        <v>7</v>
      </c>
      <c r="B30" s="322" t="s">
        <v>538</v>
      </c>
      <c r="C30" s="641">
        <f t="shared" si="0"/>
        <v>0.1</v>
      </c>
      <c r="D30" s="323"/>
      <c r="E30" s="645" t="s">
        <v>276</v>
      </c>
      <c r="F30" s="527">
        <v>0.1</v>
      </c>
      <c r="G30" s="527">
        <v>7.0000000000000007E-2</v>
      </c>
      <c r="H30" s="527">
        <v>0.13250000000000001</v>
      </c>
      <c r="I30" t="s">
        <v>567</v>
      </c>
      <c r="J30" s="422"/>
      <c r="K30" s="422"/>
      <c r="L30" s="422"/>
      <c r="M30" s="423"/>
    </row>
    <row r="31" spans="1:16">
      <c r="A31" s="712">
        <v>7</v>
      </c>
      <c r="B31" s="322" t="s">
        <v>557</v>
      </c>
      <c r="C31" s="641">
        <f t="shared" si="0"/>
        <v>0.12</v>
      </c>
      <c r="D31" s="323"/>
      <c r="E31" s="650" t="s">
        <v>276</v>
      </c>
      <c r="F31" s="527">
        <v>0.12</v>
      </c>
      <c r="G31" s="527">
        <v>0.1</v>
      </c>
      <c r="H31" s="521">
        <f>RATE(8,,'Power Quality'!B14,-'Power Quality'!J14)</f>
        <v>0.14566391970097681</v>
      </c>
      <c r="J31" s="422"/>
      <c r="K31" s="422"/>
      <c r="L31" s="422"/>
      <c r="M31" s="423"/>
    </row>
    <row r="32" spans="1:16" s="200" customFormat="1">
      <c r="A32" s="649"/>
      <c r="B32" s="72"/>
    </row>
    <row r="33" spans="2:8">
      <c r="B33" s="217" t="s">
        <v>285</v>
      </c>
      <c r="C33" s="226"/>
      <c r="F33" s="652"/>
      <c r="G33" s="649"/>
      <c r="H33" s="649"/>
    </row>
    <row r="34" spans="2:8">
      <c r="B34" s="69" t="s">
        <v>418</v>
      </c>
      <c r="C34" s="224">
        <f>'MCC ERRs'!B29</f>
        <v>0.16966054511267004</v>
      </c>
      <c r="D34" s="225"/>
      <c r="E34" s="225"/>
      <c r="F34" s="649"/>
      <c r="G34" s="649"/>
      <c r="H34" s="649"/>
    </row>
    <row r="35" spans="2:8">
      <c r="B35" s="70" t="s">
        <v>564</v>
      </c>
      <c r="C35" s="325">
        <f>'MCC ERRs'!B30</f>
        <v>5117202.9740950344</v>
      </c>
      <c r="F35" s="653"/>
      <c r="G35" s="654"/>
      <c r="H35" s="654"/>
    </row>
    <row r="36" spans="2:8">
      <c r="B36" s="70"/>
      <c r="C36" s="325"/>
      <c r="F36" s="651"/>
      <c r="G36" s="289"/>
      <c r="H36" s="289"/>
    </row>
    <row r="37" spans="2:8">
      <c r="B37" s="69" t="s">
        <v>419</v>
      </c>
      <c r="C37" s="224">
        <f>'MCC ERRs'!B25</f>
        <v>0.25466853868467165</v>
      </c>
      <c r="F37" s="651"/>
      <c r="G37" s="648"/>
      <c r="H37" s="648"/>
    </row>
    <row r="38" spans="2:8">
      <c r="B38" s="70" t="s">
        <v>565</v>
      </c>
      <c r="C38" s="325">
        <f>'MCC ERRs'!B26</f>
        <v>7786581.099742407</v>
      </c>
      <c r="F38" s="651"/>
      <c r="G38" s="289"/>
      <c r="H38" s="289"/>
    </row>
    <row r="39" spans="2:8">
      <c r="B39" s="70"/>
      <c r="C39" s="356"/>
      <c r="F39" s="651"/>
      <c r="G39" s="648"/>
      <c r="H39" s="648"/>
    </row>
    <row r="40" spans="2:8">
      <c r="B40" s="69" t="s">
        <v>400</v>
      </c>
      <c r="C40" s="224">
        <f>'Project ERR'!B33</f>
        <v>8.5925095494605586E-2</v>
      </c>
      <c r="F40" s="651"/>
      <c r="G40" s="655"/>
      <c r="H40" s="289"/>
    </row>
    <row r="41" spans="2:8">
      <c r="B41" s="70" t="s">
        <v>566</v>
      </c>
      <c r="C41" s="227">
        <f>'Project ERR'!B34</f>
        <v>-9667135.9166682903</v>
      </c>
      <c r="F41" s="651"/>
      <c r="G41" s="324"/>
      <c r="H41" s="648"/>
    </row>
    <row r="42" spans="2:8">
      <c r="F42" s="497"/>
      <c r="G42" s="497"/>
      <c r="H42" s="497"/>
    </row>
    <row r="43" spans="2:8">
      <c r="F43" s="647"/>
      <c r="G43" s="649"/>
      <c r="H43" s="649"/>
    </row>
    <row r="44" spans="2:8">
      <c r="B44">
        <v>5174108.4000000004</v>
      </c>
      <c r="F44" s="651"/>
      <c r="G44" s="289"/>
      <c r="H44" s="289"/>
    </row>
    <row r="45" spans="2:8">
      <c r="B45">
        <f>B44/F23</f>
        <v>3920.1948691527896</v>
      </c>
      <c r="F45" s="651"/>
      <c r="G45" s="648"/>
      <c r="H45" s="648"/>
    </row>
    <row r="46" spans="2:8">
      <c r="F46" s="651"/>
      <c r="G46" s="289"/>
      <c r="H46" s="649"/>
    </row>
    <row r="47" spans="2:8">
      <c r="F47" s="651"/>
      <c r="G47" s="648"/>
      <c r="H47" s="649"/>
    </row>
    <row r="48" spans="2:8">
      <c r="F48" s="651"/>
      <c r="G48" s="656"/>
      <c r="H48" s="289"/>
    </row>
    <row r="49" spans="1:14">
      <c r="B49" s="15"/>
      <c r="C49" s="1"/>
      <c r="D49" s="1"/>
      <c r="E49" s="1"/>
      <c r="F49" s="1"/>
      <c r="G49" s="1"/>
      <c r="H49" s="1"/>
      <c r="I49" s="1"/>
      <c r="J49" s="1"/>
      <c r="K49" s="1"/>
      <c r="L49" s="1"/>
      <c r="M49" s="1"/>
      <c r="N49" s="1"/>
    </row>
    <row r="50" spans="1:14">
      <c r="B50" s="4" t="s">
        <v>21</v>
      </c>
      <c r="D50" s="1"/>
      <c r="E50" s="1"/>
      <c r="F50" s="1"/>
      <c r="G50" s="1"/>
      <c r="H50" s="1"/>
      <c r="I50" s="1"/>
      <c r="J50" s="1"/>
      <c r="K50" s="1"/>
      <c r="L50" s="1"/>
      <c r="M50" s="1"/>
      <c r="N50" s="1"/>
    </row>
    <row r="51" spans="1:14">
      <c r="B51" s="15"/>
      <c r="C51" s="1"/>
      <c r="D51" s="1"/>
      <c r="E51" s="1"/>
      <c r="F51" s="1">
        <f>F55*G55</f>
        <v>88674.669298328125</v>
      </c>
      <c r="G51" s="1">
        <f>F56*E55</f>
        <v>88674.669298328139</v>
      </c>
      <c r="J51" s="1"/>
      <c r="K51" s="1"/>
      <c r="L51" s="1"/>
      <c r="M51" s="1"/>
      <c r="N51" s="1"/>
    </row>
    <row r="52" spans="1:14" ht="33" customHeight="1">
      <c r="B52" s="13" t="s">
        <v>49</v>
      </c>
      <c r="C52" s="498">
        <v>8000</v>
      </c>
      <c r="D52" s="499" t="s">
        <v>62</v>
      </c>
      <c r="E52" s="1"/>
      <c r="G52" s="1"/>
      <c r="H52" s="1"/>
      <c r="J52" s="1"/>
      <c r="K52" s="1"/>
      <c r="L52" s="1"/>
      <c r="M52" s="1"/>
      <c r="N52" s="1"/>
    </row>
    <row r="53" spans="1:14" ht="28.5" customHeight="1">
      <c r="B53" s="691" t="s">
        <v>592</v>
      </c>
      <c r="C53" s="500">
        <v>6</v>
      </c>
      <c r="D53" s="499" t="s">
        <v>58</v>
      </c>
      <c r="E53" s="1"/>
      <c r="F53" s="17">
        <f>C53*C54</f>
        <v>5760000</v>
      </c>
      <c r="G53" s="1" t="s">
        <v>60</v>
      </c>
      <c r="J53" s="1"/>
      <c r="K53" s="1"/>
      <c r="L53" s="1"/>
      <c r="M53" s="1"/>
      <c r="N53" s="1"/>
    </row>
    <row r="54" spans="1:14" ht="31.5" customHeight="1">
      <c r="B54" s="13" t="s">
        <v>594</v>
      </c>
      <c r="C54" s="498">
        <v>960000</v>
      </c>
      <c r="D54" s="499" t="s">
        <v>59</v>
      </c>
      <c r="E54" s="1" t="s">
        <v>573</v>
      </c>
      <c r="F54" s="680" t="s">
        <v>572</v>
      </c>
      <c r="G54" s="1" t="s">
        <v>574</v>
      </c>
      <c r="H54" s="1" t="s">
        <v>575</v>
      </c>
      <c r="K54" s="1"/>
      <c r="L54" s="1"/>
      <c r="M54" s="1"/>
      <c r="N54" s="1"/>
    </row>
    <row r="55" spans="1:14" ht="31.5" customHeight="1">
      <c r="B55" s="13" t="s">
        <v>593</v>
      </c>
      <c r="C55" s="501">
        <f>206200/7800000</f>
        <v>2.6435897435897436E-2</v>
      </c>
      <c r="D55" s="499" t="s">
        <v>61</v>
      </c>
      <c r="E55" s="1">
        <v>7800000</v>
      </c>
      <c r="F55" s="330">
        <v>3.1433771463427199E-2</v>
      </c>
      <c r="G55" s="1">
        <v>2821000</v>
      </c>
      <c r="H55" s="1">
        <f>E55/G55</f>
        <v>2.7649769585253456</v>
      </c>
      <c r="K55" s="1"/>
      <c r="L55" s="1"/>
      <c r="M55" s="1"/>
      <c r="N55" s="1"/>
    </row>
    <row r="56" spans="1:14" ht="25.5">
      <c r="B56" s="13" t="s">
        <v>50</v>
      </c>
      <c r="C56" s="498">
        <f>1200000</f>
        <v>1200000</v>
      </c>
      <c r="D56" s="499" t="s">
        <v>571</v>
      </c>
      <c r="F56" s="1">
        <f>F55/H55</f>
        <v>1.1368547345939504E-2</v>
      </c>
      <c r="G56" s="1"/>
      <c r="I56" s="1"/>
      <c r="J56" s="1"/>
      <c r="K56" s="1"/>
      <c r="L56" s="1"/>
      <c r="M56" s="1"/>
      <c r="N56" s="1"/>
    </row>
    <row r="57" spans="1:14" ht="23.25" customHeight="1">
      <c r="B57" s="516" t="s">
        <v>511</v>
      </c>
      <c r="C57" s="518">
        <v>6.0000000000000001E-3</v>
      </c>
      <c r="D57" s="518" t="s">
        <v>570</v>
      </c>
      <c r="G57" s="1"/>
      <c r="H57" s="1"/>
      <c r="I57" s="514" t="s">
        <v>516</v>
      </c>
      <c r="J57" s="515"/>
      <c r="K57" s="515"/>
    </row>
    <row r="58" spans="1:14" ht="32.25" customHeight="1">
      <c r="A58">
        <v>3</v>
      </c>
      <c r="B58" s="516" t="s">
        <v>544</v>
      </c>
      <c r="C58" s="692">
        <v>1320</v>
      </c>
      <c r="D58" s="693" t="s">
        <v>63</v>
      </c>
      <c r="E58" s="741"/>
      <c r="F58" s="741"/>
      <c r="G58" s="741"/>
      <c r="H58" s="695"/>
      <c r="I58" s="513" t="s">
        <v>513</v>
      </c>
      <c r="J58" s="513"/>
      <c r="K58" s="517">
        <f>0.000006*1000</f>
        <v>6.0000000000000001E-3</v>
      </c>
    </row>
    <row r="59" spans="1:14" ht="35.25" customHeight="1">
      <c r="B59" s="13" t="s">
        <v>51</v>
      </c>
      <c r="C59" s="498">
        <v>200000</v>
      </c>
      <c r="D59" s="499" t="s">
        <v>64</v>
      </c>
      <c r="F59" s="18">
        <f>C59*12</f>
        <v>2400000</v>
      </c>
      <c r="G59" s="1" t="s">
        <v>65</v>
      </c>
      <c r="I59" s="513" t="s">
        <v>514</v>
      </c>
      <c r="J59" s="513"/>
      <c r="K59" s="517">
        <f>0.00048*1000</f>
        <v>0.48000000000000004</v>
      </c>
    </row>
    <row r="60" spans="1:14" ht="32.25" customHeight="1">
      <c r="B60" s="12" t="s">
        <v>56</v>
      </c>
      <c r="C60" s="502">
        <v>7.2999999999999995E-2</v>
      </c>
      <c r="D60" s="499" t="s">
        <v>66</v>
      </c>
      <c r="G60" s="1"/>
      <c r="H60" s="1"/>
      <c r="I60" s="513" t="s">
        <v>515</v>
      </c>
      <c r="J60" s="513"/>
      <c r="K60" s="642">
        <f>0.61/C58*1000</f>
        <v>0.4621212121212121</v>
      </c>
    </row>
    <row r="61" spans="1:14">
      <c r="B61" s="14" t="s">
        <v>52</v>
      </c>
      <c r="C61" s="332" t="s">
        <v>372</v>
      </c>
      <c r="D61" s="1"/>
      <c r="E61" s="1"/>
      <c r="G61" s="1"/>
      <c r="H61" s="1"/>
      <c r="I61" s="1"/>
      <c r="J61" s="1"/>
      <c r="K61" s="1"/>
      <c r="L61" s="1"/>
      <c r="M61" s="1"/>
      <c r="N61" s="1"/>
    </row>
    <row r="62" spans="1:14">
      <c r="B62" s="1" t="s">
        <v>23</v>
      </c>
      <c r="C62" s="130">
        <v>2010</v>
      </c>
      <c r="D62" s="379">
        <v>7.0000000000000007E-2</v>
      </c>
      <c r="E62" s="130" t="s">
        <v>125</v>
      </c>
      <c r="G62" s="1"/>
      <c r="H62" s="1"/>
      <c r="I62" s="1"/>
      <c r="J62" s="1"/>
      <c r="K62" s="1"/>
      <c r="L62" s="1"/>
      <c r="M62" s="1"/>
      <c r="N62" s="1"/>
    </row>
    <row r="63" spans="1:14">
      <c r="B63" s="1" t="s">
        <v>24</v>
      </c>
      <c r="C63" s="131" t="s">
        <v>126</v>
      </c>
      <c r="D63" s="379">
        <v>0.08</v>
      </c>
      <c r="E63" s="130" t="s">
        <v>125</v>
      </c>
      <c r="G63" s="1"/>
      <c r="H63" s="1"/>
      <c r="I63" s="1"/>
      <c r="J63" s="1"/>
      <c r="K63" s="1"/>
      <c r="L63" s="1"/>
      <c r="M63" s="1"/>
      <c r="N63" s="1"/>
    </row>
    <row r="64" spans="1:14">
      <c r="B64" s="1" t="s">
        <v>25</v>
      </c>
      <c r="C64" s="131" t="s">
        <v>127</v>
      </c>
      <c r="D64" s="379">
        <v>0.127</v>
      </c>
      <c r="E64" s="130" t="s">
        <v>125</v>
      </c>
      <c r="G64" s="1"/>
      <c r="H64" s="1"/>
      <c r="I64" s="1"/>
      <c r="J64" s="1"/>
      <c r="K64" s="1"/>
      <c r="L64" s="1"/>
      <c r="M64" s="1"/>
      <c r="N64" s="1"/>
    </row>
    <row r="65" spans="2:14">
      <c r="B65" s="1" t="s">
        <v>26</v>
      </c>
      <c r="C65" s="131" t="s">
        <v>128</v>
      </c>
      <c r="D65" s="379">
        <v>0.127</v>
      </c>
      <c r="E65" s="130" t="s">
        <v>125</v>
      </c>
      <c r="G65" s="1"/>
      <c r="H65" s="1"/>
      <c r="I65" s="1"/>
      <c r="J65" s="1"/>
      <c r="K65" s="1"/>
      <c r="L65" s="1"/>
      <c r="M65" s="1"/>
      <c r="N65" s="1"/>
    </row>
    <row r="66" spans="2:14">
      <c r="B66" s="1" t="s">
        <v>27</v>
      </c>
      <c r="C66" s="131" t="s">
        <v>129</v>
      </c>
      <c r="D66" s="379">
        <v>0.127</v>
      </c>
      <c r="E66" s="130" t="s">
        <v>125</v>
      </c>
      <c r="G66" s="1"/>
      <c r="H66" s="1"/>
      <c r="I66" s="1"/>
      <c r="J66" s="1"/>
      <c r="K66" s="1"/>
      <c r="L66" s="1"/>
      <c r="M66" s="1"/>
      <c r="N66" s="1"/>
    </row>
    <row r="67" spans="2:14">
      <c r="B67" s="1" t="s">
        <v>28</v>
      </c>
      <c r="C67" s="131" t="s">
        <v>130</v>
      </c>
      <c r="D67" s="379">
        <v>0.127</v>
      </c>
      <c r="E67" s="130" t="s">
        <v>125</v>
      </c>
      <c r="G67" s="1"/>
      <c r="H67" s="1"/>
      <c r="I67" s="1"/>
      <c r="J67" s="1"/>
      <c r="K67" s="1"/>
      <c r="L67" s="1"/>
      <c r="M67" s="1"/>
      <c r="N67" s="1"/>
    </row>
    <row r="68" spans="2:14" ht="25.5">
      <c r="B68" s="13" t="s">
        <v>54</v>
      </c>
      <c r="D68" s="1"/>
      <c r="E68" s="1"/>
      <c r="F68" s="1"/>
      <c r="G68" s="1"/>
      <c r="H68" s="1"/>
      <c r="I68" s="1"/>
      <c r="J68" s="1"/>
      <c r="K68" s="1"/>
      <c r="L68" s="1"/>
      <c r="M68" s="1"/>
      <c r="N68" s="1"/>
    </row>
    <row r="69" spans="2:14" ht="26.25">
      <c r="B69" s="12" t="s">
        <v>55</v>
      </c>
      <c r="C69" s="332" t="s">
        <v>371</v>
      </c>
      <c r="D69" s="1"/>
      <c r="E69" s="1"/>
      <c r="G69" s="1"/>
      <c r="H69" s="1"/>
      <c r="I69" s="1"/>
      <c r="J69" s="1"/>
      <c r="K69" s="1"/>
      <c r="L69" s="1"/>
      <c r="M69" s="1"/>
      <c r="N69" s="1"/>
    </row>
    <row r="70" spans="2:14" ht="26.25">
      <c r="B70" s="12" t="s">
        <v>200</v>
      </c>
      <c r="C70" s="130">
        <v>2010</v>
      </c>
      <c r="D70" s="379">
        <v>7.0000000000000007E-2</v>
      </c>
      <c r="E70" s="130" t="s">
        <v>125</v>
      </c>
      <c r="G70" s="1"/>
      <c r="H70" s="1"/>
      <c r="I70" s="1"/>
      <c r="J70" s="1"/>
      <c r="K70" s="1"/>
      <c r="L70" s="1"/>
      <c r="M70" s="1"/>
      <c r="N70" s="1"/>
    </row>
    <row r="71" spans="2:14">
      <c r="B71" s="14" t="s">
        <v>53</v>
      </c>
      <c r="C71" s="131" t="s">
        <v>126</v>
      </c>
      <c r="D71" s="379">
        <v>0.08</v>
      </c>
      <c r="E71" s="130" t="s">
        <v>125</v>
      </c>
      <c r="G71" s="1"/>
      <c r="H71" s="1"/>
      <c r="I71" s="1"/>
      <c r="J71" s="1"/>
      <c r="K71" s="1"/>
      <c r="L71" s="1"/>
      <c r="M71" s="1"/>
      <c r="N71" s="1"/>
    </row>
    <row r="72" spans="2:14">
      <c r="B72" s="15"/>
      <c r="C72" s="131" t="s">
        <v>127</v>
      </c>
      <c r="D72" s="379">
        <v>8.5000000000000006E-2</v>
      </c>
      <c r="E72" s="130" t="s">
        <v>125</v>
      </c>
      <c r="G72" s="1"/>
      <c r="H72" s="1"/>
      <c r="I72" s="1"/>
      <c r="J72" s="1"/>
      <c r="K72" s="1"/>
      <c r="L72" s="1"/>
      <c r="M72" s="1"/>
      <c r="N72" s="1"/>
    </row>
    <row r="73" spans="2:14">
      <c r="B73" s="15"/>
      <c r="C73" s="131" t="s">
        <v>128</v>
      </c>
      <c r="D73" s="379">
        <v>0.09</v>
      </c>
      <c r="E73" s="130" t="s">
        <v>125</v>
      </c>
      <c r="G73" s="1"/>
      <c r="H73" s="1"/>
      <c r="I73" s="1"/>
      <c r="J73" s="1"/>
      <c r="K73" s="1"/>
      <c r="L73" s="1"/>
      <c r="M73" s="1"/>
      <c r="N73" s="1"/>
    </row>
    <row r="74" spans="2:14">
      <c r="B74" s="15"/>
      <c r="C74" s="131" t="s">
        <v>129</v>
      </c>
      <c r="D74" s="379">
        <v>0.1</v>
      </c>
      <c r="E74" s="130" t="s">
        <v>125</v>
      </c>
      <c r="G74" s="1"/>
      <c r="H74" s="1"/>
      <c r="I74" s="1"/>
      <c r="J74" s="1"/>
      <c r="K74" s="1"/>
      <c r="L74" s="1"/>
      <c r="M74" s="1"/>
      <c r="N74" s="1"/>
    </row>
    <row r="75" spans="2:14">
      <c r="B75" s="15"/>
      <c r="C75" s="131" t="s">
        <v>130</v>
      </c>
      <c r="D75" s="379">
        <v>0.123</v>
      </c>
      <c r="E75" s="130" t="s">
        <v>125</v>
      </c>
      <c r="G75" s="1"/>
      <c r="H75" s="1"/>
      <c r="I75" s="1"/>
      <c r="J75" s="1"/>
      <c r="K75" s="1"/>
      <c r="L75" s="1"/>
      <c r="M75" s="1"/>
      <c r="N75" s="1"/>
    </row>
    <row r="76" spans="2:14">
      <c r="B76" s="15"/>
      <c r="C76" s="357"/>
      <c r="D76" s="1"/>
      <c r="E76" s="1"/>
      <c r="F76" s="1"/>
      <c r="G76" s="1"/>
      <c r="H76" s="1"/>
      <c r="I76" s="1"/>
      <c r="J76" s="1"/>
      <c r="K76" s="1"/>
      <c r="L76" s="1"/>
      <c r="M76" s="1"/>
      <c r="N76" s="1"/>
    </row>
    <row r="77" spans="2:14">
      <c r="B77" s="15"/>
      <c r="C77" s="1"/>
      <c r="D77" s="1"/>
      <c r="E77" s="1"/>
      <c r="F77" s="1"/>
      <c r="G77" s="1"/>
      <c r="H77" s="1"/>
      <c r="I77" s="1"/>
      <c r="J77" s="1"/>
      <c r="K77" s="1"/>
      <c r="L77" s="1"/>
      <c r="M77" s="1"/>
      <c r="N77" s="1"/>
    </row>
    <row r="78" spans="2:14">
      <c r="B78" s="15"/>
      <c r="C78" s="1"/>
      <c r="D78" s="1"/>
      <c r="E78" s="1"/>
      <c r="F78" s="1"/>
      <c r="G78" s="1"/>
      <c r="H78" s="1"/>
      <c r="I78" s="1"/>
      <c r="J78" s="1"/>
      <c r="K78" s="1"/>
      <c r="L78" s="1"/>
      <c r="M78" s="1"/>
      <c r="N78" s="1"/>
    </row>
    <row r="79" spans="2:14">
      <c r="B79" s="15"/>
      <c r="C79" s="1"/>
      <c r="D79" s="1"/>
      <c r="E79" s="1"/>
      <c r="F79" s="1"/>
      <c r="G79" s="1"/>
      <c r="H79" s="1"/>
      <c r="I79" s="1"/>
      <c r="J79" s="1"/>
      <c r="K79" s="1"/>
      <c r="L79" s="1"/>
      <c r="M79" s="1"/>
      <c r="N79" s="1"/>
    </row>
    <row r="80" spans="2:14">
      <c r="B80" s="15"/>
      <c r="C80" s="1"/>
      <c r="D80" s="1"/>
      <c r="E80" s="1"/>
      <c r="F80" s="1"/>
      <c r="G80" s="1"/>
      <c r="H80" s="1"/>
      <c r="I80" s="1"/>
      <c r="J80" s="1"/>
      <c r="K80" s="1"/>
      <c r="L80" s="1"/>
      <c r="M80" s="1"/>
      <c r="N80" s="1"/>
    </row>
    <row r="81" spans="2:14">
      <c r="B81" s="15"/>
      <c r="C81" s="1"/>
      <c r="D81" s="1"/>
      <c r="E81" s="1"/>
      <c r="F81" s="1"/>
      <c r="G81" s="1"/>
      <c r="H81" s="1"/>
      <c r="I81" s="1"/>
      <c r="J81" s="1"/>
      <c r="K81" s="1"/>
      <c r="L81" s="1"/>
      <c r="M81" s="1"/>
      <c r="N81" s="1"/>
    </row>
    <row r="82" spans="2:14">
      <c r="B82" s="15"/>
      <c r="C82" s="1"/>
      <c r="D82" s="1"/>
      <c r="E82" s="1"/>
      <c r="F82" s="1"/>
      <c r="G82" s="1"/>
      <c r="H82" s="1">
        <f>0.000006*1000</f>
        <v>6.0000000000000001E-3</v>
      </c>
      <c r="I82" s="1"/>
      <c r="J82" s="1"/>
      <c r="K82" s="1"/>
      <c r="L82" s="1"/>
      <c r="M82" s="1"/>
      <c r="N82" s="1"/>
    </row>
    <row r="83" spans="2:14">
      <c r="B83" s="15"/>
      <c r="C83" s="1"/>
      <c r="D83" s="1"/>
      <c r="E83" s="1"/>
      <c r="F83" s="1"/>
      <c r="G83" s="1"/>
      <c r="H83" s="1" t="s">
        <v>568</v>
      </c>
      <c r="I83" s="1" t="s">
        <v>569</v>
      </c>
      <c r="J83" s="1"/>
      <c r="K83" s="1"/>
      <c r="L83" s="1"/>
      <c r="M83" s="1"/>
      <c r="N83" s="1"/>
    </row>
    <row r="85" spans="2:14">
      <c r="B85" s="708" t="s">
        <v>600</v>
      </c>
      <c r="C85" t="s">
        <v>278</v>
      </c>
    </row>
    <row r="86" spans="2:14">
      <c r="B86">
        <v>1</v>
      </c>
      <c r="C86" t="s">
        <v>601</v>
      </c>
    </row>
    <row r="87" spans="2:14">
      <c r="B87">
        <v>2</v>
      </c>
      <c r="C87" t="s">
        <v>602</v>
      </c>
    </row>
    <row r="88" spans="2:14">
      <c r="B88">
        <v>3</v>
      </c>
      <c r="C88" t="s">
        <v>604</v>
      </c>
    </row>
    <row r="89" spans="2:14">
      <c r="B89">
        <v>4</v>
      </c>
      <c r="C89" t="s">
        <v>603</v>
      </c>
    </row>
    <row r="90" spans="2:14">
      <c r="B90">
        <v>5</v>
      </c>
      <c r="C90" t="s">
        <v>605</v>
      </c>
    </row>
    <row r="91" spans="2:14">
      <c r="B91">
        <v>6</v>
      </c>
      <c r="C91" t="s">
        <v>606</v>
      </c>
    </row>
    <row r="92" spans="2:14">
      <c r="B92">
        <v>7</v>
      </c>
      <c r="C92" t="s">
        <v>607</v>
      </c>
    </row>
  </sheetData>
  <mergeCells count="1">
    <mergeCell ref="E58:G58"/>
  </mergeCells>
  <dataValidations count="5">
    <dataValidation type="list" allowBlank="1" showInputMessage="1" showErrorMessage="1" sqref="C18">
      <formula1>$AC$9:$AC$12</formula1>
    </dataValidation>
    <dataValidation type="list" allowBlank="1" showInputMessage="1" showErrorMessage="1" sqref="C12:C15 C17">
      <formula1>$K$9:$K$10</formula1>
    </dataValidation>
    <dataValidation type="list" allowBlank="1" showInputMessage="1" showErrorMessage="1" sqref="C16">
      <formula1>$L$9:$L$10</formula1>
    </dataValidation>
    <dataValidation type="list" allowBlank="1" showInputMessage="1" showErrorMessage="1" sqref="E20:E31">
      <formula1>$F$19:$H$19</formula1>
    </dataValidation>
    <dataValidation type="list" allowBlank="1" showInputMessage="1" showErrorMessage="1" sqref="C57">
      <formula1>$N$37:$N$39</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zoomScale="70" zoomScaleNormal="70" workbookViewId="0">
      <pane xSplit="1" ySplit="4" topLeftCell="B5" activePane="bottomRight" state="frozen"/>
      <selection pane="topRight" activeCell="B1" sqref="B1"/>
      <selection pane="bottomLeft" activeCell="A2" sqref="A2"/>
      <selection pane="bottomRight" activeCell="J25" sqref="J25"/>
    </sheetView>
  </sheetViews>
  <sheetFormatPr defaultColWidth="8.88671875" defaultRowHeight="15"/>
  <cols>
    <col min="1" max="1" width="40.5546875" style="19" bestFit="1" customWidth="1"/>
    <col min="2" max="2" width="11.5546875" style="19" bestFit="1" customWidth="1"/>
    <col min="3" max="17" width="9" style="19" bestFit="1" customWidth="1"/>
    <col min="18" max="23" width="10.21875" style="19" bestFit="1" customWidth="1"/>
    <col min="24" max="24" width="11" style="19" bestFit="1" customWidth="1"/>
    <col min="25" max="16384" width="8.88671875" style="19"/>
  </cols>
  <sheetData>
    <row r="1" spans="1:30" s="1" customFormat="1" ht="20.25">
      <c r="A1" s="2" t="s">
        <v>576</v>
      </c>
      <c r="B1" s="2"/>
      <c r="C1" s="3"/>
    </row>
    <row r="2" spans="1:30" s="1" customFormat="1" ht="15.75">
      <c r="A2" s="702" t="s">
        <v>595</v>
      </c>
      <c r="B2" s="9"/>
    </row>
    <row r="3" spans="1:30" s="1" customFormat="1" ht="12.75">
      <c r="A3" s="9"/>
      <c r="B3" s="9"/>
    </row>
    <row r="4" spans="1:30" ht="21">
      <c r="A4" s="21" t="s">
        <v>413</v>
      </c>
      <c r="B4" s="20">
        <v>2012</v>
      </c>
      <c r="C4" s="20">
        <v>2013</v>
      </c>
      <c r="D4" s="20">
        <v>2014</v>
      </c>
      <c r="E4" s="20">
        <v>2015</v>
      </c>
      <c r="F4" s="20">
        <v>2016</v>
      </c>
      <c r="G4" s="20">
        <v>2017</v>
      </c>
      <c r="H4" s="20">
        <v>2018</v>
      </c>
      <c r="I4" s="20">
        <v>2019</v>
      </c>
      <c r="J4" s="20">
        <v>2020</v>
      </c>
      <c r="K4" s="20">
        <v>2021</v>
      </c>
      <c r="L4" s="20">
        <v>2022</v>
      </c>
      <c r="M4" s="20">
        <v>2023</v>
      </c>
      <c r="N4" s="20">
        <v>2024</v>
      </c>
      <c r="O4" s="20">
        <v>2025</v>
      </c>
      <c r="P4" s="20">
        <v>2026</v>
      </c>
      <c r="Q4" s="20">
        <v>2027</v>
      </c>
      <c r="R4" s="20">
        <v>2028</v>
      </c>
      <c r="S4" s="20">
        <v>2029</v>
      </c>
      <c r="T4" s="20">
        <v>2030</v>
      </c>
      <c r="U4" s="20">
        <v>2031</v>
      </c>
      <c r="V4" s="20">
        <v>2032</v>
      </c>
      <c r="W4" s="20">
        <v>2033</v>
      </c>
      <c r="X4" s="20"/>
      <c r="AC4" s="132"/>
      <c r="AD4" s="133"/>
    </row>
    <row r="5" spans="1:30">
      <c r="V5" s="347"/>
      <c r="W5" s="347"/>
    </row>
    <row r="6" spans="1:30" s="70" customFormat="1">
      <c r="A6" s="69" t="s">
        <v>382</v>
      </c>
      <c r="V6" s="339"/>
      <c r="W6" s="339"/>
    </row>
    <row r="7" spans="1:30">
      <c r="A7" s="72" t="s">
        <v>414</v>
      </c>
      <c r="V7" s="347"/>
      <c r="W7" s="347"/>
    </row>
    <row r="8" spans="1:30">
      <c r="A8" s="19" t="s">
        <v>228</v>
      </c>
      <c r="B8" s="81">
        <f>'Project ERR'!B10</f>
        <v>1020000</v>
      </c>
      <c r="C8" s="81">
        <f>'Project ERR'!C10</f>
        <v>0</v>
      </c>
      <c r="D8" s="81">
        <f>'Project ERR'!D10</f>
        <v>0</v>
      </c>
      <c r="E8" s="81">
        <f>'Project ERR'!E10</f>
        <v>0</v>
      </c>
      <c r="F8" s="81">
        <f>'Project ERR'!F10</f>
        <v>0</v>
      </c>
      <c r="G8" s="81">
        <f>'Project ERR'!G10</f>
        <v>0</v>
      </c>
      <c r="H8" s="81">
        <f>'Project ERR'!H10</f>
        <v>0</v>
      </c>
      <c r="I8" s="81">
        <f>'Project ERR'!I10</f>
        <v>0</v>
      </c>
      <c r="J8" s="81">
        <f>'Project ERR'!J10</f>
        <v>0</v>
      </c>
      <c r="K8" s="81">
        <f>'Project ERR'!K10</f>
        <v>0</v>
      </c>
      <c r="L8" s="81">
        <f>'Project ERR'!L10</f>
        <v>0</v>
      </c>
      <c r="M8" s="81">
        <f>'Project ERR'!M10</f>
        <v>0</v>
      </c>
      <c r="N8" s="81">
        <f>'Project ERR'!N10</f>
        <v>0</v>
      </c>
      <c r="O8" s="81">
        <f>'Project ERR'!O10</f>
        <v>0</v>
      </c>
      <c r="P8" s="81">
        <f>'Project ERR'!P10</f>
        <v>0</v>
      </c>
      <c r="Q8" s="81">
        <f>'Project ERR'!Q10</f>
        <v>0</v>
      </c>
      <c r="R8" s="81">
        <f>'Project ERR'!R10</f>
        <v>0</v>
      </c>
      <c r="S8" s="81">
        <f>'Project ERR'!S10</f>
        <v>0</v>
      </c>
      <c r="T8" s="81">
        <f>'Project ERR'!T10</f>
        <v>0</v>
      </c>
      <c r="U8" s="81">
        <f>'Project ERR'!U10</f>
        <v>0</v>
      </c>
      <c r="V8" s="342">
        <f>'Project ERR'!V10</f>
        <v>0</v>
      </c>
      <c r="W8" s="342">
        <f>'Project ERR'!W10</f>
        <v>0</v>
      </c>
    </row>
    <row r="9" spans="1:30">
      <c r="A9" s="19" t="s">
        <v>311</v>
      </c>
      <c r="B9" s="81">
        <f>'Project ERR'!B11</f>
        <v>750000</v>
      </c>
      <c r="C9" s="81">
        <f>'Project ERR'!C11</f>
        <v>0</v>
      </c>
      <c r="D9" s="81">
        <f>'Project ERR'!D11</f>
        <v>0</v>
      </c>
      <c r="E9" s="81">
        <f>'Project ERR'!E11</f>
        <v>0</v>
      </c>
      <c r="F9" s="81">
        <f>'Project ERR'!F11</f>
        <v>0</v>
      </c>
      <c r="G9" s="81">
        <f>'Project ERR'!G11</f>
        <v>0</v>
      </c>
      <c r="H9" s="81">
        <f>'Project ERR'!H11</f>
        <v>0</v>
      </c>
      <c r="I9" s="81">
        <f>'Project ERR'!I11</f>
        <v>0</v>
      </c>
      <c r="J9" s="81">
        <f>'Project ERR'!J11</f>
        <v>0</v>
      </c>
      <c r="K9" s="81">
        <f>'Project ERR'!K11</f>
        <v>0</v>
      </c>
      <c r="L9" s="81">
        <f>'Project ERR'!L11</f>
        <v>0</v>
      </c>
      <c r="M9" s="81">
        <f>'Project ERR'!M11</f>
        <v>0</v>
      </c>
      <c r="N9" s="81">
        <f>'Project ERR'!N11</f>
        <v>0</v>
      </c>
      <c r="O9" s="81">
        <f>'Project ERR'!O11</f>
        <v>0</v>
      </c>
      <c r="P9" s="81">
        <f>'Project ERR'!P11</f>
        <v>0</v>
      </c>
      <c r="Q9" s="81">
        <f>'Project ERR'!Q11</f>
        <v>0</v>
      </c>
      <c r="R9" s="81">
        <f>'Project ERR'!R11</f>
        <v>0</v>
      </c>
      <c r="S9" s="81">
        <f>'Project ERR'!S11</f>
        <v>0</v>
      </c>
      <c r="T9" s="81">
        <f>'Project ERR'!T11</f>
        <v>0</v>
      </c>
      <c r="U9" s="81">
        <f>'Project ERR'!U11</f>
        <v>0</v>
      </c>
      <c r="V9" s="342">
        <f>'Project ERR'!V11</f>
        <v>0</v>
      </c>
      <c r="W9" s="342">
        <f>'Project ERR'!W11</f>
        <v>0</v>
      </c>
    </row>
    <row r="10" spans="1:30">
      <c r="A10" s="19" t="s">
        <v>227</v>
      </c>
      <c r="B10" s="81">
        <f>'Project ERR'!B12</f>
        <v>700000</v>
      </c>
      <c r="C10" s="81">
        <f>'Project ERR'!C12</f>
        <v>0</v>
      </c>
      <c r="D10" s="81">
        <f>'Project ERR'!D12</f>
        <v>0</v>
      </c>
      <c r="E10" s="81">
        <f>'Project ERR'!E12</f>
        <v>0</v>
      </c>
      <c r="F10" s="81">
        <f>'Project ERR'!F12</f>
        <v>0</v>
      </c>
      <c r="G10" s="81">
        <f>'Project ERR'!G12</f>
        <v>0</v>
      </c>
      <c r="H10" s="81">
        <f>'Project ERR'!H12</f>
        <v>0</v>
      </c>
      <c r="I10" s="81">
        <f>'Project ERR'!I12</f>
        <v>0</v>
      </c>
      <c r="J10" s="81">
        <f>'Project ERR'!J12</f>
        <v>0</v>
      </c>
      <c r="K10" s="81">
        <f>'Project ERR'!K12</f>
        <v>0</v>
      </c>
      <c r="L10" s="81">
        <f>'Project ERR'!L12</f>
        <v>0</v>
      </c>
      <c r="M10" s="81">
        <f>'Project ERR'!M12</f>
        <v>0</v>
      </c>
      <c r="N10" s="81">
        <f>'Project ERR'!N12</f>
        <v>0</v>
      </c>
      <c r="O10" s="81">
        <f>'Project ERR'!O12</f>
        <v>0</v>
      </c>
      <c r="P10" s="81">
        <f>'Project ERR'!P12</f>
        <v>0</v>
      </c>
      <c r="Q10" s="81">
        <f>'Project ERR'!Q12</f>
        <v>0</v>
      </c>
      <c r="R10" s="81">
        <f>'Project ERR'!R12</f>
        <v>0</v>
      </c>
      <c r="S10" s="81">
        <f>'Project ERR'!S12</f>
        <v>0</v>
      </c>
      <c r="T10" s="81">
        <f>'Project ERR'!T12</f>
        <v>0</v>
      </c>
      <c r="U10" s="81">
        <f>'Project ERR'!U12</f>
        <v>0</v>
      </c>
      <c r="V10" s="342">
        <f>'Project ERR'!V12</f>
        <v>0</v>
      </c>
      <c r="W10" s="342">
        <f>'Project ERR'!W12</f>
        <v>0</v>
      </c>
    </row>
    <row r="11" spans="1:30">
      <c r="A11" s="19" t="s">
        <v>80</v>
      </c>
      <c r="B11" s="81">
        <f>'Project ERR'!B14</f>
        <v>0</v>
      </c>
      <c r="C11" s="81">
        <f>'Project ERR'!C14</f>
        <v>1077507.6000000001</v>
      </c>
      <c r="D11" s="81">
        <f>'Project ERR'!D14</f>
        <v>1701041.4</v>
      </c>
      <c r="E11" s="81">
        <f>'Project ERR'!E14</f>
        <v>0</v>
      </c>
      <c r="F11" s="81">
        <f>'Project ERR'!F14</f>
        <v>0</v>
      </c>
      <c r="G11" s="81">
        <f>'Project ERR'!G14</f>
        <v>0</v>
      </c>
      <c r="H11" s="81">
        <f>'Project ERR'!H14</f>
        <v>0</v>
      </c>
      <c r="I11" s="81">
        <f>'Project ERR'!I14</f>
        <v>0</v>
      </c>
      <c r="J11" s="81">
        <f>'Project ERR'!J14</f>
        <v>0</v>
      </c>
      <c r="K11" s="81">
        <f>'Project ERR'!K14</f>
        <v>0</v>
      </c>
      <c r="L11" s="81">
        <f>'Project ERR'!L14</f>
        <v>0</v>
      </c>
      <c r="M11" s="81">
        <f>'Project ERR'!M14</f>
        <v>0</v>
      </c>
      <c r="N11" s="81">
        <f>'Project ERR'!N14</f>
        <v>0</v>
      </c>
      <c r="O11" s="81">
        <f>'Project ERR'!O14</f>
        <v>0</v>
      </c>
      <c r="P11" s="81">
        <f>'Project ERR'!P14</f>
        <v>0</v>
      </c>
      <c r="Q11" s="81">
        <f>'Project ERR'!Q14</f>
        <v>0</v>
      </c>
      <c r="R11" s="81">
        <f>'Project ERR'!R14</f>
        <v>0</v>
      </c>
      <c r="S11" s="81">
        <f>'Project ERR'!S14</f>
        <v>0</v>
      </c>
      <c r="T11" s="81">
        <f>'Project ERR'!T14</f>
        <v>0</v>
      </c>
      <c r="U11" s="81">
        <f>'Project ERR'!U14</f>
        <v>0</v>
      </c>
      <c r="V11" s="342">
        <f>'Project ERR'!V14</f>
        <v>0</v>
      </c>
      <c r="W11" s="342">
        <f>'Project ERR'!W14</f>
        <v>0</v>
      </c>
    </row>
    <row r="12" spans="1:30">
      <c r="A12" s="19" t="s">
        <v>287</v>
      </c>
      <c r="B12" s="81">
        <f>'Project ERR'!B16</f>
        <v>250000</v>
      </c>
      <c r="C12" s="81">
        <f>'Project ERR'!C16</f>
        <v>0</v>
      </c>
      <c r="D12" s="81">
        <f>'Project ERR'!D16</f>
        <v>0</v>
      </c>
      <c r="E12" s="81">
        <f>'Project ERR'!E16</f>
        <v>0</v>
      </c>
      <c r="F12" s="81">
        <f>'Project ERR'!F16</f>
        <v>0</v>
      </c>
      <c r="G12" s="81">
        <f>'Project ERR'!G16</f>
        <v>0</v>
      </c>
      <c r="H12" s="81">
        <f>'Project ERR'!H16</f>
        <v>0</v>
      </c>
      <c r="I12" s="81">
        <f>'Project ERR'!I16</f>
        <v>0</v>
      </c>
      <c r="J12" s="81">
        <f>'Project ERR'!J16</f>
        <v>0</v>
      </c>
      <c r="K12" s="81">
        <f>'Project ERR'!K16</f>
        <v>0</v>
      </c>
      <c r="L12" s="81">
        <f>'Project ERR'!L16</f>
        <v>0</v>
      </c>
      <c r="M12" s="81">
        <f>'Project ERR'!M16</f>
        <v>0</v>
      </c>
      <c r="N12" s="81">
        <f>'Project ERR'!N16</f>
        <v>0</v>
      </c>
      <c r="O12" s="81">
        <f>'Project ERR'!O16</f>
        <v>0</v>
      </c>
      <c r="P12" s="81">
        <f>'Project ERR'!P16</f>
        <v>0</v>
      </c>
      <c r="Q12" s="81">
        <f>'Project ERR'!Q16</f>
        <v>0</v>
      </c>
      <c r="R12" s="81">
        <f>'Project ERR'!R16</f>
        <v>0</v>
      </c>
      <c r="S12" s="81">
        <f>'Project ERR'!S16</f>
        <v>0</v>
      </c>
      <c r="T12" s="81">
        <f>'Project ERR'!T16</f>
        <v>0</v>
      </c>
      <c r="U12" s="81">
        <f>'Project ERR'!U16</f>
        <v>0</v>
      </c>
      <c r="V12" s="342">
        <f>'Project ERR'!V16</f>
        <v>0</v>
      </c>
      <c r="W12" s="342">
        <f>'Project ERR'!W16</f>
        <v>0</v>
      </c>
    </row>
    <row r="13" spans="1:30">
      <c r="A13" s="19" t="s">
        <v>124</v>
      </c>
      <c r="B13" s="81">
        <f>'Project ERR'!B17</f>
        <v>86308.290833940468</v>
      </c>
      <c r="C13" s="81">
        <f>'Project ERR'!C17</f>
        <v>86308.290833940468</v>
      </c>
      <c r="D13" s="81">
        <f>'Project ERR'!D17</f>
        <v>86308.290833940468</v>
      </c>
      <c r="E13" s="81">
        <f>'Project ERR'!E17</f>
        <v>86308.290833940468</v>
      </c>
      <c r="F13" s="81">
        <f>'Project ERR'!F17</f>
        <v>0</v>
      </c>
      <c r="G13" s="81">
        <f>'Project ERR'!G17</f>
        <v>0</v>
      </c>
      <c r="H13" s="81">
        <f>'Project ERR'!H17</f>
        <v>0</v>
      </c>
      <c r="I13" s="81">
        <f>'Project ERR'!I17</f>
        <v>0</v>
      </c>
      <c r="J13" s="81">
        <f>'Project ERR'!J17</f>
        <v>0</v>
      </c>
      <c r="K13" s="81">
        <f>'Project ERR'!K17</f>
        <v>0</v>
      </c>
      <c r="L13" s="81">
        <f>'Project ERR'!L17</f>
        <v>0</v>
      </c>
      <c r="M13" s="81">
        <f>'Project ERR'!M17</f>
        <v>0</v>
      </c>
      <c r="N13" s="81">
        <f>'Project ERR'!N17</f>
        <v>0</v>
      </c>
      <c r="O13" s="81">
        <f>'Project ERR'!O17</f>
        <v>0</v>
      </c>
      <c r="P13" s="81">
        <f>'Project ERR'!P17</f>
        <v>0</v>
      </c>
      <c r="Q13" s="81">
        <f>'Project ERR'!Q17</f>
        <v>0</v>
      </c>
      <c r="R13" s="81">
        <f>'Project ERR'!R17</f>
        <v>0</v>
      </c>
      <c r="S13" s="81">
        <f>'Project ERR'!S17</f>
        <v>0</v>
      </c>
      <c r="T13" s="81">
        <f>'Project ERR'!T17</f>
        <v>0</v>
      </c>
      <c r="U13" s="81">
        <f>'Project ERR'!U17</f>
        <v>0</v>
      </c>
      <c r="V13" s="342">
        <f>'Project ERR'!V17</f>
        <v>0</v>
      </c>
      <c r="W13" s="342">
        <f>'Project ERR'!W17</f>
        <v>0</v>
      </c>
    </row>
    <row r="14" spans="1:30" s="20" customFormat="1">
      <c r="A14" s="20" t="s">
        <v>132</v>
      </c>
      <c r="B14" s="326">
        <f>SUM(B8:B13)</f>
        <v>2806308.2908339403</v>
      </c>
      <c r="C14" s="326">
        <f t="shared" ref="C14:W14" si="0">SUM(C8:C13)</f>
        <v>1163815.8908339406</v>
      </c>
      <c r="D14" s="326">
        <f t="shared" si="0"/>
        <v>1787349.6908339404</v>
      </c>
      <c r="E14" s="326">
        <f t="shared" si="0"/>
        <v>86308.290833940468</v>
      </c>
      <c r="F14" s="326">
        <f t="shared" si="0"/>
        <v>0</v>
      </c>
      <c r="G14" s="326">
        <f t="shared" si="0"/>
        <v>0</v>
      </c>
      <c r="H14" s="326">
        <f t="shared" si="0"/>
        <v>0</v>
      </c>
      <c r="I14" s="326">
        <f t="shared" si="0"/>
        <v>0</v>
      </c>
      <c r="J14" s="326">
        <f t="shared" si="0"/>
        <v>0</v>
      </c>
      <c r="K14" s="326">
        <f t="shared" si="0"/>
        <v>0</v>
      </c>
      <c r="L14" s="326">
        <f t="shared" si="0"/>
        <v>0</v>
      </c>
      <c r="M14" s="326">
        <f t="shared" si="0"/>
        <v>0</v>
      </c>
      <c r="N14" s="326">
        <f t="shared" si="0"/>
        <v>0</v>
      </c>
      <c r="O14" s="326">
        <f t="shared" si="0"/>
        <v>0</v>
      </c>
      <c r="P14" s="326">
        <f t="shared" si="0"/>
        <v>0</v>
      </c>
      <c r="Q14" s="326">
        <f t="shared" si="0"/>
        <v>0</v>
      </c>
      <c r="R14" s="326">
        <f t="shared" si="0"/>
        <v>0</v>
      </c>
      <c r="S14" s="326">
        <f t="shared" si="0"/>
        <v>0</v>
      </c>
      <c r="T14" s="326">
        <f t="shared" si="0"/>
        <v>0</v>
      </c>
      <c r="U14" s="326">
        <f t="shared" si="0"/>
        <v>0</v>
      </c>
      <c r="V14" s="362">
        <f t="shared" si="0"/>
        <v>0</v>
      </c>
      <c r="W14" s="362">
        <f t="shared" si="0"/>
        <v>0</v>
      </c>
      <c r="X14" s="353">
        <f>SUM(B14:W14)</f>
        <v>5843782.163335762</v>
      </c>
    </row>
    <row r="15" spans="1:30">
      <c r="V15" s="347"/>
      <c r="W15" s="347"/>
    </row>
    <row r="16" spans="1:30" s="68" customFormat="1">
      <c r="A16" s="67" t="s">
        <v>396</v>
      </c>
      <c r="B16" s="83"/>
      <c r="C16" s="83"/>
      <c r="D16" s="83"/>
      <c r="E16" s="83"/>
      <c r="F16" s="83"/>
      <c r="G16" s="83"/>
      <c r="H16" s="83"/>
      <c r="I16" s="83"/>
      <c r="J16" s="83"/>
      <c r="K16" s="83"/>
      <c r="L16" s="83"/>
      <c r="M16" s="83"/>
      <c r="N16" s="83"/>
      <c r="O16" s="83"/>
      <c r="P16" s="83"/>
      <c r="Q16" s="83"/>
      <c r="R16" s="83"/>
      <c r="S16" s="83"/>
      <c r="T16" s="83"/>
      <c r="U16" s="83"/>
      <c r="V16" s="344"/>
      <c r="W16" s="344"/>
      <c r="X16" s="83"/>
    </row>
    <row r="17" spans="1:27" ht="17.25">
      <c r="A17" s="354" t="s">
        <v>398</v>
      </c>
      <c r="B17" s="81">
        <v>0</v>
      </c>
      <c r="C17" s="81">
        <v>0</v>
      </c>
      <c r="D17" s="81">
        <v>0</v>
      </c>
      <c r="E17" s="81">
        <v>0</v>
      </c>
      <c r="F17" s="81">
        <v>0</v>
      </c>
      <c r="G17" s="81">
        <v>0</v>
      </c>
      <c r="H17" s="81">
        <v>0</v>
      </c>
      <c r="I17" s="81">
        <v>0</v>
      </c>
      <c r="J17" s="81">
        <v>0</v>
      </c>
      <c r="K17" s="81">
        <v>0</v>
      </c>
      <c r="L17" s="81">
        <v>0</v>
      </c>
      <c r="M17" s="81">
        <v>0</v>
      </c>
      <c r="N17" s="81">
        <v>0</v>
      </c>
      <c r="O17" s="81">
        <v>0</v>
      </c>
      <c r="P17" s="81">
        <v>0</v>
      </c>
      <c r="Q17" s="81">
        <v>0</v>
      </c>
      <c r="R17" s="81">
        <v>0</v>
      </c>
      <c r="S17" s="81">
        <v>0</v>
      </c>
      <c r="T17" s="81">
        <v>0</v>
      </c>
      <c r="U17" s="81">
        <v>0</v>
      </c>
      <c r="V17" s="342">
        <v>0</v>
      </c>
      <c r="W17" s="342">
        <v>0</v>
      </c>
      <c r="X17" s="81"/>
      <c r="Y17" s="74"/>
      <c r="Z17" s="74"/>
      <c r="AA17" s="86"/>
    </row>
    <row r="18" spans="1:27" ht="17.25">
      <c r="A18" s="354" t="s">
        <v>399</v>
      </c>
      <c r="B18" s="81">
        <f>'Project ERR'!B24</f>
        <v>0</v>
      </c>
      <c r="C18" s="81">
        <f>'Project ERR'!C24</f>
        <v>191256.945238913</v>
      </c>
      <c r="D18" s="81">
        <f>'Project ERR'!D24</f>
        <v>239548.02914737261</v>
      </c>
      <c r="E18" s="81">
        <f>'Project ERR'!E24</f>
        <v>280704.30610851373</v>
      </c>
      <c r="F18" s="81">
        <f>'Project ERR'!F24</f>
        <v>359337.33347718546</v>
      </c>
      <c r="G18" s="81">
        <f>'Project ERR'!G24</f>
        <v>440952.46575300704</v>
      </c>
      <c r="H18" s="81">
        <f>'Project ERR'!H24</f>
        <v>543253.43780770479</v>
      </c>
      <c r="I18" s="81">
        <f>'Project ERR'!I24</f>
        <v>669288.23537909391</v>
      </c>
      <c r="J18" s="81">
        <f>'Project ERR'!J24</f>
        <v>824563.10598704265</v>
      </c>
      <c r="K18" s="81">
        <f>'Project ERR'!K24</f>
        <v>1015861.7465760357</v>
      </c>
      <c r="L18" s="81">
        <f>'Project ERR'!L24</f>
        <v>1251541.6717816733</v>
      </c>
      <c r="M18" s="81">
        <f>'Project ERR'!M24</f>
        <v>1541899.3396350231</v>
      </c>
      <c r="N18" s="81">
        <f>'Project ERR'!N24</f>
        <v>1899619.9864303449</v>
      </c>
      <c r="O18" s="81">
        <f>'Project ERR'!O24</f>
        <v>2340331.8232821915</v>
      </c>
      <c r="P18" s="81">
        <f>'Project ERR'!P24</f>
        <v>2883288.8062836728</v>
      </c>
      <c r="Q18" s="81">
        <f>'Project ERR'!Q24</f>
        <v>3552211.8093414577</v>
      </c>
      <c r="R18" s="81">
        <f>'Project ERR'!R24</f>
        <v>4376324.9491086928</v>
      </c>
      <c r="S18" s="81">
        <f>'Project ERR'!S24</f>
        <v>5391632.3373018997</v>
      </c>
      <c r="T18" s="81">
        <f>'Project ERR'!T24</f>
        <v>6642491.0395559631</v>
      </c>
      <c r="U18" s="81">
        <f>'Project ERR'!U24</f>
        <v>8183548.960732935</v>
      </c>
      <c r="V18" s="342">
        <f>'Project ERR'!V24</f>
        <v>10082132.319622956</v>
      </c>
      <c r="W18" s="342">
        <f>'Project ERR'!W24</f>
        <v>12421187.01777548</v>
      </c>
      <c r="X18" s="81"/>
      <c r="Y18" s="74"/>
      <c r="Z18" s="74"/>
      <c r="AA18" s="86"/>
    </row>
    <row r="19" spans="1:27" s="20" customFormat="1">
      <c r="A19" s="355" t="s">
        <v>136</v>
      </c>
      <c r="B19" s="353">
        <f>SUM(B17:B18)</f>
        <v>0</v>
      </c>
      <c r="C19" s="353">
        <f t="shared" ref="C19:W19" si="1">SUM(C17:C18)</f>
        <v>191256.945238913</v>
      </c>
      <c r="D19" s="353">
        <f t="shared" si="1"/>
        <v>239548.02914737261</v>
      </c>
      <c r="E19" s="353">
        <f t="shared" si="1"/>
        <v>280704.30610851373</v>
      </c>
      <c r="F19" s="353">
        <f t="shared" si="1"/>
        <v>359337.33347718546</v>
      </c>
      <c r="G19" s="353">
        <f t="shared" si="1"/>
        <v>440952.46575300704</v>
      </c>
      <c r="H19" s="353">
        <f t="shared" si="1"/>
        <v>543253.43780770479</v>
      </c>
      <c r="I19" s="353">
        <f t="shared" si="1"/>
        <v>669288.23537909391</v>
      </c>
      <c r="J19" s="353">
        <f t="shared" si="1"/>
        <v>824563.10598704265</v>
      </c>
      <c r="K19" s="353">
        <f t="shared" si="1"/>
        <v>1015861.7465760357</v>
      </c>
      <c r="L19" s="353">
        <f t="shared" si="1"/>
        <v>1251541.6717816733</v>
      </c>
      <c r="M19" s="353">
        <f t="shared" si="1"/>
        <v>1541899.3396350231</v>
      </c>
      <c r="N19" s="353">
        <f t="shared" si="1"/>
        <v>1899619.9864303449</v>
      </c>
      <c r="O19" s="353">
        <f t="shared" si="1"/>
        <v>2340331.8232821915</v>
      </c>
      <c r="P19" s="353">
        <f t="shared" si="1"/>
        <v>2883288.8062836728</v>
      </c>
      <c r="Q19" s="353">
        <f t="shared" si="1"/>
        <v>3552211.8093414577</v>
      </c>
      <c r="R19" s="353">
        <f t="shared" si="1"/>
        <v>4376324.9491086928</v>
      </c>
      <c r="S19" s="353">
        <f t="shared" si="1"/>
        <v>5391632.3373018997</v>
      </c>
      <c r="T19" s="353">
        <f t="shared" si="1"/>
        <v>6642491.0395559631</v>
      </c>
      <c r="U19" s="353">
        <f t="shared" si="1"/>
        <v>8183548.960732935</v>
      </c>
      <c r="V19" s="363">
        <f t="shared" si="1"/>
        <v>10082132.319622956</v>
      </c>
      <c r="W19" s="363">
        <f t="shared" si="1"/>
        <v>12421187.01777548</v>
      </c>
    </row>
    <row r="20" spans="1:27">
      <c r="V20" s="347"/>
      <c r="W20" s="347"/>
    </row>
    <row r="21" spans="1:27" s="79" customFormat="1">
      <c r="A21" s="79" t="s">
        <v>137</v>
      </c>
      <c r="V21" s="364"/>
      <c r="W21" s="364"/>
      <c r="X21" s="96"/>
    </row>
    <row r="22" spans="1:27" s="71" customFormat="1">
      <c r="A22" s="72" t="s">
        <v>415</v>
      </c>
      <c r="B22" s="360">
        <f>B18-SUM(B8:B10)</f>
        <v>-2470000</v>
      </c>
      <c r="C22" s="360">
        <f t="shared" ref="C22:W22" si="2">C18-SUM(C8:C10)</f>
        <v>191256.945238913</v>
      </c>
      <c r="D22" s="360">
        <f t="shared" si="2"/>
        <v>239548.02914737261</v>
      </c>
      <c r="E22" s="360">
        <f t="shared" si="2"/>
        <v>280704.30610851373</v>
      </c>
      <c r="F22" s="360">
        <f t="shared" si="2"/>
        <v>359337.33347718546</v>
      </c>
      <c r="G22" s="360">
        <f t="shared" si="2"/>
        <v>440952.46575300704</v>
      </c>
      <c r="H22" s="360">
        <f t="shared" si="2"/>
        <v>543253.43780770479</v>
      </c>
      <c r="I22" s="360">
        <f t="shared" si="2"/>
        <v>669288.23537909391</v>
      </c>
      <c r="J22" s="360">
        <f t="shared" si="2"/>
        <v>824563.10598704265</v>
      </c>
      <c r="K22" s="360">
        <f t="shared" si="2"/>
        <v>1015861.7465760357</v>
      </c>
      <c r="L22" s="360">
        <f t="shared" si="2"/>
        <v>1251541.6717816733</v>
      </c>
      <c r="M22" s="360">
        <f t="shared" si="2"/>
        <v>1541899.3396350231</v>
      </c>
      <c r="N22" s="360">
        <f t="shared" si="2"/>
        <v>1899619.9864303449</v>
      </c>
      <c r="O22" s="360">
        <f t="shared" si="2"/>
        <v>2340331.8232821915</v>
      </c>
      <c r="P22" s="360">
        <f t="shared" si="2"/>
        <v>2883288.8062836728</v>
      </c>
      <c r="Q22" s="360">
        <f t="shared" si="2"/>
        <v>3552211.8093414577</v>
      </c>
      <c r="R22" s="360">
        <f t="shared" si="2"/>
        <v>4376324.9491086928</v>
      </c>
      <c r="S22" s="360">
        <f t="shared" si="2"/>
        <v>5391632.3373018997</v>
      </c>
      <c r="T22" s="360">
        <f t="shared" si="2"/>
        <v>6642491.0395559631</v>
      </c>
      <c r="U22" s="360">
        <f t="shared" si="2"/>
        <v>8183548.960732935</v>
      </c>
      <c r="V22" s="365">
        <f t="shared" si="2"/>
        <v>10082132.319622956</v>
      </c>
      <c r="W22" s="365">
        <f t="shared" si="2"/>
        <v>12421187.01777548</v>
      </c>
      <c r="X22" s="359"/>
    </row>
    <row r="23" spans="1:27" s="71" customFormat="1">
      <c r="A23" s="71" t="s">
        <v>416</v>
      </c>
      <c r="B23" s="359">
        <f t="shared" ref="B23:W23" si="3">B19-B14</f>
        <v>-2806308.2908339403</v>
      </c>
      <c r="C23" s="359">
        <f t="shared" si="3"/>
        <v>-972558.94559502765</v>
      </c>
      <c r="D23" s="359">
        <f t="shared" si="3"/>
        <v>-1547801.6616865678</v>
      </c>
      <c r="E23" s="359">
        <f t="shared" si="3"/>
        <v>194396.01527457326</v>
      </c>
      <c r="F23" s="359">
        <f t="shared" si="3"/>
        <v>359337.33347718546</v>
      </c>
      <c r="G23" s="359">
        <f t="shared" si="3"/>
        <v>440952.46575300704</v>
      </c>
      <c r="H23" s="359">
        <f t="shared" si="3"/>
        <v>543253.43780770479</v>
      </c>
      <c r="I23" s="359">
        <f t="shared" si="3"/>
        <v>669288.23537909391</v>
      </c>
      <c r="J23" s="359">
        <f t="shared" si="3"/>
        <v>824563.10598704265</v>
      </c>
      <c r="K23" s="359">
        <f t="shared" si="3"/>
        <v>1015861.7465760357</v>
      </c>
      <c r="L23" s="359">
        <f t="shared" si="3"/>
        <v>1251541.6717816733</v>
      </c>
      <c r="M23" s="359">
        <f t="shared" si="3"/>
        <v>1541899.3396350231</v>
      </c>
      <c r="N23" s="359">
        <f t="shared" si="3"/>
        <v>1899619.9864303449</v>
      </c>
      <c r="O23" s="359">
        <f t="shared" si="3"/>
        <v>2340331.8232821915</v>
      </c>
      <c r="P23" s="359">
        <f t="shared" si="3"/>
        <v>2883288.8062836728</v>
      </c>
      <c r="Q23" s="359">
        <f t="shared" si="3"/>
        <v>3552211.8093414577</v>
      </c>
      <c r="R23" s="359">
        <f t="shared" si="3"/>
        <v>4376324.9491086928</v>
      </c>
      <c r="S23" s="359">
        <f t="shared" si="3"/>
        <v>5391632.3373018997</v>
      </c>
      <c r="T23" s="359">
        <f t="shared" si="3"/>
        <v>6642491.0395559631</v>
      </c>
      <c r="U23" s="359">
        <f t="shared" si="3"/>
        <v>8183548.960732935</v>
      </c>
      <c r="V23" s="366">
        <f t="shared" si="3"/>
        <v>10082132.319622956</v>
      </c>
      <c r="W23" s="366">
        <f t="shared" si="3"/>
        <v>12421187.01777548</v>
      </c>
      <c r="X23" s="374"/>
    </row>
    <row r="24" spans="1:27" s="71" customFormat="1">
      <c r="B24" s="359"/>
      <c r="C24" s="359"/>
      <c r="D24" s="359"/>
      <c r="E24" s="359"/>
      <c r="F24" s="359"/>
      <c r="G24" s="359"/>
      <c r="H24" s="359"/>
      <c r="I24" s="359"/>
      <c r="J24" s="359"/>
      <c r="K24" s="359"/>
      <c r="L24" s="359"/>
      <c r="M24" s="359"/>
      <c r="N24" s="359"/>
      <c r="O24" s="359"/>
      <c r="P24" s="359"/>
      <c r="Q24" s="359"/>
      <c r="R24" s="359"/>
      <c r="S24" s="359"/>
      <c r="T24" s="359"/>
      <c r="U24" s="359"/>
      <c r="V24" s="359"/>
      <c r="W24" s="359"/>
      <c r="X24" s="359"/>
    </row>
    <row r="25" spans="1:27">
      <c r="A25" s="77" t="s">
        <v>417</v>
      </c>
      <c r="B25" s="115">
        <f>IRR(B22:U22)</f>
        <v>0.25466853868467165</v>
      </c>
    </row>
    <row r="26" spans="1:27">
      <c r="A26" s="76" t="s">
        <v>546</v>
      </c>
      <c r="B26" s="415">
        <f>NPV(Assumptions!$C$30,B22:U22)</f>
        <v>7786581.099742407</v>
      </c>
    </row>
    <row r="27" spans="1:27">
      <c r="A27" s="76" t="s">
        <v>547</v>
      </c>
      <c r="B27" s="74">
        <f>NPV(Assumptions!$C$30,B18:U18)</f>
        <v>10032035.645196952</v>
      </c>
      <c r="E27" s="95"/>
    </row>
    <row r="28" spans="1:27">
      <c r="A28" s="76"/>
      <c r="B28" s="361"/>
      <c r="E28" s="367"/>
    </row>
    <row r="29" spans="1:27">
      <c r="A29" s="77" t="s">
        <v>599</v>
      </c>
      <c r="B29" s="115">
        <f>IRR(B23:U23)</f>
        <v>0.16966054511267004</v>
      </c>
    </row>
    <row r="30" spans="1:27">
      <c r="A30" s="76" t="s">
        <v>539</v>
      </c>
      <c r="B30" s="416">
        <f>NPV(Assumptions!$C$30,B23:U23)</f>
        <v>5117202.9740950344</v>
      </c>
    </row>
    <row r="31" spans="1:27">
      <c r="A31" s="76" t="s">
        <v>540</v>
      </c>
      <c r="B31" s="75">
        <f>NPV(Assumptions!$C$30,B19:U19)</f>
        <v>10032035.645196952</v>
      </c>
    </row>
    <row r="34" spans="1:7">
      <c r="A34" s="20" t="s">
        <v>397</v>
      </c>
    </row>
    <row r="35" spans="1:7" ht="34.5" customHeight="1">
      <c r="A35" s="742" t="s">
        <v>536</v>
      </c>
      <c r="B35" s="742"/>
      <c r="C35" s="742"/>
      <c r="D35" s="742"/>
      <c r="E35" s="742"/>
      <c r="F35" s="742"/>
      <c r="G35" s="742"/>
    </row>
    <row r="36" spans="1:7" ht="37.5" customHeight="1">
      <c r="A36" s="742" t="s">
        <v>537</v>
      </c>
      <c r="B36" s="742"/>
      <c r="C36" s="742"/>
      <c r="D36" s="742"/>
      <c r="E36" s="742"/>
      <c r="F36" s="742"/>
      <c r="G36" s="742"/>
    </row>
  </sheetData>
  <mergeCells count="2">
    <mergeCell ref="A35:G35"/>
    <mergeCell ref="A36:G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72"/>
  <sheetViews>
    <sheetView zoomScale="90" zoomScaleNormal="90" workbookViewId="0">
      <pane xSplit="1" ySplit="4" topLeftCell="B5" activePane="bottomRight" state="frozen"/>
      <selection pane="topRight" activeCell="B1" sqref="B1"/>
      <selection pane="bottomLeft" activeCell="A2" sqref="A2"/>
      <selection pane="bottomRight" activeCell="B26" sqref="B26"/>
    </sheetView>
  </sheetViews>
  <sheetFormatPr defaultColWidth="8.88671875" defaultRowHeight="15"/>
  <cols>
    <col min="1" max="1" width="39.88671875" style="19" customWidth="1"/>
    <col min="2" max="2" width="12.33203125" style="19" bestFit="1" customWidth="1"/>
    <col min="3" max="3" width="11" style="19" bestFit="1" customWidth="1"/>
    <col min="4" max="5" width="11.77734375" style="19" bestFit="1" customWidth="1"/>
    <col min="6" max="6" width="13.5546875" style="19" bestFit="1" customWidth="1"/>
    <col min="7" max="7" width="11.77734375" style="19" customWidth="1"/>
    <col min="8" max="21" width="11.77734375" style="19" bestFit="1" customWidth="1"/>
    <col min="22" max="23" width="11.77734375" style="347" customWidth="1"/>
    <col min="24" max="24" width="3.77734375" style="19" customWidth="1"/>
    <col min="25" max="25" width="11.77734375" style="19" bestFit="1" customWidth="1"/>
    <col min="26" max="26" width="9.77734375" style="19" bestFit="1" customWidth="1"/>
    <col min="27" max="28" width="8.88671875" style="19" customWidth="1"/>
    <col min="29" max="29" width="8.21875" style="19" bestFit="1" customWidth="1"/>
    <col min="30" max="30" width="8.88671875" style="19" customWidth="1"/>
    <col min="31" max="16384" width="8.88671875" style="19"/>
  </cols>
  <sheetData>
    <row r="1" spans="1:30" s="1" customFormat="1" ht="20.25">
      <c r="A1" s="2" t="s">
        <v>576</v>
      </c>
      <c r="B1" s="2"/>
      <c r="C1" s="3"/>
    </row>
    <row r="2" spans="1:30" s="1" customFormat="1" ht="15.75">
      <c r="A2" s="702" t="s">
        <v>595</v>
      </c>
      <c r="B2" s="9"/>
    </row>
    <row r="3" spans="1:30" s="1" customFormat="1" ht="12.75">
      <c r="A3" s="9"/>
      <c r="B3" s="9"/>
    </row>
    <row r="4" spans="1:30" ht="21">
      <c r="A4" s="21" t="s">
        <v>395</v>
      </c>
      <c r="B4" s="20">
        <v>2012</v>
      </c>
      <c r="C4" s="20">
        <v>2013</v>
      </c>
      <c r="D4" s="20">
        <v>2014</v>
      </c>
      <c r="E4" s="20">
        <v>2015</v>
      </c>
      <c r="F4" s="20">
        <v>2016</v>
      </c>
      <c r="G4" s="20">
        <v>2017</v>
      </c>
      <c r="H4" s="20">
        <v>2018</v>
      </c>
      <c r="I4" s="20">
        <v>2019</v>
      </c>
      <c r="J4" s="20">
        <v>2020</v>
      </c>
      <c r="K4" s="20">
        <v>2021</v>
      </c>
      <c r="L4" s="20">
        <v>2022</v>
      </c>
      <c r="M4" s="20">
        <v>2023</v>
      </c>
      <c r="N4" s="20">
        <v>2024</v>
      </c>
      <c r="O4" s="20">
        <v>2025</v>
      </c>
      <c r="P4" s="20">
        <v>2026</v>
      </c>
      <c r="Q4" s="20">
        <v>2027</v>
      </c>
      <c r="R4" s="20">
        <v>2028</v>
      </c>
      <c r="S4" s="20">
        <v>2029</v>
      </c>
      <c r="T4" s="20">
        <v>2030</v>
      </c>
      <c r="U4" s="20">
        <v>2031</v>
      </c>
      <c r="V4" s="20">
        <v>2032</v>
      </c>
      <c r="W4" s="20">
        <v>2033</v>
      </c>
      <c r="X4" s="20"/>
      <c r="AC4" s="132"/>
      <c r="AD4" s="133"/>
    </row>
    <row r="5" spans="1:30" s="20" customFormat="1">
      <c r="B5" s="352"/>
      <c r="E5" s="303" t="s">
        <v>314</v>
      </c>
      <c r="V5" s="338"/>
      <c r="W5" s="338"/>
      <c r="Y5" s="337" t="s">
        <v>388</v>
      </c>
      <c r="Z5" s="337" t="s">
        <v>389</v>
      </c>
      <c r="AA5" s="20" t="s">
        <v>390</v>
      </c>
      <c r="AC5" s="132"/>
      <c r="AD5" s="133"/>
    </row>
    <row r="6" spans="1:30" s="70" customFormat="1">
      <c r="A6" s="69" t="s">
        <v>78</v>
      </c>
      <c r="V6" s="339"/>
      <c r="W6" s="339"/>
    </row>
    <row r="7" spans="1:30" s="72" customFormat="1">
      <c r="A7" s="72" t="s">
        <v>226</v>
      </c>
      <c r="B7" s="312"/>
      <c r="V7" s="340"/>
      <c r="W7" s="340"/>
      <c r="Y7" s="22">
        <f>SUM(B7:W7)</f>
        <v>0</v>
      </c>
      <c r="Z7" s="22">
        <f>NPV(0.1,B7:W7)</f>
        <v>0</v>
      </c>
      <c r="AA7" s="86">
        <f t="shared" ref="AA7:AA15" si="0">Z7/$Z$15</f>
        <v>0</v>
      </c>
    </row>
    <row r="8" spans="1:30" s="72" customFormat="1">
      <c r="A8" s="72" t="s">
        <v>229</v>
      </c>
      <c r="B8" s="376">
        <v>78783603.993329957</v>
      </c>
      <c r="C8" s="73"/>
      <c r="D8" s="73"/>
      <c r="E8" s="73"/>
      <c r="F8" s="73"/>
      <c r="G8" s="73"/>
      <c r="H8" s="73"/>
      <c r="I8" s="73"/>
      <c r="J8" s="73"/>
      <c r="K8" s="73"/>
      <c r="L8" s="73"/>
      <c r="M8" s="73"/>
      <c r="N8" s="73"/>
      <c r="O8" s="73"/>
      <c r="P8" s="73"/>
      <c r="Q8" s="73"/>
      <c r="R8" s="73"/>
      <c r="S8" s="73"/>
      <c r="T8" s="73"/>
      <c r="U8" s="73"/>
      <c r="V8" s="341"/>
      <c r="W8" s="341"/>
      <c r="X8" s="73"/>
      <c r="Y8" s="22">
        <f>SUM(B8:U8)</f>
        <v>78783603.993329957</v>
      </c>
      <c r="Z8" s="22">
        <f>NPV(0.1,B8:U8)</f>
        <v>71621458.175754502</v>
      </c>
      <c r="AA8" s="86">
        <f t="shared" si="0"/>
        <v>0.77021573342730365</v>
      </c>
    </row>
    <row r="9" spans="1:30" s="72" customFormat="1">
      <c r="A9" s="72" t="s">
        <v>359</v>
      </c>
      <c r="B9" s="376">
        <v>2403847.7811606554</v>
      </c>
      <c r="C9" s="73"/>
      <c r="D9" s="73"/>
      <c r="E9" s="73"/>
      <c r="F9" s="73"/>
      <c r="G9" s="73"/>
      <c r="H9" s="73"/>
      <c r="I9" s="73"/>
      <c r="J9" s="73"/>
      <c r="K9" s="73"/>
      <c r="L9" s="73"/>
      <c r="M9" s="73"/>
      <c r="N9" s="73"/>
      <c r="O9" s="73"/>
      <c r="P9" s="73"/>
      <c r="Q9" s="73"/>
      <c r="R9" s="73"/>
      <c r="S9" s="73"/>
      <c r="T9" s="73"/>
      <c r="U9" s="73"/>
      <c r="V9" s="341"/>
      <c r="W9" s="341"/>
      <c r="X9" s="73"/>
      <c r="Y9" s="22">
        <f t="shared" ref="Y9:Y15" si="1">SUM(B9:U9)</f>
        <v>2403847.7811606554</v>
      </c>
      <c r="Z9" s="22">
        <f t="shared" ref="Z9:Z15" si="2">NPV(0.1,B9:U9)</f>
        <v>2185316.1646915046</v>
      </c>
      <c r="AA9" s="86">
        <f t="shared" si="0"/>
        <v>2.3500846470174204E-2</v>
      </c>
      <c r="AC9" s="87" t="s">
        <v>377</v>
      </c>
    </row>
    <row r="10" spans="1:30">
      <c r="A10" s="19" t="s">
        <v>228</v>
      </c>
      <c r="B10" s="380">
        <v>1020000</v>
      </c>
      <c r="C10" s="73"/>
      <c r="D10" s="73"/>
      <c r="E10" s="73"/>
      <c r="F10" s="73"/>
      <c r="G10" s="73"/>
      <c r="H10" s="73"/>
      <c r="I10" s="73"/>
      <c r="J10" s="73"/>
      <c r="K10" s="73"/>
      <c r="L10" s="73"/>
      <c r="M10" s="73"/>
      <c r="N10" s="73"/>
      <c r="O10" s="73"/>
      <c r="P10" s="73"/>
      <c r="Q10" s="73"/>
      <c r="R10" s="73"/>
      <c r="S10" s="73"/>
      <c r="T10" s="73"/>
      <c r="U10" s="73"/>
      <c r="V10" s="341"/>
      <c r="W10" s="341"/>
      <c r="X10" s="73"/>
      <c r="Y10" s="22">
        <f t="shared" si="1"/>
        <v>1020000</v>
      </c>
      <c r="Z10" s="22">
        <f t="shared" si="2"/>
        <v>927272.72727272718</v>
      </c>
      <c r="AA10" s="86">
        <f t="shared" si="0"/>
        <v>9.9718724236373159E-3</v>
      </c>
      <c r="AC10" s="22" t="e">
        <f>SUM(Z10:Z12,#REF!,#REF!)</f>
        <v>#REF!</v>
      </c>
      <c r="AD10" s="111" t="e">
        <f>AC10/Z15</f>
        <v>#REF!</v>
      </c>
    </row>
    <row r="11" spans="1:30">
      <c r="A11" s="19" t="s">
        <v>311</v>
      </c>
      <c r="B11" s="380">
        <v>750000</v>
      </c>
      <c r="C11" s="73"/>
      <c r="D11" s="73"/>
      <c r="E11" s="73"/>
      <c r="F11" s="73"/>
      <c r="G11" s="73"/>
      <c r="H11" s="73"/>
      <c r="I11" s="73"/>
      <c r="J11" s="73"/>
      <c r="K11" s="73"/>
      <c r="L11" s="73"/>
      <c r="M11" s="73"/>
      <c r="N11" s="73"/>
      <c r="O11" s="73"/>
      <c r="P11" s="73"/>
      <c r="Q11" s="73"/>
      <c r="R11" s="73"/>
      <c r="S11" s="73"/>
      <c r="T11" s="73"/>
      <c r="U11" s="73"/>
      <c r="V11" s="341"/>
      <c r="W11" s="341"/>
      <c r="X11" s="73"/>
      <c r="Y11" s="22">
        <f t="shared" si="1"/>
        <v>750000</v>
      </c>
      <c r="Z11" s="22">
        <f t="shared" si="2"/>
        <v>681818.18181818177</v>
      </c>
      <c r="AA11" s="86">
        <f t="shared" si="0"/>
        <v>7.3322591350274387E-3</v>
      </c>
    </row>
    <row r="12" spans="1:30">
      <c r="A12" s="19" t="s">
        <v>227</v>
      </c>
      <c r="B12" s="84">
        <f>'MCC Costs'!I32</f>
        <v>700000</v>
      </c>
      <c r="C12" s="73"/>
      <c r="D12" s="73"/>
      <c r="E12" s="73"/>
      <c r="F12" s="73"/>
      <c r="G12" s="73"/>
      <c r="H12" s="73"/>
      <c r="I12" s="73"/>
      <c r="J12" s="73"/>
      <c r="K12" s="73"/>
      <c r="L12" s="73"/>
      <c r="M12" s="73"/>
      <c r="N12" s="73"/>
      <c r="O12" s="73"/>
      <c r="P12" s="73"/>
      <c r="Q12" s="73"/>
      <c r="R12" s="73"/>
      <c r="S12" s="73"/>
      <c r="T12" s="73"/>
      <c r="U12" s="73"/>
      <c r="V12" s="341"/>
      <c r="W12" s="341"/>
      <c r="X12" s="73"/>
      <c r="Y12" s="22">
        <f t="shared" si="1"/>
        <v>700000</v>
      </c>
      <c r="Z12" s="22">
        <f t="shared" si="2"/>
        <v>636363.63636363635</v>
      </c>
      <c r="AA12" s="86">
        <f t="shared" si="0"/>
        <v>6.843441859358943E-3</v>
      </c>
    </row>
    <row r="13" spans="1:30">
      <c r="A13" s="19" t="s">
        <v>79</v>
      </c>
      <c r="B13" s="81">
        <f>Newcom!C32</f>
        <v>0</v>
      </c>
      <c r="C13" s="81">
        <f>Newcom!D32</f>
        <v>555495.34759019327</v>
      </c>
      <c r="D13" s="81">
        <f>Newcom!E32</f>
        <v>2339081.4673987543</v>
      </c>
      <c r="E13" s="81">
        <f>Newcom!F32</f>
        <v>1790476.9551805095</v>
      </c>
      <c r="F13" s="81">
        <f>Newcom!G32</f>
        <v>1840440.7082041197</v>
      </c>
      <c r="G13" s="81">
        <f>Newcom!H32</f>
        <v>1892252.9891234026</v>
      </c>
      <c r="H13" s="81">
        <f>Newcom!I32</f>
        <v>2482359.2684640754</v>
      </c>
      <c r="I13" s="81">
        <f>Newcom!J32</f>
        <v>2538137.1981835458</v>
      </c>
      <c r="J13" s="81">
        <f>Newcom!K32</f>
        <v>2596042.1602121736</v>
      </c>
      <c r="K13" s="81">
        <f>Newcom!L32</f>
        <v>2656177.3836190295</v>
      </c>
      <c r="L13" s="81">
        <f>Newcom!M32</f>
        <v>2718651.803359936</v>
      </c>
      <c r="M13" s="81">
        <f>Newcom!N32</f>
        <v>2783580.3928735298</v>
      </c>
      <c r="N13" s="81">
        <f>Newcom!O32</f>
        <v>2851084.5164379361</v>
      </c>
      <c r="O13" s="81">
        <f>Newcom!P32</f>
        <v>2921292.3024698044</v>
      </c>
      <c r="P13" s="81">
        <f>Newcom!Q32</f>
        <v>2994339.0390182529</v>
      </c>
      <c r="Q13" s="81">
        <f>Newcom!R32</f>
        <v>3070367.5927813724</v>
      </c>
      <c r="R13" s="81">
        <f>Newcom!S32</f>
        <v>2613171.3082547821</v>
      </c>
      <c r="S13" s="81">
        <f>Newcom!T32</f>
        <v>2695624.657289993</v>
      </c>
      <c r="T13" s="81">
        <f>Newcom!U32</f>
        <v>2781538.4686781154</v>
      </c>
      <c r="U13" s="81">
        <f>Newcom!V32</f>
        <v>2871090.6353885392</v>
      </c>
      <c r="V13" s="342">
        <f>Newcom!W32</f>
        <v>5964469.1292733829</v>
      </c>
      <c r="W13" s="342">
        <f>Newcom!X32</f>
        <v>2223351.8469550377</v>
      </c>
      <c r="X13" s="81"/>
      <c r="Y13" s="22">
        <f t="shared" si="1"/>
        <v>46991204.194528073</v>
      </c>
      <c r="Z13" s="22">
        <f t="shared" si="2"/>
        <v>16936598.876749188</v>
      </c>
      <c r="AA13" s="86">
        <f t="shared" si="0"/>
        <v>0.18213584668449823</v>
      </c>
    </row>
    <row r="14" spans="1:30">
      <c r="A14" s="19" t="s">
        <v>364</v>
      </c>
      <c r="B14" s="81">
        <f>IF(Assumptions!$C$13="yes",CRETN!C22,0)</f>
        <v>0</v>
      </c>
      <c r="C14" s="81">
        <f>IF(Assumptions!$C$13="yes",CRETN!D22,0)</f>
        <v>0</v>
      </c>
      <c r="D14" s="81">
        <f>IF(Assumptions!$C$13="yes",CRETN!E22,0)</f>
        <v>0</v>
      </c>
      <c r="E14" s="81">
        <f>IF(Assumptions!$C$13="yes",CRETN!F22,0)</f>
        <v>0</v>
      </c>
      <c r="F14" s="81">
        <f>IF(Assumptions!$C$13="yes",CRETN!G22,0)</f>
        <v>0</v>
      </c>
      <c r="G14" s="81">
        <f>IF(Assumptions!$C$13="yes",CRETN!H22,0)</f>
        <v>0</v>
      </c>
      <c r="H14" s="81">
        <f>IF(Assumptions!$C$13="yes",CRETN!I22,0)</f>
        <v>0</v>
      </c>
      <c r="I14" s="81">
        <f>IF(Assumptions!$C$13="yes",CRETN!J22,0)</f>
        <v>0</v>
      </c>
      <c r="J14" s="81">
        <f>IF(Assumptions!$C$13="yes",CRETN!K22,0)</f>
        <v>0</v>
      </c>
      <c r="K14" s="81">
        <f>IF(Assumptions!$C$13="yes",CRETN!L22,0)</f>
        <v>0</v>
      </c>
      <c r="L14" s="81">
        <f>IF(Assumptions!$C$13="yes",CRETN!M22,0)</f>
        <v>0</v>
      </c>
      <c r="M14" s="81">
        <f>IF(Assumptions!$C$13="yes",CRETN!N22,0)</f>
        <v>0</v>
      </c>
      <c r="N14" s="81">
        <f>IF(Assumptions!$C$13="yes",CRETN!O22,0)</f>
        <v>0</v>
      </c>
      <c r="O14" s="81">
        <f>IF(Assumptions!$C$13="yes",CRETN!P22,0)</f>
        <v>0</v>
      </c>
      <c r="P14" s="81">
        <f>IF(Assumptions!$C$13="yes",CRETN!Q22,0)</f>
        <v>0</v>
      </c>
      <c r="Q14" s="81">
        <f>IF(Assumptions!$C$13="yes",CRETN!R22,0)</f>
        <v>0</v>
      </c>
      <c r="R14" s="81">
        <f>IF(Assumptions!$C$13="yes",CRETN!S22,0)</f>
        <v>0</v>
      </c>
      <c r="S14" s="81">
        <f>IF(Assumptions!$C$13="yes",CRETN!T22,0)</f>
        <v>0</v>
      </c>
      <c r="T14" s="81">
        <f>IF(Assumptions!$C$13="yes",CRETN!U22,0)</f>
        <v>0</v>
      </c>
      <c r="U14" s="81">
        <f>IF(Assumptions!$C$13="yes",CRETN!V22,0)</f>
        <v>0</v>
      </c>
      <c r="V14" s="342">
        <f>IF(Assumptions!$C$13="yes",CRETN!W22,0)</f>
        <v>0</v>
      </c>
      <c r="W14" s="342">
        <f>IF(Assumptions!$C$13="yes",CRETN!X22,0)</f>
        <v>0</v>
      </c>
      <c r="X14" s="81"/>
      <c r="Y14" s="22">
        <f t="shared" si="1"/>
        <v>0</v>
      </c>
      <c r="Z14" s="22">
        <f t="shared" si="2"/>
        <v>0</v>
      </c>
      <c r="AA14" s="86">
        <f t="shared" si="0"/>
        <v>0</v>
      </c>
    </row>
    <row r="15" spans="1:30">
      <c r="A15" s="20" t="s">
        <v>132</v>
      </c>
      <c r="B15" s="81">
        <f t="shared" ref="B15:W15" si="3">SUM(B8:B14)</f>
        <v>83657451.77449061</v>
      </c>
      <c r="C15" s="81">
        <f t="shared" si="3"/>
        <v>555495.34759019327</v>
      </c>
      <c r="D15" s="81">
        <f t="shared" si="3"/>
        <v>2339081.4673987543</v>
      </c>
      <c r="E15" s="81">
        <f t="shared" si="3"/>
        <v>1790476.9551805095</v>
      </c>
      <c r="F15" s="81">
        <f t="shared" si="3"/>
        <v>1840440.7082041197</v>
      </c>
      <c r="G15" s="81">
        <f t="shared" si="3"/>
        <v>1892252.9891234026</v>
      </c>
      <c r="H15" s="81">
        <f t="shared" si="3"/>
        <v>2482359.2684640754</v>
      </c>
      <c r="I15" s="81">
        <f t="shared" si="3"/>
        <v>2538137.1981835458</v>
      </c>
      <c r="J15" s="81">
        <f t="shared" si="3"/>
        <v>2596042.1602121736</v>
      </c>
      <c r="K15" s="81">
        <f t="shared" si="3"/>
        <v>2656177.3836190295</v>
      </c>
      <c r="L15" s="81">
        <f t="shared" si="3"/>
        <v>2718651.803359936</v>
      </c>
      <c r="M15" s="81">
        <f t="shared" si="3"/>
        <v>2783580.3928735298</v>
      </c>
      <c r="N15" s="81">
        <f t="shared" si="3"/>
        <v>2851084.5164379361</v>
      </c>
      <c r="O15" s="81">
        <f t="shared" si="3"/>
        <v>2921292.3024698044</v>
      </c>
      <c r="P15" s="81">
        <f t="shared" si="3"/>
        <v>2994339.0390182529</v>
      </c>
      <c r="Q15" s="81">
        <f t="shared" si="3"/>
        <v>3070367.5927813724</v>
      </c>
      <c r="R15" s="81">
        <f t="shared" si="3"/>
        <v>2613171.3082547821</v>
      </c>
      <c r="S15" s="81">
        <f t="shared" si="3"/>
        <v>2695624.657289993</v>
      </c>
      <c r="T15" s="81">
        <f t="shared" si="3"/>
        <v>2781538.4686781154</v>
      </c>
      <c r="U15" s="81">
        <f t="shared" si="3"/>
        <v>2871090.6353885392</v>
      </c>
      <c r="V15" s="342">
        <f t="shared" si="3"/>
        <v>5964469.1292733829</v>
      </c>
      <c r="W15" s="342">
        <f t="shared" si="3"/>
        <v>2223351.8469550377</v>
      </c>
      <c r="X15" s="81"/>
      <c r="Y15" s="22">
        <f t="shared" si="1"/>
        <v>130648655.96901867</v>
      </c>
      <c r="Z15" s="22">
        <f t="shared" si="2"/>
        <v>92988827.76264976</v>
      </c>
      <c r="AA15" s="86">
        <f t="shared" si="0"/>
        <v>1</v>
      </c>
    </row>
    <row r="16" spans="1:30">
      <c r="B16" s="82"/>
      <c r="C16" s="82"/>
      <c r="D16" s="82"/>
      <c r="E16" s="82"/>
      <c r="F16" s="82"/>
      <c r="G16" s="82"/>
      <c r="H16" s="82"/>
      <c r="I16" s="82"/>
      <c r="J16" s="82"/>
      <c r="K16" s="82"/>
      <c r="L16" s="82"/>
      <c r="M16" s="82"/>
      <c r="N16" s="82"/>
      <c r="O16" s="82"/>
      <c r="P16" s="82"/>
      <c r="Q16" s="82"/>
      <c r="R16" s="82"/>
      <c r="S16" s="82"/>
      <c r="T16" s="82"/>
      <c r="U16" s="82"/>
      <c r="V16" s="343"/>
      <c r="W16" s="343"/>
      <c r="X16" s="82"/>
    </row>
    <row r="17" spans="1:27" s="68" customFormat="1">
      <c r="A17" s="67" t="s">
        <v>30</v>
      </c>
      <c r="B17" s="83"/>
      <c r="C17" s="83"/>
      <c r="D17" s="83"/>
      <c r="E17" s="83"/>
      <c r="F17" s="83"/>
      <c r="G17" s="83"/>
      <c r="H17" s="83"/>
      <c r="I17" s="83"/>
      <c r="J17" s="83"/>
      <c r="K17" s="83"/>
      <c r="L17" s="83"/>
      <c r="M17" s="83"/>
      <c r="N17" s="83"/>
      <c r="O17" s="83"/>
      <c r="P17" s="83"/>
      <c r="Q17" s="83"/>
      <c r="R17" s="83"/>
      <c r="S17" s="83"/>
      <c r="T17" s="83"/>
      <c r="U17" s="83"/>
      <c r="V17" s="344"/>
      <c r="W17" s="344"/>
      <c r="X17" s="83"/>
    </row>
    <row r="18" spans="1:27" s="72" customFormat="1">
      <c r="A18" s="72" t="s">
        <v>134</v>
      </c>
      <c r="B18" s="84"/>
      <c r="C18" s="84"/>
      <c r="D18" s="84"/>
      <c r="E18" s="84"/>
      <c r="F18" s="84"/>
      <c r="G18" s="84"/>
      <c r="H18" s="84"/>
      <c r="I18" s="84"/>
      <c r="J18" s="84"/>
      <c r="K18" s="84"/>
      <c r="L18" s="84"/>
      <c r="M18" s="84"/>
      <c r="N18" s="84"/>
      <c r="O18" s="84"/>
      <c r="P18" s="84"/>
      <c r="Q18" s="84"/>
      <c r="R18" s="84"/>
      <c r="S18" s="84"/>
      <c r="T18" s="84"/>
      <c r="U18" s="84"/>
      <c r="V18" s="345"/>
      <c r="W18" s="345"/>
      <c r="X18" s="84"/>
      <c r="AA18" s="86">
        <f>SUM(AA19:AA21)</f>
        <v>1.0000000000000004</v>
      </c>
    </row>
    <row r="19" spans="1:27" s="72" customFormat="1">
      <c r="A19" s="72" t="s">
        <v>366</v>
      </c>
      <c r="B19" s="84">
        <f>Newcom!C10</f>
        <v>0</v>
      </c>
      <c r="C19" s="84">
        <f>Newcom!D10</f>
        <v>2756662.5</v>
      </c>
      <c r="D19" s="84">
        <f>Newcom!E10</f>
        <v>11026650</v>
      </c>
      <c r="E19" s="84">
        <f>Newcom!F10</f>
        <v>11026650</v>
      </c>
      <c r="F19" s="84">
        <f>Newcom!G10</f>
        <v>11026650</v>
      </c>
      <c r="G19" s="84">
        <f>Newcom!H10</f>
        <v>11026650</v>
      </c>
      <c r="H19" s="84">
        <f>Newcom!I10</f>
        <v>11026650</v>
      </c>
      <c r="I19" s="84">
        <f>Newcom!J10</f>
        <v>11026650</v>
      </c>
      <c r="J19" s="84">
        <f>Newcom!K10</f>
        <v>11026650</v>
      </c>
      <c r="K19" s="84">
        <f>Newcom!L10</f>
        <v>11026650</v>
      </c>
      <c r="L19" s="84">
        <f>Newcom!M10</f>
        <v>11026650</v>
      </c>
      <c r="M19" s="84">
        <f>Newcom!N10</f>
        <v>11026650</v>
      </c>
      <c r="N19" s="84">
        <f>Newcom!O10</f>
        <v>11026650</v>
      </c>
      <c r="O19" s="84">
        <f>Newcom!P10</f>
        <v>11026650</v>
      </c>
      <c r="P19" s="84">
        <f>Newcom!Q10</f>
        <v>11026650</v>
      </c>
      <c r="Q19" s="84">
        <f>Newcom!R10</f>
        <v>11026650</v>
      </c>
      <c r="R19" s="84">
        <f>Newcom!S10</f>
        <v>11026650</v>
      </c>
      <c r="S19" s="84">
        <f>Newcom!T10</f>
        <v>11026650</v>
      </c>
      <c r="T19" s="84">
        <f>Newcom!U10</f>
        <v>11026650</v>
      </c>
      <c r="U19" s="84">
        <f>Newcom!V10</f>
        <v>11026650</v>
      </c>
      <c r="V19" s="345">
        <f>Newcom!W10</f>
        <v>11026650</v>
      </c>
      <c r="W19" s="345">
        <f>Newcom!X10</f>
        <v>8269987.5</v>
      </c>
      <c r="X19" s="84"/>
      <c r="Y19" s="74">
        <f>SUM(B19:U19)</f>
        <v>201236362.5</v>
      </c>
      <c r="Z19" s="74">
        <f>NPV(0.1,B19:U19)</f>
        <v>77017159.704525307</v>
      </c>
      <c r="AA19" s="86">
        <f>Z19/$Z$22</f>
        <v>0.78549860696087492</v>
      </c>
    </row>
    <row r="20" spans="1:27" s="72" customFormat="1">
      <c r="A20" s="72" t="s">
        <v>365</v>
      </c>
      <c r="B20" s="84">
        <f>Newcom!C11</f>
        <v>0</v>
      </c>
      <c r="C20" s="84">
        <f>Newcom!D11</f>
        <v>594867.04137391225</v>
      </c>
      <c r="D20" s="84">
        <f>Newcom!E11</f>
        <v>2379468.165495649</v>
      </c>
      <c r="E20" s="84">
        <f>Newcom!F11</f>
        <v>2379468.165495649</v>
      </c>
      <c r="F20" s="84">
        <f>Newcom!G11</f>
        <v>2379468.165495649</v>
      </c>
      <c r="G20" s="84">
        <f>Newcom!H11</f>
        <v>2379468.165495649</v>
      </c>
      <c r="H20" s="84">
        <f>Newcom!I11</f>
        <v>2379468.165495649</v>
      </c>
      <c r="I20" s="84">
        <f>Newcom!J11</f>
        <v>2379468.165495649</v>
      </c>
      <c r="J20" s="84">
        <f>Newcom!K11</f>
        <v>2379468.165495649</v>
      </c>
      <c r="K20" s="84">
        <f>Newcom!L11</f>
        <v>2379468.165495649</v>
      </c>
      <c r="L20" s="84">
        <f>Newcom!M11</f>
        <v>2379468.165495649</v>
      </c>
      <c r="M20" s="84">
        <f>Newcom!N11</f>
        <v>2379468.165495649</v>
      </c>
      <c r="N20" s="84">
        <f>Newcom!O11</f>
        <v>2379468.165495649</v>
      </c>
      <c r="O20" s="84">
        <f>Newcom!P11</f>
        <v>2379468.165495649</v>
      </c>
      <c r="P20" s="84">
        <f>Newcom!Q11</f>
        <v>2379468.165495649</v>
      </c>
      <c r="Q20" s="84">
        <f>Newcom!R11</f>
        <v>2379468.165495649</v>
      </c>
      <c r="R20" s="84">
        <f>Newcom!S11</f>
        <v>2379468.165495649</v>
      </c>
      <c r="S20" s="84">
        <f>Newcom!T11</f>
        <v>2379468.165495649</v>
      </c>
      <c r="T20" s="84">
        <f>Newcom!U11</f>
        <v>2379468.165495649</v>
      </c>
      <c r="U20" s="84">
        <f>Newcom!V11</f>
        <v>2379468.165495649</v>
      </c>
      <c r="V20" s="345">
        <f>Newcom!W11</f>
        <v>2379468.165495649</v>
      </c>
      <c r="W20" s="345">
        <f>Newcom!X11</f>
        <v>1784601.1241217367</v>
      </c>
      <c r="X20" s="84"/>
      <c r="Y20" s="74">
        <f>SUM(B20:U20)</f>
        <v>43425294.02029559</v>
      </c>
      <c r="Z20" s="74">
        <f>NPV(0.1,B20:U20)</f>
        <v>16619724.006276811</v>
      </c>
      <c r="AA20" s="86">
        <f>Z20/$Z$22</f>
        <v>0.16950469356555076</v>
      </c>
    </row>
    <row r="21" spans="1:27" s="72" customFormat="1">
      <c r="A21" s="72" t="s">
        <v>367</v>
      </c>
      <c r="B21" s="84">
        <f>Newcom!C12+Newcom!C13</f>
        <v>0</v>
      </c>
      <c r="C21" s="84">
        <f>Newcom!D12+Newcom!D13</f>
        <v>72133.321451830125</v>
      </c>
      <c r="D21" s="84">
        <f>Newcom!E12+Newcom!E13</f>
        <v>417900.15376556781</v>
      </c>
      <c r="E21" s="84">
        <f>Newcom!F12+Newcom!F13</f>
        <v>504573.31866954255</v>
      </c>
      <c r="F21" s="84">
        <f>Newcom!G12+Newcom!G13</f>
        <v>566165.93314433144</v>
      </c>
      <c r="G21" s="84">
        <f>Newcom!H12+Newcom!H13</f>
        <v>610913.2075272341</v>
      </c>
      <c r="H21" s="84">
        <f>Newcom!I12+Newcom!I13</f>
        <v>638816.36844375392</v>
      </c>
      <c r="I21" s="84">
        <f>Newcom!J12+Newcom!J13</f>
        <v>655135.51538939425</v>
      </c>
      <c r="J21" s="84">
        <f>Newcom!K12+Newcom!K13</f>
        <v>665123.2276501531</v>
      </c>
      <c r="K21" s="84">
        <f>Newcom!L12+Newcom!L13</f>
        <v>661753.9022795246</v>
      </c>
      <c r="L21" s="84">
        <f>Newcom!M12+Newcom!M13</f>
        <v>643886.35424637294</v>
      </c>
      <c r="M21" s="84">
        <f>Newcom!N12+Newcom!N13</f>
        <v>610361.51111799583</v>
      </c>
      <c r="N21" s="84">
        <f>Newcom!O12+Newcom!O13</f>
        <v>415147.1064339297</v>
      </c>
      <c r="O21" s="84">
        <f>Newcom!P12+Newcom!P13</f>
        <v>545274.15871977364</v>
      </c>
      <c r="P21" s="84">
        <f>Newcom!Q12+Newcom!Q13</f>
        <v>729087.76261496404</v>
      </c>
      <c r="Q21" s="84">
        <f>Newcom!R12+Newcom!R13</f>
        <v>906021.2980918223</v>
      </c>
      <c r="R21" s="84">
        <f>Newcom!S12+Newcom!S13</f>
        <v>1066842.3732101691</v>
      </c>
      <c r="S21" s="84">
        <f>Newcom!T12+Newcom!T13</f>
        <v>1139137.8779484318</v>
      </c>
      <c r="T21" s="84">
        <f>Newcom!U12+Newcom!U13</f>
        <v>1138044.7744071351</v>
      </c>
      <c r="U21" s="84">
        <f>Newcom!V12+Newcom!V13</f>
        <v>1136035.8847298173</v>
      </c>
      <c r="V21" s="345">
        <f>Newcom!W12+Newcom!W13</f>
        <v>1133931.6420592063</v>
      </c>
      <c r="W21" s="345">
        <f>Newcom!X12+Newcom!X13</f>
        <v>850448.73154440476</v>
      </c>
      <c r="X21" s="84"/>
      <c r="Y21" s="74">
        <f>SUM(B21:U21)</f>
        <v>13122354.049841743</v>
      </c>
      <c r="Z21" s="74">
        <f>NPV(0.1,B21:U21)</f>
        <v>4411870.3188297907</v>
      </c>
      <c r="AA21" s="86">
        <f>Z21/$Z$22</f>
        <v>4.4996699473574694E-2</v>
      </c>
    </row>
    <row r="22" spans="1:27">
      <c r="A22" s="20" t="s">
        <v>136</v>
      </c>
      <c r="B22" s="81">
        <f t="shared" ref="B22:W22" si="4">SUM(B18:B21)</f>
        <v>0</v>
      </c>
      <c r="C22" s="81">
        <f t="shared" si="4"/>
        <v>3423662.8628257425</v>
      </c>
      <c r="D22" s="81">
        <f t="shared" si="4"/>
        <v>13824018.319261217</v>
      </c>
      <c r="E22" s="81">
        <f t="shared" si="4"/>
        <v>13910691.484165192</v>
      </c>
      <c r="F22" s="81">
        <f t="shared" si="4"/>
        <v>13972284.09863998</v>
      </c>
      <c r="G22" s="81">
        <f t="shared" si="4"/>
        <v>14017031.373022882</v>
      </c>
      <c r="H22" s="81">
        <f t="shared" si="4"/>
        <v>14044934.533939403</v>
      </c>
      <c r="I22" s="81">
        <f t="shared" si="4"/>
        <v>14061253.680885043</v>
      </c>
      <c r="J22" s="81">
        <f t="shared" si="4"/>
        <v>14071241.393145801</v>
      </c>
      <c r="K22" s="81">
        <f t="shared" si="4"/>
        <v>14067872.067775173</v>
      </c>
      <c r="L22" s="81">
        <f t="shared" si="4"/>
        <v>14050004.519742021</v>
      </c>
      <c r="M22" s="81">
        <f t="shared" si="4"/>
        <v>14016479.676613646</v>
      </c>
      <c r="N22" s="81">
        <f t="shared" si="4"/>
        <v>13821265.271929579</v>
      </c>
      <c r="O22" s="81">
        <f t="shared" si="4"/>
        <v>13951392.324215423</v>
      </c>
      <c r="P22" s="81">
        <f t="shared" si="4"/>
        <v>14135205.928110613</v>
      </c>
      <c r="Q22" s="81">
        <f t="shared" si="4"/>
        <v>14312139.46358747</v>
      </c>
      <c r="R22" s="81">
        <f t="shared" si="4"/>
        <v>14472960.538705818</v>
      </c>
      <c r="S22" s="81">
        <f t="shared" si="4"/>
        <v>14545256.04344408</v>
      </c>
      <c r="T22" s="81">
        <f t="shared" si="4"/>
        <v>14544162.939902784</v>
      </c>
      <c r="U22" s="81">
        <f t="shared" si="4"/>
        <v>14542154.050225466</v>
      </c>
      <c r="V22" s="81">
        <f t="shared" si="4"/>
        <v>14540049.807554856</v>
      </c>
      <c r="W22" s="81">
        <f t="shared" si="4"/>
        <v>10905037.355666142</v>
      </c>
      <c r="X22" s="81"/>
      <c r="Y22" s="74">
        <f>SUM(B22:U22)</f>
        <v>257784010.57013732</v>
      </c>
      <c r="Z22" s="74">
        <f>NPV(0.1,B22:U22)</f>
        <v>98048754.029631868</v>
      </c>
      <c r="AA22" s="86">
        <f>Z22/$Z$22</f>
        <v>1</v>
      </c>
    </row>
    <row r="23" spans="1:27">
      <c r="B23" s="82"/>
      <c r="C23" s="82"/>
      <c r="D23" s="82"/>
      <c r="E23" s="82"/>
      <c r="F23" s="82"/>
      <c r="G23" s="82"/>
      <c r="H23" s="82"/>
      <c r="I23" s="82"/>
      <c r="J23" s="82"/>
      <c r="K23" s="82"/>
      <c r="L23" s="82"/>
      <c r="M23" s="82"/>
      <c r="N23" s="82"/>
      <c r="O23" s="82"/>
      <c r="P23" s="82"/>
      <c r="Q23" s="82"/>
      <c r="R23" s="82"/>
      <c r="S23" s="82"/>
      <c r="T23" s="82"/>
      <c r="U23" s="82"/>
      <c r="V23" s="343"/>
      <c r="W23" s="343"/>
      <c r="X23" s="82"/>
    </row>
    <row r="24" spans="1:27" s="79" customFormat="1">
      <c r="A24" s="79" t="s">
        <v>137</v>
      </c>
      <c r="B24" s="96">
        <f t="shared" ref="B24:W24" si="5">B22-B15</f>
        <v>-83657451.77449061</v>
      </c>
      <c r="C24" s="96">
        <f t="shared" si="5"/>
        <v>2868167.5152355493</v>
      </c>
      <c r="D24" s="96">
        <f t="shared" si="5"/>
        <v>11484936.851862464</v>
      </c>
      <c r="E24" s="96">
        <f t="shared" si="5"/>
        <v>12120214.528984683</v>
      </c>
      <c r="F24" s="96">
        <f t="shared" si="5"/>
        <v>12131843.39043586</v>
      </c>
      <c r="G24" s="96">
        <f t="shared" si="5"/>
        <v>12124778.38389948</v>
      </c>
      <c r="H24" s="96">
        <f t="shared" si="5"/>
        <v>11562575.265475327</v>
      </c>
      <c r="I24" s="96">
        <f t="shared" si="5"/>
        <v>11523116.482701497</v>
      </c>
      <c r="J24" s="96">
        <f t="shared" si="5"/>
        <v>11475199.232933627</v>
      </c>
      <c r="K24" s="96">
        <f t="shared" si="5"/>
        <v>11411694.684156144</v>
      </c>
      <c r="L24" s="96">
        <f t="shared" si="5"/>
        <v>11331352.716382086</v>
      </c>
      <c r="M24" s="96">
        <f t="shared" si="5"/>
        <v>11232899.283740116</v>
      </c>
      <c r="N24" s="96">
        <f t="shared" si="5"/>
        <v>10970180.755491642</v>
      </c>
      <c r="O24" s="96">
        <f t="shared" si="5"/>
        <v>11030100.021745618</v>
      </c>
      <c r="P24" s="96">
        <f t="shared" si="5"/>
        <v>11140866.88909236</v>
      </c>
      <c r="Q24" s="96">
        <f t="shared" si="5"/>
        <v>11241771.870806098</v>
      </c>
      <c r="R24" s="96">
        <f t="shared" si="5"/>
        <v>11859789.230451036</v>
      </c>
      <c r="S24" s="96">
        <f t="shared" si="5"/>
        <v>11849631.386154087</v>
      </c>
      <c r="T24" s="96">
        <f t="shared" si="5"/>
        <v>11762624.471224669</v>
      </c>
      <c r="U24" s="96">
        <f t="shared" si="5"/>
        <v>11671063.414836928</v>
      </c>
      <c r="V24" s="346">
        <f t="shared" si="5"/>
        <v>8575580.678281473</v>
      </c>
      <c r="W24" s="346">
        <f t="shared" si="5"/>
        <v>8681685.5087111033</v>
      </c>
      <c r="X24" s="96"/>
    </row>
    <row r="25" spans="1:27">
      <c r="B25" s="23"/>
    </row>
    <row r="26" spans="1:27">
      <c r="A26" s="77" t="s">
        <v>138</v>
      </c>
      <c r="B26" s="115">
        <f>IRR(B24:U24)</f>
        <v>0.10926661861305598</v>
      </c>
    </row>
    <row r="27" spans="1:27">
      <c r="A27" s="76" t="s">
        <v>539</v>
      </c>
      <c r="B27" s="75">
        <f>NPV(Assumptions!$C$30,B24:U24)</f>
        <v>5059926.2669821531</v>
      </c>
    </row>
    <row r="28" spans="1:27">
      <c r="A28" s="76" t="s">
        <v>540</v>
      </c>
      <c r="B28" s="75">
        <f>NPV(Assumptions!$C$30,B22:U22)</f>
        <v>98048754.029631868</v>
      </c>
    </row>
    <row r="29" spans="1:27">
      <c r="A29" s="76"/>
      <c r="B29" s="75"/>
      <c r="C29" s="19" t="s">
        <v>502</v>
      </c>
    </row>
    <row r="30" spans="1:27">
      <c r="A30" s="76"/>
      <c r="B30" s="75"/>
    </row>
    <row r="31" spans="1:27" s="177" customFormat="1">
      <c r="A31" s="175" t="s">
        <v>271</v>
      </c>
      <c r="B31" s="176"/>
      <c r="V31" s="348"/>
      <c r="W31" s="348"/>
    </row>
    <row r="32" spans="1:27" s="71" customFormat="1" ht="15.75" thickBot="1">
      <c r="A32" s="182"/>
      <c r="B32" s="183"/>
      <c r="V32" s="349"/>
      <c r="W32" s="349"/>
    </row>
    <row r="33" spans="1:24" s="71" customFormat="1">
      <c r="A33" s="184" t="s">
        <v>22</v>
      </c>
      <c r="B33" s="189" t="s">
        <v>274</v>
      </c>
      <c r="C33" s="190" t="s">
        <v>265</v>
      </c>
      <c r="D33" s="191" t="s">
        <v>266</v>
      </c>
      <c r="F33" s="187" t="s">
        <v>541</v>
      </c>
      <c r="G33" s="189" t="s">
        <v>274</v>
      </c>
      <c r="H33" s="190" t="s">
        <v>265</v>
      </c>
      <c r="I33" s="191" t="s">
        <v>266</v>
      </c>
      <c r="V33" s="349"/>
      <c r="W33" s="349"/>
    </row>
    <row r="34" spans="1:24" s="71" customFormat="1">
      <c r="A34" s="185" t="s">
        <v>273</v>
      </c>
      <c r="B34" s="218">
        <f>B26</f>
        <v>0.10926661861305598</v>
      </c>
      <c r="C34" s="188">
        <f>B41</f>
        <v>7.8128533472833883E-2</v>
      </c>
      <c r="D34" s="192">
        <f>B45</f>
        <v>0.15071457261471499</v>
      </c>
      <c r="F34" s="185" t="s">
        <v>273</v>
      </c>
      <c r="G34" s="219">
        <f>B27</f>
        <v>5059926.2669821531</v>
      </c>
      <c r="H34" s="195">
        <f>B42</f>
        <v>-13537839.285547808</v>
      </c>
      <c r="I34" s="196">
        <f>B46</f>
        <v>23657691.819512095</v>
      </c>
      <c r="V34" s="349"/>
      <c r="W34" s="349"/>
    </row>
    <row r="35" spans="1:24" s="71" customFormat="1">
      <c r="A35" s="185" t="s">
        <v>267</v>
      </c>
      <c r="B35" s="188">
        <f>B49</f>
        <v>0.14280556757872631</v>
      </c>
      <c r="C35" s="188">
        <f>B65</f>
        <v>0.10926661861305598</v>
      </c>
      <c r="D35" s="220">
        <f>B57</f>
        <v>0.18815968175536524</v>
      </c>
      <c r="F35" s="185" t="s">
        <v>267</v>
      </c>
      <c r="G35" s="195">
        <f>B50</f>
        <v>24669677.072908528</v>
      </c>
      <c r="H35" s="195">
        <f>B66</f>
        <v>6071911.5203785552</v>
      </c>
      <c r="I35" s="221">
        <f>B58</f>
        <v>43267442.625438459</v>
      </c>
      <c r="V35" s="349"/>
      <c r="W35" s="349"/>
    </row>
    <row r="36" spans="1:24" s="71" customFormat="1" ht="15.75" thickBot="1">
      <c r="A36" s="186" t="s">
        <v>268</v>
      </c>
      <c r="B36" s="193">
        <f>B53</f>
        <v>7.1417460277614309E-2</v>
      </c>
      <c r="C36" s="222">
        <f>B61</f>
        <v>4.2308987574547485E-2</v>
      </c>
      <c r="D36" s="194">
        <f>B69</f>
        <v>0.1092666186130562</v>
      </c>
      <c r="F36" s="186" t="s">
        <v>268</v>
      </c>
      <c r="G36" s="197">
        <f>B54</f>
        <v>-14549824.538944233</v>
      </c>
      <c r="H36" s="223">
        <f>B62</f>
        <v>-33147590.091474168</v>
      </c>
      <c r="I36" s="198">
        <f>B70</f>
        <v>4047941.0135857258</v>
      </c>
      <c r="V36" s="349"/>
      <c r="W36" s="349"/>
    </row>
    <row r="37" spans="1:24" s="71" customFormat="1">
      <c r="A37" s="182"/>
      <c r="B37" s="183"/>
      <c r="V37" s="349"/>
      <c r="W37" s="349"/>
    </row>
    <row r="38" spans="1:24" s="71" customFormat="1">
      <c r="A38" s="182"/>
      <c r="B38" s="183"/>
      <c r="V38" s="349"/>
      <c r="W38" s="349"/>
    </row>
    <row r="39" spans="1:24" s="71" customFormat="1">
      <c r="A39" s="182"/>
      <c r="B39" s="183"/>
      <c r="V39" s="349"/>
      <c r="W39" s="349"/>
    </row>
    <row r="40" spans="1:24">
      <c r="A40" s="105" t="s">
        <v>265</v>
      </c>
      <c r="B40" s="178">
        <f t="shared" ref="B40:W40" si="6">B22-(B15*1.2)</f>
        <v>-100388942.12938873</v>
      </c>
      <c r="C40" s="178">
        <f t="shared" si="6"/>
        <v>2757068.4457175108</v>
      </c>
      <c r="D40" s="178">
        <f t="shared" si="6"/>
        <v>11017120.558382712</v>
      </c>
      <c r="E40" s="178">
        <f t="shared" si="6"/>
        <v>11762119.13794858</v>
      </c>
      <c r="F40" s="178">
        <f t="shared" si="6"/>
        <v>11763755.248795036</v>
      </c>
      <c r="G40" s="178">
        <f t="shared" si="6"/>
        <v>11746327.786074799</v>
      </c>
      <c r="H40" s="178">
        <f t="shared" si="6"/>
        <v>11066103.411782512</v>
      </c>
      <c r="I40" s="178">
        <f t="shared" si="6"/>
        <v>11015489.043064788</v>
      </c>
      <c r="J40" s="178">
        <f t="shared" si="6"/>
        <v>10955990.800891193</v>
      </c>
      <c r="K40" s="178">
        <f t="shared" si="6"/>
        <v>10880459.207432337</v>
      </c>
      <c r="L40" s="178">
        <f t="shared" si="6"/>
        <v>10787622.355710099</v>
      </c>
      <c r="M40" s="178">
        <f t="shared" si="6"/>
        <v>10676183.20516541</v>
      </c>
      <c r="N40" s="178">
        <f t="shared" si="6"/>
        <v>10399963.852204055</v>
      </c>
      <c r="O40" s="178">
        <f t="shared" si="6"/>
        <v>10445841.561251659</v>
      </c>
      <c r="P40" s="178">
        <f t="shared" si="6"/>
        <v>10541999.08128871</v>
      </c>
      <c r="Q40" s="178">
        <f t="shared" si="6"/>
        <v>10627698.352249824</v>
      </c>
      <c r="R40" s="178">
        <f t="shared" si="6"/>
        <v>11337154.968800079</v>
      </c>
      <c r="S40" s="178">
        <f t="shared" si="6"/>
        <v>11310506.454696089</v>
      </c>
      <c r="T40" s="178">
        <f t="shared" si="6"/>
        <v>11206316.777489046</v>
      </c>
      <c r="U40" s="178">
        <f t="shared" si="6"/>
        <v>11096845.28775922</v>
      </c>
      <c r="V40" s="350">
        <f t="shared" si="6"/>
        <v>7382686.8524267962</v>
      </c>
      <c r="W40" s="350">
        <f t="shared" si="6"/>
        <v>8237015.1393200969</v>
      </c>
      <c r="X40" s="178"/>
    </row>
    <row r="41" spans="1:24">
      <c r="A41" s="179" t="s">
        <v>138</v>
      </c>
      <c r="B41" s="180">
        <f>IRR(B40:U40)</f>
        <v>7.8128533472833883E-2</v>
      </c>
      <c r="F41" s="22"/>
    </row>
    <row r="42" spans="1:24">
      <c r="A42" s="179" t="s">
        <v>539</v>
      </c>
      <c r="B42" s="568">
        <f>NPV(Assumptions!$C$30,B40:U40)</f>
        <v>-13537839.285547808</v>
      </c>
      <c r="F42" s="22"/>
    </row>
    <row r="43" spans="1:24">
      <c r="F43" s="22"/>
    </row>
    <row r="44" spans="1:24">
      <c r="A44" s="105" t="s">
        <v>266</v>
      </c>
      <c r="B44" s="82">
        <f t="shared" ref="B44:W44" si="7">B22-(B15*0.8)</f>
        <v>-66925961.419592492</v>
      </c>
      <c r="C44" s="82">
        <f t="shared" si="7"/>
        <v>2979266.5847535878</v>
      </c>
      <c r="D44" s="82">
        <f t="shared" si="7"/>
        <v>11952753.145342214</v>
      </c>
      <c r="E44" s="82">
        <f t="shared" si="7"/>
        <v>12478309.920020783</v>
      </c>
      <c r="F44" s="82">
        <f t="shared" si="7"/>
        <v>12499931.532076685</v>
      </c>
      <c r="G44" s="82">
        <f t="shared" si="7"/>
        <v>12503228.98172416</v>
      </c>
      <c r="H44" s="82">
        <f t="shared" si="7"/>
        <v>12059047.119168142</v>
      </c>
      <c r="I44" s="82">
        <f t="shared" si="7"/>
        <v>12030743.922338206</v>
      </c>
      <c r="J44" s="82">
        <f t="shared" si="7"/>
        <v>11994407.664976062</v>
      </c>
      <c r="K44" s="82">
        <f t="shared" si="7"/>
        <v>11942930.160879949</v>
      </c>
      <c r="L44" s="82">
        <f t="shared" si="7"/>
        <v>11875083.077054072</v>
      </c>
      <c r="M44" s="82">
        <f t="shared" si="7"/>
        <v>11789615.362314822</v>
      </c>
      <c r="N44" s="82">
        <f t="shared" si="7"/>
        <v>11540397.65877923</v>
      </c>
      <c r="O44" s="82">
        <f t="shared" si="7"/>
        <v>11614358.48223958</v>
      </c>
      <c r="P44" s="82">
        <f t="shared" si="7"/>
        <v>11739734.696896009</v>
      </c>
      <c r="Q44" s="82">
        <f t="shared" si="7"/>
        <v>11855845.389362372</v>
      </c>
      <c r="R44" s="82">
        <f t="shared" si="7"/>
        <v>12382423.492101993</v>
      </c>
      <c r="S44" s="82">
        <f t="shared" si="7"/>
        <v>12388756.317612085</v>
      </c>
      <c r="T44" s="82">
        <f t="shared" si="7"/>
        <v>12318932.164960291</v>
      </c>
      <c r="U44" s="82">
        <f t="shared" si="7"/>
        <v>12245281.541914634</v>
      </c>
      <c r="V44" s="343">
        <f t="shared" si="7"/>
        <v>9768474.5041361488</v>
      </c>
      <c r="W44" s="343">
        <f t="shared" si="7"/>
        <v>9126355.8781021126</v>
      </c>
      <c r="X44" s="82"/>
    </row>
    <row r="45" spans="1:24">
      <c r="A45" s="179" t="s">
        <v>138</v>
      </c>
      <c r="B45" s="180">
        <f>IRR(B44:U44)</f>
        <v>0.15071457261471499</v>
      </c>
      <c r="F45" s="22"/>
    </row>
    <row r="46" spans="1:24">
      <c r="A46" s="179" t="s">
        <v>539</v>
      </c>
      <c r="B46" s="568">
        <f>NPV(Assumptions!$C$30,B44:U44)</f>
        <v>23657691.819512095</v>
      </c>
      <c r="F46" s="22"/>
    </row>
    <row r="48" spans="1:24">
      <c r="A48" s="105" t="s">
        <v>267</v>
      </c>
      <c r="B48" s="82">
        <f t="shared" ref="B48:W48" si="8">(B22*1.2)-B15</f>
        <v>-83657451.77449061</v>
      </c>
      <c r="C48" s="82">
        <f t="shared" si="8"/>
        <v>3552900.0878006974</v>
      </c>
      <c r="D48" s="82">
        <f t="shared" si="8"/>
        <v>14249740.515714705</v>
      </c>
      <c r="E48" s="82">
        <f t="shared" si="8"/>
        <v>14902352.825817721</v>
      </c>
      <c r="F48" s="82">
        <f t="shared" si="8"/>
        <v>14926300.210163854</v>
      </c>
      <c r="G48" s="82">
        <f t="shared" si="8"/>
        <v>14928184.658504056</v>
      </c>
      <c r="H48" s="82">
        <f t="shared" si="8"/>
        <v>14371562.172263207</v>
      </c>
      <c r="I48" s="82">
        <f t="shared" si="8"/>
        <v>14335367.218878506</v>
      </c>
      <c r="J48" s="82">
        <f t="shared" si="8"/>
        <v>14289447.511562787</v>
      </c>
      <c r="K48" s="82">
        <f t="shared" si="8"/>
        <v>14225269.097711179</v>
      </c>
      <c r="L48" s="82">
        <f t="shared" si="8"/>
        <v>14141353.620330486</v>
      </c>
      <c r="M48" s="82">
        <f t="shared" si="8"/>
        <v>14036195.219062846</v>
      </c>
      <c r="N48" s="82">
        <f t="shared" si="8"/>
        <v>13734433.809877558</v>
      </c>
      <c r="O48" s="82">
        <f t="shared" si="8"/>
        <v>13820378.486588702</v>
      </c>
      <c r="P48" s="82">
        <f t="shared" si="8"/>
        <v>13967908.07471448</v>
      </c>
      <c r="Q48" s="82">
        <f t="shared" si="8"/>
        <v>14104199.76352359</v>
      </c>
      <c r="R48" s="82">
        <f t="shared" si="8"/>
        <v>14754381.338192198</v>
      </c>
      <c r="S48" s="82">
        <f t="shared" si="8"/>
        <v>14758682.594842903</v>
      </c>
      <c r="T48" s="82">
        <f t="shared" si="8"/>
        <v>14671457.059205225</v>
      </c>
      <c r="U48" s="82">
        <f t="shared" si="8"/>
        <v>14579494.224882022</v>
      </c>
      <c r="V48" s="343">
        <f t="shared" si="8"/>
        <v>11483590.639792444</v>
      </c>
      <c r="W48" s="343">
        <f t="shared" si="8"/>
        <v>10862692.979844332</v>
      </c>
      <c r="X48" s="82"/>
    </row>
    <row r="49" spans="1:24">
      <c r="A49" s="179" t="s">
        <v>138</v>
      </c>
      <c r="B49" s="180">
        <f>IRR(B48:U48)</f>
        <v>0.14280556757872631</v>
      </c>
    </row>
    <row r="50" spans="1:24">
      <c r="A50" s="179" t="s">
        <v>539</v>
      </c>
      <c r="B50" s="568">
        <f>NPV(Assumptions!$C$30,B48:U48)</f>
        <v>24669677.072908528</v>
      </c>
    </row>
    <row r="52" spans="1:24">
      <c r="A52" s="105" t="s">
        <v>268</v>
      </c>
      <c r="B52" s="82">
        <f t="shared" ref="B52:W52" si="9">(B22*0.8)-B15</f>
        <v>-83657451.77449061</v>
      </c>
      <c r="C52" s="82">
        <f t="shared" si="9"/>
        <v>2183434.9426704012</v>
      </c>
      <c r="D52" s="82">
        <f t="shared" si="9"/>
        <v>8720133.1880102195</v>
      </c>
      <c r="E52" s="82">
        <f t="shared" si="9"/>
        <v>9338076.2321516443</v>
      </c>
      <c r="F52" s="82">
        <f t="shared" si="9"/>
        <v>9337386.5707078651</v>
      </c>
      <c r="G52" s="82">
        <f t="shared" si="9"/>
        <v>9321372.1092949044</v>
      </c>
      <c r="H52" s="82">
        <f t="shared" si="9"/>
        <v>8753588.3586874474</v>
      </c>
      <c r="I52" s="82">
        <f t="shared" si="9"/>
        <v>8710865.7465244886</v>
      </c>
      <c r="J52" s="82">
        <f t="shared" si="9"/>
        <v>8660950.9543044679</v>
      </c>
      <c r="K52" s="82">
        <f t="shared" si="9"/>
        <v>8598120.2706011105</v>
      </c>
      <c r="L52" s="82">
        <f t="shared" si="9"/>
        <v>8521351.8124336824</v>
      </c>
      <c r="M52" s="82">
        <f t="shared" si="9"/>
        <v>8429603.3484173883</v>
      </c>
      <c r="N52" s="82">
        <f t="shared" si="9"/>
        <v>8205927.7011057269</v>
      </c>
      <c r="O52" s="82">
        <f t="shared" si="9"/>
        <v>8239821.5569025353</v>
      </c>
      <c r="P52" s="82">
        <f t="shared" si="9"/>
        <v>8313825.7034702376</v>
      </c>
      <c r="Q52" s="82">
        <f t="shared" si="9"/>
        <v>8379343.9780886043</v>
      </c>
      <c r="R52" s="82">
        <f t="shared" si="9"/>
        <v>8965197.1227098741</v>
      </c>
      <c r="S52" s="82">
        <f t="shared" si="9"/>
        <v>8940580.1774652712</v>
      </c>
      <c r="T52" s="82">
        <f t="shared" si="9"/>
        <v>8853791.883244114</v>
      </c>
      <c r="U52" s="82">
        <f t="shared" si="9"/>
        <v>8762632.604791835</v>
      </c>
      <c r="V52" s="343">
        <f t="shared" si="9"/>
        <v>5667570.7167705018</v>
      </c>
      <c r="W52" s="343">
        <f t="shared" si="9"/>
        <v>6500678.0375778759</v>
      </c>
      <c r="X52" s="82"/>
    </row>
    <row r="53" spans="1:24">
      <c r="A53" s="179" t="s">
        <v>138</v>
      </c>
      <c r="B53" s="180">
        <f>IRR(B52:U52)</f>
        <v>7.1417460277614309E-2</v>
      </c>
    </row>
    <row r="54" spans="1:24">
      <c r="A54" s="179" t="s">
        <v>539</v>
      </c>
      <c r="B54" s="568">
        <f>NPV(Assumptions!$C$30,B52:U52)</f>
        <v>-14549824.538944233</v>
      </c>
    </row>
    <row r="56" spans="1:24">
      <c r="A56" s="105" t="s">
        <v>269</v>
      </c>
      <c r="B56" s="82">
        <f t="shared" ref="B56:W56" si="10">(B22*1.2)-(B15*0.8)</f>
        <v>-66925961.419592492</v>
      </c>
      <c r="C56" s="82">
        <f t="shared" si="10"/>
        <v>3663999.157318736</v>
      </c>
      <c r="D56" s="82">
        <f t="shared" si="10"/>
        <v>14717556.809194457</v>
      </c>
      <c r="E56" s="82">
        <f t="shared" si="10"/>
        <v>15260448.216853822</v>
      </c>
      <c r="F56" s="82">
        <f t="shared" si="10"/>
        <v>15294388.351804679</v>
      </c>
      <c r="G56" s="82">
        <f t="shared" si="10"/>
        <v>15306635.256328736</v>
      </c>
      <c r="H56" s="82">
        <f t="shared" si="10"/>
        <v>14868034.025956022</v>
      </c>
      <c r="I56" s="82">
        <f t="shared" si="10"/>
        <v>14842994.658515215</v>
      </c>
      <c r="J56" s="82">
        <f t="shared" si="10"/>
        <v>14808655.943605222</v>
      </c>
      <c r="K56" s="82">
        <f t="shared" si="10"/>
        <v>14756504.574434984</v>
      </c>
      <c r="L56" s="82">
        <f t="shared" si="10"/>
        <v>14685083.981002474</v>
      </c>
      <c r="M56" s="82">
        <f t="shared" si="10"/>
        <v>14592911.297637552</v>
      </c>
      <c r="N56" s="82">
        <f t="shared" si="10"/>
        <v>14304650.713165145</v>
      </c>
      <c r="O56" s="82">
        <f t="shared" si="10"/>
        <v>14404636.947082663</v>
      </c>
      <c r="P56" s="82">
        <f t="shared" si="10"/>
        <v>14566775.882518131</v>
      </c>
      <c r="Q56" s="82">
        <f t="shared" si="10"/>
        <v>14718273.282079864</v>
      </c>
      <c r="R56" s="82">
        <f t="shared" si="10"/>
        <v>15277015.599843156</v>
      </c>
      <c r="S56" s="82">
        <f t="shared" si="10"/>
        <v>15297807.526300902</v>
      </c>
      <c r="T56" s="82">
        <f t="shared" si="10"/>
        <v>15227764.752940847</v>
      </c>
      <c r="U56" s="82">
        <f t="shared" si="10"/>
        <v>15153712.351959728</v>
      </c>
      <c r="V56" s="343">
        <f t="shared" si="10"/>
        <v>12676484.46564712</v>
      </c>
      <c r="W56" s="343">
        <f t="shared" si="10"/>
        <v>11307363.349235341</v>
      </c>
      <c r="X56" s="82"/>
    </row>
    <row r="57" spans="1:24">
      <c r="A57" s="179" t="s">
        <v>138</v>
      </c>
      <c r="B57" s="180">
        <f>IRR(B56:U56)</f>
        <v>0.18815968175536524</v>
      </c>
      <c r="E57" s="72"/>
    </row>
    <row r="58" spans="1:24">
      <c r="A58" s="179" t="s">
        <v>539</v>
      </c>
      <c r="B58" s="568">
        <f>NPV(Assumptions!$C$30,B56:U56)</f>
        <v>43267442.625438459</v>
      </c>
      <c r="E58" s="72"/>
    </row>
    <row r="59" spans="1:24">
      <c r="E59" s="72"/>
    </row>
    <row r="60" spans="1:24">
      <c r="A60" s="105" t="s">
        <v>270</v>
      </c>
      <c r="B60" s="82">
        <f t="shared" ref="B60:W60" si="11">(B22*0.8)-(B15*1.2)</f>
        <v>-100388942.12938873</v>
      </c>
      <c r="C60" s="82">
        <f t="shared" si="11"/>
        <v>2072335.8731523624</v>
      </c>
      <c r="D60" s="82">
        <f t="shared" si="11"/>
        <v>8252316.8945304696</v>
      </c>
      <c r="E60" s="82">
        <f t="shared" si="11"/>
        <v>8979980.8411155418</v>
      </c>
      <c r="F60" s="82">
        <f t="shared" si="11"/>
        <v>8969298.4290670417</v>
      </c>
      <c r="G60" s="82">
        <f t="shared" si="11"/>
        <v>8942921.5114702228</v>
      </c>
      <c r="H60" s="82">
        <f t="shared" si="11"/>
        <v>8257116.5049946327</v>
      </c>
      <c r="I60" s="82">
        <f t="shared" si="11"/>
        <v>8203238.3068877794</v>
      </c>
      <c r="J60" s="82">
        <f t="shared" si="11"/>
        <v>8141742.5222620331</v>
      </c>
      <c r="K60" s="82">
        <f t="shared" si="11"/>
        <v>8066884.7938773036</v>
      </c>
      <c r="L60" s="82">
        <f t="shared" si="11"/>
        <v>7977621.4517616946</v>
      </c>
      <c r="M60" s="82">
        <f t="shared" si="11"/>
        <v>7872887.2698426824</v>
      </c>
      <c r="N60" s="82">
        <f t="shared" si="11"/>
        <v>7635710.7978181401</v>
      </c>
      <c r="O60" s="82">
        <f t="shared" si="11"/>
        <v>7655563.0964085748</v>
      </c>
      <c r="P60" s="82">
        <f t="shared" si="11"/>
        <v>7714957.8956665872</v>
      </c>
      <c r="Q60" s="82">
        <f t="shared" si="11"/>
        <v>7765270.4595323298</v>
      </c>
      <c r="R60" s="82">
        <f t="shared" si="11"/>
        <v>8442562.8610589169</v>
      </c>
      <c r="S60" s="82">
        <f t="shared" si="11"/>
        <v>8401455.246007273</v>
      </c>
      <c r="T60" s="82">
        <f t="shared" si="11"/>
        <v>8297484.1895084903</v>
      </c>
      <c r="U60" s="82">
        <f t="shared" si="11"/>
        <v>8188414.4777141269</v>
      </c>
      <c r="V60" s="343">
        <f t="shared" si="11"/>
        <v>4474676.890915825</v>
      </c>
      <c r="W60" s="343">
        <f t="shared" si="11"/>
        <v>6056007.6681868685</v>
      </c>
      <c r="X60" s="82"/>
    </row>
    <row r="61" spans="1:24">
      <c r="A61" s="179" t="s">
        <v>138</v>
      </c>
      <c r="B61" s="180">
        <f>IRR(B60:U60)</f>
        <v>4.2308987574547485E-2</v>
      </c>
      <c r="E61" s="72"/>
    </row>
    <row r="62" spans="1:24">
      <c r="A62" s="179" t="s">
        <v>539</v>
      </c>
      <c r="B62" s="181">
        <f>NPV(0.1,B60:U60)</f>
        <v>-33147590.091474168</v>
      </c>
      <c r="E62" s="72"/>
    </row>
    <row r="63" spans="1:24">
      <c r="E63" s="72"/>
    </row>
    <row r="64" spans="1:24">
      <c r="A64" s="105" t="s">
        <v>283</v>
      </c>
      <c r="B64" s="82">
        <f t="shared" ref="B64:W64" si="12">(B22*1.2)-(B15*1.2)</f>
        <v>-100388942.12938873</v>
      </c>
      <c r="C64" s="82">
        <f t="shared" si="12"/>
        <v>3441801.0182826584</v>
      </c>
      <c r="D64" s="82">
        <f t="shared" si="12"/>
        <v>13781924.222234955</v>
      </c>
      <c r="E64" s="82">
        <f t="shared" si="12"/>
        <v>14544257.434781618</v>
      </c>
      <c r="F64" s="82">
        <f t="shared" si="12"/>
        <v>14558212.068523031</v>
      </c>
      <c r="G64" s="82">
        <f t="shared" si="12"/>
        <v>14549734.060679374</v>
      </c>
      <c r="H64" s="82">
        <f t="shared" si="12"/>
        <v>13875090.318570392</v>
      </c>
      <c r="I64" s="82">
        <f t="shared" si="12"/>
        <v>13827739.779241797</v>
      </c>
      <c r="J64" s="82">
        <f t="shared" si="12"/>
        <v>13770239.079520352</v>
      </c>
      <c r="K64" s="82">
        <f t="shared" si="12"/>
        <v>13694033.620987372</v>
      </c>
      <c r="L64" s="82">
        <f t="shared" si="12"/>
        <v>13597623.259658501</v>
      </c>
      <c r="M64" s="82">
        <f t="shared" si="12"/>
        <v>13479479.14048814</v>
      </c>
      <c r="N64" s="82">
        <f t="shared" si="12"/>
        <v>13164216.90658997</v>
      </c>
      <c r="O64" s="82">
        <f t="shared" si="12"/>
        <v>13236120.026094742</v>
      </c>
      <c r="P64" s="82">
        <f t="shared" si="12"/>
        <v>13369040.266910829</v>
      </c>
      <c r="Q64" s="82">
        <f t="shared" si="12"/>
        <v>13490126.244967315</v>
      </c>
      <c r="R64" s="82">
        <f t="shared" si="12"/>
        <v>14231747.076541241</v>
      </c>
      <c r="S64" s="82">
        <f t="shared" si="12"/>
        <v>14219557.663384905</v>
      </c>
      <c r="T64" s="82">
        <f t="shared" si="12"/>
        <v>14115149.365469601</v>
      </c>
      <c r="U64" s="82">
        <f t="shared" si="12"/>
        <v>14005276.097804314</v>
      </c>
      <c r="V64" s="343">
        <f t="shared" si="12"/>
        <v>10290696.813937768</v>
      </c>
      <c r="W64" s="343">
        <f t="shared" si="12"/>
        <v>10418022.610453326</v>
      </c>
      <c r="X64" s="82"/>
    </row>
    <row r="65" spans="1:24">
      <c r="A65" s="179" t="s">
        <v>138</v>
      </c>
      <c r="B65" s="180">
        <f>IRR(B64:U64)</f>
        <v>0.10926661861305598</v>
      </c>
      <c r="E65" s="72"/>
      <c r="H65" s="72"/>
    </row>
    <row r="66" spans="1:24">
      <c r="A66" s="179" t="s">
        <v>539</v>
      </c>
      <c r="B66" s="568">
        <f>NPV(Assumptions!$C$30,B64:U64)</f>
        <v>6071911.5203785552</v>
      </c>
    </row>
    <row r="68" spans="1:24">
      <c r="A68" s="105" t="s">
        <v>284</v>
      </c>
      <c r="B68" s="82">
        <f t="shared" ref="B68:W68" si="13">(B22*0.8)-(B15*0.8)</f>
        <v>-66925961.419592492</v>
      </c>
      <c r="C68" s="82">
        <f t="shared" si="13"/>
        <v>2294534.0121884397</v>
      </c>
      <c r="D68" s="82">
        <f t="shared" si="13"/>
        <v>9187949.4814899713</v>
      </c>
      <c r="E68" s="82">
        <f t="shared" si="13"/>
        <v>9696171.623187745</v>
      </c>
      <c r="F68" s="82">
        <f t="shared" si="13"/>
        <v>9705474.7123486903</v>
      </c>
      <c r="G68" s="82">
        <f t="shared" si="13"/>
        <v>9699822.7071195841</v>
      </c>
      <c r="H68" s="82">
        <f t="shared" si="13"/>
        <v>9250060.2123802621</v>
      </c>
      <c r="I68" s="82">
        <f t="shared" si="13"/>
        <v>9218493.1861611977</v>
      </c>
      <c r="J68" s="82">
        <f t="shared" si="13"/>
        <v>9180159.3863469027</v>
      </c>
      <c r="K68" s="82">
        <f t="shared" si="13"/>
        <v>9129355.7473249156</v>
      </c>
      <c r="L68" s="82">
        <f t="shared" si="13"/>
        <v>9065082.1731056683</v>
      </c>
      <c r="M68" s="82">
        <f t="shared" si="13"/>
        <v>8986319.4269920941</v>
      </c>
      <c r="N68" s="82">
        <f t="shared" si="13"/>
        <v>8776144.6043933146</v>
      </c>
      <c r="O68" s="82">
        <f t="shared" si="13"/>
        <v>8824080.0173964966</v>
      </c>
      <c r="P68" s="82">
        <f t="shared" si="13"/>
        <v>8912693.511273887</v>
      </c>
      <c r="Q68" s="82">
        <f t="shared" si="13"/>
        <v>8993417.4966448788</v>
      </c>
      <c r="R68" s="82">
        <f t="shared" si="13"/>
        <v>9487831.3843608312</v>
      </c>
      <c r="S68" s="82">
        <f t="shared" si="13"/>
        <v>9479705.1089232694</v>
      </c>
      <c r="T68" s="82">
        <f t="shared" si="13"/>
        <v>9410099.5769797359</v>
      </c>
      <c r="U68" s="82">
        <f t="shared" si="13"/>
        <v>9336850.7318695411</v>
      </c>
      <c r="V68" s="343">
        <f t="shared" si="13"/>
        <v>6860464.5426251786</v>
      </c>
      <c r="W68" s="343">
        <f t="shared" si="13"/>
        <v>6945348.4069688832</v>
      </c>
      <c r="X68" s="82"/>
    </row>
    <row r="69" spans="1:24">
      <c r="A69" s="179" t="s">
        <v>138</v>
      </c>
      <c r="B69" s="180">
        <f>IRR(B68:U68)</f>
        <v>0.1092666186130562</v>
      </c>
    </row>
    <row r="70" spans="1:24">
      <c r="A70" s="179" t="s">
        <v>539</v>
      </c>
      <c r="B70" s="568">
        <f>NPV(Assumptions!$C$30,B68:U68)</f>
        <v>4047941.0135857258</v>
      </c>
    </row>
    <row r="72" spans="1:24">
      <c r="A72" s="430" t="s">
        <v>447</v>
      </c>
      <c r="B72" s="431">
        <f>SUM(B8:B9)/'Power Gen'!F6/1000</f>
        <v>1623.7490354898123</v>
      </c>
    </row>
  </sheetData>
  <pageMargins left="0.7" right="0.7" top="0.75" bottom="0.75" header="0.3" footer="0.3"/>
  <pageSetup scale="51"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69"/>
  <sheetViews>
    <sheetView workbookViewId="0">
      <selection activeCell="A2" sqref="A2"/>
    </sheetView>
  </sheetViews>
  <sheetFormatPr defaultColWidth="8.88671875" defaultRowHeight="15"/>
  <cols>
    <col min="1" max="1" width="23.44140625" style="19" customWidth="1"/>
    <col min="2" max="2" width="11.88671875" style="19" bestFit="1" customWidth="1"/>
    <col min="3" max="3" width="9.77734375" style="19" bestFit="1" customWidth="1"/>
    <col min="4" max="4" width="9.77734375" style="19" customWidth="1"/>
    <col min="5" max="5" width="18.6640625" style="19" customWidth="1"/>
    <col min="6" max="6" width="9.77734375" style="19" bestFit="1" customWidth="1"/>
    <col min="7" max="7" width="4.6640625" style="19" customWidth="1"/>
    <col min="8" max="8" width="5.44140625" style="19" customWidth="1"/>
    <col min="9" max="9" width="2.88671875" style="19" bestFit="1" customWidth="1"/>
    <col min="10" max="10" width="3.6640625" style="19" bestFit="1" customWidth="1"/>
    <col min="11" max="11" width="3.88671875" style="19" bestFit="1" customWidth="1"/>
    <col min="12" max="16384" width="8.88671875" style="19"/>
  </cols>
  <sheetData>
    <row r="1" spans="1:14" s="1" customFormat="1" ht="20.25">
      <c r="A1" s="2" t="s">
        <v>576</v>
      </c>
      <c r="B1" s="2"/>
      <c r="C1" s="3"/>
    </row>
    <row r="2" spans="1:14" s="1" customFormat="1" ht="15.75">
      <c r="A2" s="702" t="s">
        <v>595</v>
      </c>
      <c r="B2" s="9"/>
    </row>
    <row r="3" spans="1:14" s="1" customFormat="1" ht="12.75">
      <c r="A3" s="9"/>
      <c r="B3" s="9"/>
    </row>
    <row r="4" spans="1:14" ht="21">
      <c r="A4" s="21" t="s">
        <v>220</v>
      </c>
    </row>
    <row r="5" spans="1:14" ht="15" customHeight="1">
      <c r="A5" s="134"/>
      <c r="E5" s="164" t="s">
        <v>223</v>
      </c>
      <c r="F5" s="165"/>
      <c r="G5" s="165"/>
      <c r="H5" s="166"/>
      <c r="I5" s="141"/>
    </row>
    <row r="6" spans="1:14" ht="15" customHeight="1">
      <c r="A6" s="135" t="s">
        <v>221</v>
      </c>
      <c r="B6" s="136"/>
      <c r="C6" s="137"/>
      <c r="E6" s="432" t="s">
        <v>216</v>
      </c>
      <c r="F6" s="433">
        <v>50</v>
      </c>
      <c r="G6" s="434" t="s">
        <v>217</v>
      </c>
      <c r="H6" s="169"/>
      <c r="I6" s="141"/>
    </row>
    <row r="7" spans="1:14">
      <c r="A7" s="425" t="s">
        <v>218</v>
      </c>
      <c r="B7" s="426">
        <v>132284700</v>
      </c>
      <c r="C7" s="427" t="s">
        <v>202</v>
      </c>
      <c r="E7" s="167" t="s">
        <v>222</v>
      </c>
      <c r="F7" s="382">
        <v>25</v>
      </c>
      <c r="G7" s="168"/>
      <c r="H7" s="169"/>
      <c r="I7" s="141"/>
    </row>
    <row r="8" spans="1:14">
      <c r="A8" s="117" t="s">
        <v>203</v>
      </c>
      <c r="B8" s="145">
        <f>F6*10^3*24*365</f>
        <v>438000000</v>
      </c>
      <c r="C8" s="142" t="s">
        <v>202</v>
      </c>
      <c r="E8" s="167" t="s">
        <v>210</v>
      </c>
      <c r="F8" s="382">
        <v>80</v>
      </c>
      <c r="G8" s="168" t="s">
        <v>211</v>
      </c>
      <c r="H8" s="169"/>
      <c r="I8" s="141"/>
    </row>
    <row r="9" spans="1:14">
      <c r="A9" s="428" t="s">
        <v>204</v>
      </c>
      <c r="B9" s="429">
        <f>B7/B8</f>
        <v>0.30201986301369865</v>
      </c>
      <c r="C9" s="143"/>
      <c r="E9" s="167" t="s">
        <v>213</v>
      </c>
      <c r="F9" s="382">
        <v>7.5</v>
      </c>
      <c r="G9" s="168" t="s">
        <v>214</v>
      </c>
      <c r="H9" s="169"/>
      <c r="I9" s="141"/>
      <c r="M9" s="435">
        <f>7000/1.8/8760</f>
        <v>0.44393708777270419</v>
      </c>
      <c r="N9" s="436" t="s">
        <v>448</v>
      </c>
    </row>
    <row r="10" spans="1:14">
      <c r="E10" s="170"/>
      <c r="F10" s="171"/>
      <c r="G10" s="171"/>
      <c r="H10" s="172"/>
      <c r="I10" s="141"/>
    </row>
    <row r="11" spans="1:14">
      <c r="E11" s="140"/>
      <c r="F11" s="139"/>
      <c r="G11" s="140"/>
      <c r="I11" s="141"/>
    </row>
    <row r="12" spans="1:14">
      <c r="A12" s="135" t="s">
        <v>205</v>
      </c>
      <c r="B12" s="136"/>
      <c r="C12" s="136"/>
      <c r="D12" s="136"/>
      <c r="E12" s="137"/>
      <c r="F12" s="144"/>
      <c r="G12" s="141"/>
      <c r="H12" s="141"/>
      <c r="I12" s="141"/>
    </row>
    <row r="13" spans="1:14">
      <c r="A13" s="117"/>
      <c r="B13" s="141"/>
      <c r="C13" s="141"/>
      <c r="D13" s="141"/>
      <c r="E13" s="142"/>
      <c r="F13" s="76"/>
    </row>
    <row r="14" spans="1:14" ht="17.25">
      <c r="A14" s="117" t="s">
        <v>206</v>
      </c>
      <c r="B14" s="141"/>
      <c r="C14" s="141"/>
      <c r="D14" s="141"/>
      <c r="E14" s="142"/>
    </row>
    <row r="15" spans="1:14">
      <c r="A15" s="117"/>
      <c r="B15" s="141"/>
      <c r="C15" s="141"/>
      <c r="D15" s="141"/>
      <c r="E15" s="146"/>
    </row>
    <row r="16" spans="1:14">
      <c r="A16" s="117" t="s">
        <v>207</v>
      </c>
      <c r="B16" s="141"/>
      <c r="C16" s="139" t="s">
        <v>201</v>
      </c>
      <c r="D16" s="145">
        <f>0.01328*(D17^2)*(D18^3)*25</f>
        <v>108002241.5582374</v>
      </c>
      <c r="E16" s="142" t="s">
        <v>224</v>
      </c>
    </row>
    <row r="17" spans="1:6">
      <c r="A17" s="117" t="s">
        <v>208</v>
      </c>
      <c r="B17" s="141"/>
      <c r="C17" s="139" t="s">
        <v>201</v>
      </c>
      <c r="D17" s="162">
        <f>F8*3.280839895</f>
        <v>262.46719160000004</v>
      </c>
      <c r="E17" s="142" t="s">
        <v>212</v>
      </c>
    </row>
    <row r="18" spans="1:6">
      <c r="A18" s="117" t="s">
        <v>209</v>
      </c>
      <c r="B18" s="141"/>
      <c r="C18" s="139" t="s">
        <v>201</v>
      </c>
      <c r="D18" s="162">
        <f>F9*2.2369362921</f>
        <v>16.777022190749999</v>
      </c>
      <c r="E18" s="142" t="s">
        <v>215</v>
      </c>
    </row>
    <row r="19" spans="1:6">
      <c r="A19" s="117"/>
      <c r="B19" s="141"/>
      <c r="C19" s="141"/>
      <c r="D19" s="141"/>
      <c r="E19" s="142"/>
    </row>
    <row r="20" spans="1:6">
      <c r="A20" s="138" t="s">
        <v>204</v>
      </c>
      <c r="B20" s="147">
        <f>D16/B8</f>
        <v>0.2465804601786242</v>
      </c>
      <c r="C20" s="141"/>
      <c r="D20" s="141"/>
      <c r="E20" s="142"/>
    </row>
    <row r="21" spans="1:6">
      <c r="A21" s="138"/>
      <c r="B21" s="147"/>
      <c r="C21" s="141"/>
      <c r="D21" s="141"/>
      <c r="E21" s="142"/>
    </row>
    <row r="22" spans="1:6">
      <c r="A22" s="148" t="s">
        <v>236</v>
      </c>
      <c r="B22" s="149"/>
      <c r="C22" s="150"/>
      <c r="D22" s="150"/>
      <c r="E22" s="151"/>
    </row>
    <row r="23" spans="1:6" ht="15.75" customHeight="1">
      <c r="A23" s="154" t="s">
        <v>235</v>
      </c>
      <c r="B23" s="152"/>
      <c r="C23" s="152"/>
      <c r="D23" s="152"/>
      <c r="E23" s="153"/>
    </row>
    <row r="24" spans="1:6">
      <c r="A24" s="141"/>
      <c r="B24" s="141"/>
      <c r="C24" s="141"/>
      <c r="D24" s="141"/>
      <c r="E24" s="141"/>
    </row>
    <row r="25" spans="1:6">
      <c r="A25" s="141"/>
      <c r="B25" s="141"/>
      <c r="C25" s="141"/>
      <c r="D25" s="141"/>
      <c r="E25" s="141"/>
    </row>
    <row r="26" spans="1:6">
      <c r="A26" s="135" t="s">
        <v>225</v>
      </c>
      <c r="B26" s="156"/>
      <c r="C26" s="157"/>
      <c r="D26" s="22"/>
      <c r="E26" s="22"/>
      <c r="F26" s="22"/>
    </row>
    <row r="27" spans="1:6">
      <c r="A27" s="117" t="s">
        <v>231</v>
      </c>
      <c r="B27" s="383">
        <v>140100000</v>
      </c>
      <c r="C27" s="158" t="s">
        <v>224</v>
      </c>
      <c r="D27" s="95"/>
      <c r="E27" s="22"/>
      <c r="F27" s="22"/>
    </row>
    <row r="28" spans="1:6">
      <c r="A28" s="117" t="s">
        <v>232</v>
      </c>
      <c r="B28" s="384">
        <v>0.17199999999999999</v>
      </c>
      <c r="C28" s="158" t="s">
        <v>234</v>
      </c>
      <c r="D28" s="22"/>
      <c r="E28" s="22"/>
      <c r="F28" s="22"/>
    </row>
    <row r="29" spans="1:6">
      <c r="A29" s="117" t="s">
        <v>233</v>
      </c>
      <c r="B29" s="145">
        <f>B27*(1-B28)</f>
        <v>116002800.00000001</v>
      </c>
      <c r="C29" s="158" t="s">
        <v>224</v>
      </c>
      <c r="D29" s="22"/>
      <c r="E29" s="22"/>
      <c r="F29" s="22"/>
    </row>
    <row r="30" spans="1:6">
      <c r="A30" s="117" t="s">
        <v>204</v>
      </c>
      <c r="B30" s="147">
        <f>B29/B8</f>
        <v>0.26484657534246581</v>
      </c>
      <c r="C30" s="158"/>
      <c r="D30" s="22"/>
      <c r="E30" s="22"/>
      <c r="F30" s="22"/>
    </row>
    <row r="31" spans="1:6">
      <c r="A31" s="117"/>
      <c r="B31" s="147"/>
      <c r="C31" s="158"/>
      <c r="D31" s="22"/>
      <c r="E31" s="22"/>
      <c r="F31" s="22"/>
    </row>
    <row r="32" spans="1:6">
      <c r="A32" s="159" t="s">
        <v>237</v>
      </c>
      <c r="B32" s="160"/>
      <c r="C32" s="161"/>
      <c r="D32" s="22"/>
      <c r="E32" s="22"/>
      <c r="F32" s="22"/>
    </row>
    <row r="36" spans="1:2" ht="18.75">
      <c r="A36" s="134" t="s">
        <v>219</v>
      </c>
    </row>
    <row r="38" spans="1:2">
      <c r="A38" s="119" t="s">
        <v>194</v>
      </c>
      <c r="B38" s="120" t="s">
        <v>182</v>
      </c>
    </row>
    <row r="39" spans="1:2">
      <c r="A39" s="386">
        <v>7.15</v>
      </c>
      <c r="B39" s="387">
        <v>4.8000000000000001E-2</v>
      </c>
    </row>
    <row r="40" spans="1:2">
      <c r="A40" s="386">
        <v>8.08</v>
      </c>
      <c r="B40" s="387">
        <v>3.5999999999999997E-2</v>
      </c>
    </row>
    <row r="41" spans="1:2">
      <c r="A41" s="386">
        <v>9.32</v>
      </c>
      <c r="B41" s="387">
        <v>2.5999999999999999E-2</v>
      </c>
    </row>
    <row r="42" spans="1:2">
      <c r="A42" s="304" t="s">
        <v>325</v>
      </c>
      <c r="B42" s="121">
        <f>CRETN!C28</f>
        <v>0.127</v>
      </c>
    </row>
    <row r="51" spans="1:4">
      <c r="A51" s="155" t="s">
        <v>239</v>
      </c>
    </row>
    <row r="52" spans="1:4" ht="15.75">
      <c r="A52" s="385" t="s">
        <v>238</v>
      </c>
    </row>
    <row r="53" spans="1:4">
      <c r="A53" s="163"/>
    </row>
    <row r="54" spans="1:4">
      <c r="A54" s="163"/>
    </row>
    <row r="56" spans="1:4">
      <c r="A56" s="20" t="s">
        <v>321</v>
      </c>
    </row>
    <row r="57" spans="1:4">
      <c r="A57" s="564" t="s">
        <v>317</v>
      </c>
      <c r="B57" s="564" t="s">
        <v>316</v>
      </c>
      <c r="C57" s="564" t="s">
        <v>315</v>
      </c>
      <c r="D57" s="564" t="s">
        <v>299</v>
      </c>
    </row>
    <row r="58" spans="1:4">
      <c r="A58" s="564" t="s">
        <v>318</v>
      </c>
      <c r="B58" s="564" t="s">
        <v>322</v>
      </c>
      <c r="C58" s="565">
        <v>27.6</v>
      </c>
      <c r="D58" s="564">
        <f>C58/1000</f>
        <v>2.7600000000000003E-2</v>
      </c>
    </row>
    <row r="59" spans="1:4">
      <c r="A59" s="564" t="s">
        <v>319</v>
      </c>
      <c r="B59" s="564" t="s">
        <v>322</v>
      </c>
      <c r="C59" s="565">
        <v>16.3</v>
      </c>
      <c r="D59" s="564">
        <f>C59/1000</f>
        <v>1.6300000000000002E-2</v>
      </c>
    </row>
    <row r="60" spans="1:4">
      <c r="A60" s="564" t="s">
        <v>320</v>
      </c>
      <c r="B60" s="564" t="s">
        <v>322</v>
      </c>
      <c r="C60" s="565">
        <v>15.9</v>
      </c>
      <c r="D60" s="564">
        <f>C60/1000</f>
        <v>1.5900000000000001E-2</v>
      </c>
    </row>
    <row r="61" spans="1:4">
      <c r="A61" s="564" t="s">
        <v>323</v>
      </c>
      <c r="B61" s="564" t="s">
        <v>322</v>
      </c>
      <c r="C61" s="565">
        <v>18.2</v>
      </c>
      <c r="D61" s="564">
        <f>C61/1000</f>
        <v>1.8200000000000001E-2</v>
      </c>
    </row>
    <row r="62" spans="1:4">
      <c r="A62" s="564" t="s">
        <v>324</v>
      </c>
      <c r="B62" s="564" t="s">
        <v>322</v>
      </c>
      <c r="C62" s="565">
        <v>20.9</v>
      </c>
      <c r="D62" s="564">
        <f>C62/1000</f>
        <v>2.0899999999999998E-2</v>
      </c>
    </row>
    <row r="63" spans="1:4">
      <c r="A63" s="564" t="s">
        <v>325</v>
      </c>
      <c r="B63" s="564" t="s">
        <v>326</v>
      </c>
      <c r="C63" s="566">
        <f>D63*1000</f>
        <v>95</v>
      </c>
      <c r="D63" s="567">
        <v>9.5000000000000001E-2</v>
      </c>
    </row>
    <row r="69" spans="1:1">
      <c r="A69" s="155" t="s">
        <v>327</v>
      </c>
    </row>
  </sheetData>
  <hyperlinks>
    <hyperlink ref="A52" r:id="rId1"/>
  </hyperlinks>
  <pageMargins left="0.7" right="0.7" top="0.75" bottom="0.75" header="0.3" footer="0.3"/>
  <pageSetup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49"/>
  <sheetViews>
    <sheetView zoomScale="82" zoomScaleNormal="82" workbookViewId="0">
      <selection activeCell="A2" sqref="A2"/>
    </sheetView>
  </sheetViews>
  <sheetFormatPr defaultColWidth="8.88671875" defaultRowHeight="15.75"/>
  <cols>
    <col min="1" max="1" width="3.44140625" style="28" customWidth="1"/>
    <col min="2" max="2" width="26.88671875" style="28" customWidth="1"/>
    <col min="3" max="3" width="29.88671875" style="28" customWidth="1"/>
    <col min="4" max="4" width="9.109375" style="44" bestFit="1" customWidth="1"/>
    <col min="5" max="5" width="10.21875" style="62" bestFit="1" customWidth="1"/>
    <col min="6" max="6" width="10.21875" style="44" bestFit="1" customWidth="1"/>
    <col min="7" max="7" width="10.33203125" style="62" bestFit="1" customWidth="1"/>
    <col min="8" max="8" width="9.21875" style="44" customWidth="1"/>
    <col min="9" max="9" width="11.109375" style="44" bestFit="1" customWidth="1"/>
    <col min="10" max="11" width="10" style="28" bestFit="1" customWidth="1"/>
    <col min="12" max="16384" width="8.88671875" style="28"/>
  </cols>
  <sheetData>
    <row r="1" spans="1:9" s="1" customFormat="1" ht="20.25">
      <c r="A1" s="2" t="s">
        <v>576</v>
      </c>
      <c r="B1" s="2"/>
      <c r="C1" s="3"/>
    </row>
    <row r="2" spans="1:9" s="1" customFormat="1">
      <c r="A2" s="702" t="s">
        <v>595</v>
      </c>
      <c r="B2" s="9"/>
    </row>
    <row r="3" spans="1:9" s="1" customFormat="1" ht="12.75">
      <c r="A3" s="9"/>
      <c r="B3" s="9"/>
    </row>
    <row r="4" spans="1:9">
      <c r="A4" s="63" t="s">
        <v>121</v>
      </c>
      <c r="B4" s="63"/>
    </row>
    <row r="5" spans="1:9">
      <c r="A5" s="743">
        <v>40035</v>
      </c>
      <c r="B5" s="743"/>
    </row>
    <row r="6" spans="1:9">
      <c r="A6" s="25"/>
      <c r="B6" s="25"/>
      <c r="C6" s="25"/>
      <c r="D6" s="26"/>
      <c r="E6" s="27"/>
      <c r="F6" s="26"/>
      <c r="G6" s="27"/>
      <c r="H6" s="26"/>
      <c r="I6" s="26"/>
    </row>
    <row r="7" spans="1:9" ht="45">
      <c r="A7" s="25"/>
      <c r="B7" s="29"/>
      <c r="C7" s="25"/>
      <c r="D7" s="30" t="s">
        <v>81</v>
      </c>
      <c r="E7" s="31" t="s">
        <v>82</v>
      </c>
      <c r="F7" s="30" t="s">
        <v>83</v>
      </c>
      <c r="G7" s="31" t="s">
        <v>84</v>
      </c>
      <c r="H7" s="30" t="s">
        <v>85</v>
      </c>
      <c r="I7" s="32" t="s">
        <v>86</v>
      </c>
    </row>
    <row r="8" spans="1:9">
      <c r="A8" s="33"/>
      <c r="B8" s="34" t="s">
        <v>87</v>
      </c>
      <c r="C8" s="33"/>
      <c r="D8" s="35"/>
      <c r="E8" s="36"/>
      <c r="F8" s="35"/>
      <c r="G8" s="36"/>
      <c r="H8" s="35"/>
      <c r="I8" s="37"/>
    </row>
    <row r="9" spans="1:9">
      <c r="A9" s="25">
        <v>1</v>
      </c>
      <c r="B9" s="29" t="s">
        <v>88</v>
      </c>
      <c r="C9" s="25"/>
      <c r="D9" s="26"/>
      <c r="E9" s="27"/>
      <c r="F9" s="26"/>
      <c r="G9" s="27"/>
      <c r="H9" s="26"/>
      <c r="I9" s="26"/>
    </row>
    <row r="10" spans="1:9">
      <c r="A10" s="25" t="s">
        <v>89</v>
      </c>
      <c r="B10" s="25" t="s">
        <v>90</v>
      </c>
      <c r="C10" s="25"/>
      <c r="D10" s="388">
        <v>120000</v>
      </c>
      <c r="E10" s="39">
        <v>0.5</v>
      </c>
      <c r="F10" s="388">
        <v>100</v>
      </c>
      <c r="G10" s="39">
        <v>0.7</v>
      </c>
      <c r="H10" s="26">
        <f>F10*(1-G10)</f>
        <v>30.000000000000004</v>
      </c>
      <c r="I10" s="26">
        <f>D10*E10*F10*G10</f>
        <v>4200000</v>
      </c>
    </row>
    <row r="11" spans="1:9">
      <c r="A11" s="25" t="s">
        <v>91</v>
      </c>
      <c r="B11" s="25" t="s">
        <v>92</v>
      </c>
      <c r="C11" s="25"/>
      <c r="D11" s="388">
        <v>60000</v>
      </c>
      <c r="E11" s="39">
        <v>0.4</v>
      </c>
      <c r="F11" s="388">
        <v>350</v>
      </c>
      <c r="G11" s="389">
        <v>0.8</v>
      </c>
      <c r="H11" s="26">
        <f>F11*(1-G11)</f>
        <v>69.999999999999986</v>
      </c>
      <c r="I11" s="26">
        <f>D11*E11*F11*G11</f>
        <v>6720000</v>
      </c>
    </row>
    <row r="12" spans="1:9">
      <c r="A12" s="25" t="s">
        <v>93</v>
      </c>
      <c r="B12" s="25" t="s">
        <v>94</v>
      </c>
      <c r="C12" s="25"/>
      <c r="D12" s="388">
        <v>400</v>
      </c>
      <c r="E12" s="39">
        <v>0.9</v>
      </c>
      <c r="F12" s="38">
        <v>500</v>
      </c>
      <c r="G12" s="39">
        <v>0.5</v>
      </c>
      <c r="H12" s="26">
        <f>F12*(1-G12)</f>
        <v>250</v>
      </c>
      <c r="I12" s="26">
        <f>D12*E12*F12*G12</f>
        <v>90000</v>
      </c>
    </row>
    <row r="13" spans="1:9">
      <c r="A13" s="25" t="s">
        <v>95</v>
      </c>
      <c r="B13" s="25" t="s">
        <v>96</v>
      </c>
      <c r="C13" s="25"/>
      <c r="D13" s="388">
        <v>10000</v>
      </c>
      <c r="E13" s="39">
        <v>0.3</v>
      </c>
      <c r="F13" s="38">
        <v>1929</v>
      </c>
      <c r="G13" s="39">
        <v>0.7</v>
      </c>
      <c r="H13" s="26">
        <f>F13*(1-G13)</f>
        <v>578.70000000000005</v>
      </c>
      <c r="I13" s="26">
        <f>D13*E13*F13*G13</f>
        <v>4050899.9999999995</v>
      </c>
    </row>
    <row r="14" spans="1:9">
      <c r="A14" s="25" t="s">
        <v>97</v>
      </c>
      <c r="B14" s="25" t="s">
        <v>98</v>
      </c>
      <c r="C14" s="25"/>
      <c r="D14" s="38">
        <v>22500</v>
      </c>
      <c r="E14" s="39">
        <v>0.2</v>
      </c>
      <c r="F14" s="38">
        <v>1219</v>
      </c>
      <c r="G14" s="39">
        <v>0.7</v>
      </c>
      <c r="H14" s="26">
        <f>F14*(1-G14)</f>
        <v>365.70000000000005</v>
      </c>
      <c r="I14" s="26">
        <f>D14*E14*F14*G14+150</f>
        <v>3839999.9999999995</v>
      </c>
    </row>
    <row r="15" spans="1:9">
      <c r="A15" s="25" t="s">
        <v>99</v>
      </c>
      <c r="B15" s="40" t="s">
        <v>100</v>
      </c>
      <c r="C15" s="25"/>
      <c r="D15" s="41"/>
      <c r="E15" s="42"/>
      <c r="F15" s="41"/>
      <c r="G15" s="42"/>
      <c r="H15" s="41"/>
      <c r="I15" s="390">
        <f>12400000</f>
        <v>12400000</v>
      </c>
    </row>
    <row r="16" spans="1:9">
      <c r="A16" s="25"/>
      <c r="B16" s="43" t="s">
        <v>101</v>
      </c>
      <c r="C16" s="25" t="s">
        <v>102</v>
      </c>
      <c r="D16" s="41"/>
      <c r="E16" s="42"/>
      <c r="F16" s="41"/>
      <c r="G16" s="42"/>
      <c r="H16" s="26"/>
    </row>
    <row r="17" spans="1:11" ht="31.5">
      <c r="A17" s="25"/>
      <c r="B17" s="43" t="s">
        <v>101</v>
      </c>
      <c r="C17" s="45" t="s">
        <v>103</v>
      </c>
      <c r="D17" s="41"/>
      <c r="E17" s="42"/>
      <c r="F17" s="41"/>
      <c r="G17" s="42"/>
      <c r="H17" s="26"/>
      <c r="I17" s="26">
        <f>D17*E17*F17*G17</f>
        <v>0</v>
      </c>
    </row>
    <row r="18" spans="1:11" ht="31.5">
      <c r="A18" s="25"/>
      <c r="B18" s="43" t="s">
        <v>101</v>
      </c>
      <c r="C18" s="45" t="s">
        <v>104</v>
      </c>
      <c r="D18" s="41"/>
      <c r="E18" s="42"/>
      <c r="F18" s="41"/>
      <c r="G18" s="42"/>
      <c r="H18" s="26"/>
      <c r="I18" s="26">
        <f>D18*E18*F18*G18</f>
        <v>0</v>
      </c>
    </row>
    <row r="19" spans="1:11">
      <c r="A19" s="25"/>
      <c r="B19" s="43" t="s">
        <v>101</v>
      </c>
      <c r="C19" s="25" t="s">
        <v>105</v>
      </c>
      <c r="D19" s="41"/>
      <c r="E19" s="42"/>
      <c r="F19" s="41"/>
      <c r="G19" s="42"/>
      <c r="H19" s="26"/>
      <c r="I19" s="26">
        <f>D19*E19*F19*G19</f>
        <v>0</v>
      </c>
    </row>
    <row r="20" spans="1:11">
      <c r="A20" s="25"/>
      <c r="B20" s="43" t="s">
        <v>101</v>
      </c>
      <c r="C20" s="25" t="s">
        <v>106</v>
      </c>
      <c r="D20" s="41"/>
      <c r="E20" s="42"/>
      <c r="F20" s="41"/>
      <c r="G20" s="42"/>
      <c r="H20" s="26"/>
      <c r="I20" s="26">
        <f>D20*E20*F20*G20</f>
        <v>0</v>
      </c>
    </row>
    <row r="21" spans="1:11">
      <c r="A21" s="25" t="s">
        <v>107</v>
      </c>
      <c r="B21" s="25" t="s">
        <v>108</v>
      </c>
      <c r="C21" s="25"/>
      <c r="D21" s="41"/>
      <c r="E21" s="42"/>
      <c r="F21" s="41"/>
      <c r="G21" s="42"/>
      <c r="H21" s="26"/>
      <c r="I21" s="26">
        <f>D21*E21*F21*G21</f>
        <v>0</v>
      </c>
    </row>
    <row r="22" spans="1:11" s="49" customFormat="1" ht="15">
      <c r="A22" s="46"/>
      <c r="B22" s="46" t="s">
        <v>109</v>
      </c>
      <c r="C22" s="46"/>
      <c r="D22" s="47"/>
      <c r="E22" s="48"/>
      <c r="F22" s="47"/>
      <c r="G22" s="48"/>
      <c r="H22" s="47"/>
      <c r="I22" s="47">
        <f>SUM(I9:I21)</f>
        <v>31300900</v>
      </c>
    </row>
    <row r="23" spans="1:11" s="49" customFormat="1" ht="15">
      <c r="A23" s="50">
        <v>2</v>
      </c>
      <c r="B23" s="50" t="s">
        <v>110</v>
      </c>
      <c r="C23" s="50"/>
      <c r="D23" s="51"/>
      <c r="E23" s="52"/>
      <c r="F23" s="51"/>
      <c r="G23" s="52"/>
      <c r="H23" s="51"/>
      <c r="I23" s="51"/>
    </row>
    <row r="24" spans="1:11" s="49" customFormat="1" ht="15">
      <c r="A24" s="50"/>
      <c r="B24" s="53" t="s">
        <v>111</v>
      </c>
      <c r="C24" s="50"/>
      <c r="D24" s="51"/>
      <c r="E24" s="52"/>
      <c r="F24" s="51"/>
      <c r="G24" s="52"/>
      <c r="H24" s="51"/>
      <c r="I24" s="390">
        <v>20000000</v>
      </c>
    </row>
    <row r="25" spans="1:11">
      <c r="A25" s="25"/>
      <c r="B25" s="29"/>
      <c r="C25" s="25"/>
      <c r="D25" s="26"/>
      <c r="E25" s="27"/>
      <c r="F25" s="26"/>
      <c r="G25" s="27"/>
      <c r="H25" s="26"/>
      <c r="I25" s="26"/>
    </row>
    <row r="26" spans="1:11">
      <c r="A26" s="54">
        <v>3</v>
      </c>
      <c r="B26" s="50" t="s">
        <v>112</v>
      </c>
      <c r="C26" s="25"/>
      <c r="D26" s="26"/>
      <c r="E26" s="27"/>
      <c r="F26" s="26"/>
      <c r="G26" s="27"/>
      <c r="H26" s="26"/>
      <c r="I26" s="391">
        <v>3000000</v>
      </c>
    </row>
    <row r="27" spans="1:11">
      <c r="A27" s="25"/>
      <c r="B27" s="25"/>
      <c r="C27" s="25"/>
      <c r="D27" s="26"/>
      <c r="E27" s="27"/>
      <c r="F27" s="26"/>
      <c r="G27" s="27"/>
      <c r="H27" s="26"/>
      <c r="I27" s="41"/>
      <c r="J27" s="64" t="s">
        <v>122</v>
      </c>
      <c r="K27" s="64" t="s">
        <v>123</v>
      </c>
    </row>
    <row r="28" spans="1:11">
      <c r="A28" s="552"/>
      <c r="B28" s="549" t="s">
        <v>113</v>
      </c>
      <c r="C28" s="552"/>
      <c r="D28" s="553"/>
      <c r="E28" s="554"/>
      <c r="F28" s="553"/>
      <c r="G28" s="554"/>
      <c r="H28" s="553"/>
      <c r="I28" s="550">
        <f>I22+I24+I26</f>
        <v>54300900</v>
      </c>
      <c r="J28" s="65">
        <f>I28/I36</f>
        <v>0.86190673466569523</v>
      </c>
      <c r="K28" s="66">
        <f>J28*I37</f>
        <v>2154766.836664238</v>
      </c>
    </row>
    <row r="29" spans="1:11">
      <c r="A29" s="33"/>
      <c r="B29" s="34" t="s">
        <v>114</v>
      </c>
      <c r="C29" s="33"/>
      <c r="D29" s="55"/>
      <c r="E29" s="56"/>
      <c r="F29" s="55"/>
      <c r="G29" s="56"/>
      <c r="H29" s="55"/>
      <c r="I29" s="55"/>
      <c r="J29" s="64"/>
      <c r="K29" s="66"/>
    </row>
    <row r="30" spans="1:11">
      <c r="A30" s="549">
        <v>4</v>
      </c>
      <c r="B30" s="549" t="s">
        <v>115</v>
      </c>
      <c r="C30" s="549"/>
      <c r="D30" s="550"/>
      <c r="E30" s="551"/>
      <c r="F30" s="550"/>
      <c r="G30" s="551"/>
      <c r="H30" s="550"/>
      <c r="I30" s="547">
        <f>SUM(I31:I34)</f>
        <v>8700000</v>
      </c>
      <c r="J30" s="65">
        <f>I30/I36</f>
        <v>0.13809326533430474</v>
      </c>
      <c r="K30" s="66">
        <f>J30*I37</f>
        <v>345233.16333576187</v>
      </c>
    </row>
    <row r="31" spans="1:11">
      <c r="A31" s="25"/>
      <c r="B31" s="392" t="s">
        <v>116</v>
      </c>
      <c r="C31" s="25"/>
      <c r="D31" s="26"/>
      <c r="E31" s="27"/>
      <c r="F31" s="26"/>
      <c r="G31" s="27"/>
      <c r="H31" s="26"/>
      <c r="I31" s="548">
        <v>6200000</v>
      </c>
    </row>
    <row r="32" spans="1:11">
      <c r="A32" s="25"/>
      <c r="B32" s="25" t="s">
        <v>375</v>
      </c>
      <c r="C32" s="25"/>
      <c r="D32" s="26"/>
      <c r="E32" s="27"/>
      <c r="F32" s="26"/>
      <c r="G32" s="27"/>
      <c r="H32" s="26"/>
      <c r="I32" s="548">
        <v>700000</v>
      </c>
      <c r="J32" s="232"/>
    </row>
    <row r="33" spans="1:10">
      <c r="A33" s="25"/>
      <c r="B33" s="25" t="s">
        <v>117</v>
      </c>
      <c r="C33" s="25"/>
      <c r="D33" s="26"/>
      <c r="E33" s="27"/>
      <c r="F33" s="26"/>
      <c r="G33" s="27"/>
      <c r="H33" s="26"/>
      <c r="I33" s="548">
        <v>1050000</v>
      </c>
      <c r="J33" s="232"/>
    </row>
    <row r="34" spans="1:10">
      <c r="A34" s="25"/>
      <c r="B34" s="25" t="s">
        <v>376</v>
      </c>
      <c r="C34" s="25"/>
      <c r="D34" s="26"/>
      <c r="E34" s="27"/>
      <c r="F34" s="26"/>
      <c r="G34" s="27"/>
      <c r="H34" s="26"/>
      <c r="I34" s="548">
        <v>750000</v>
      </c>
    </row>
    <row r="35" spans="1:10">
      <c r="A35" s="25"/>
      <c r="B35" s="25" t="s">
        <v>286</v>
      </c>
      <c r="C35" s="25"/>
      <c r="D35" s="26"/>
      <c r="E35" s="27"/>
      <c r="F35" s="26"/>
      <c r="G35" s="27"/>
      <c r="H35" s="26"/>
      <c r="I35" s="548">
        <v>250000</v>
      </c>
    </row>
    <row r="36" spans="1:10">
      <c r="A36" s="552"/>
      <c r="B36" s="549" t="s">
        <v>118</v>
      </c>
      <c r="C36" s="552"/>
      <c r="D36" s="553"/>
      <c r="E36" s="554"/>
      <c r="F36" s="553"/>
      <c r="G36" s="554"/>
      <c r="H36" s="553"/>
      <c r="I36" s="547">
        <f>I28+I30</f>
        <v>63000900</v>
      </c>
    </row>
    <row r="37" spans="1:10">
      <c r="A37" s="54">
        <v>5</v>
      </c>
      <c r="B37" s="50" t="s">
        <v>119</v>
      </c>
      <c r="C37" s="25"/>
      <c r="D37" s="26"/>
      <c r="E37" s="27"/>
      <c r="F37" s="26"/>
      <c r="G37" s="27"/>
      <c r="H37" s="26"/>
      <c r="I37" s="391">
        <v>2500000</v>
      </c>
    </row>
    <row r="38" spans="1:10">
      <c r="A38" s="57"/>
      <c r="B38" s="58" t="s">
        <v>120</v>
      </c>
      <c r="C38" s="57"/>
      <c r="D38" s="59"/>
      <c r="E38" s="60"/>
      <c r="F38" s="59"/>
      <c r="G38" s="60"/>
      <c r="H38" s="59"/>
      <c r="I38" s="61">
        <f>I36+I37</f>
        <v>65500900</v>
      </c>
    </row>
    <row r="39" spans="1:10" s="127" customFormat="1">
      <c r="A39" s="122"/>
      <c r="B39" s="123"/>
      <c r="C39" s="122"/>
      <c r="D39" s="124"/>
      <c r="E39" s="125"/>
      <c r="F39" s="124"/>
      <c r="G39" s="125"/>
      <c r="H39" s="124"/>
      <c r="I39" s="126"/>
    </row>
    <row r="40" spans="1:10">
      <c r="C40" s="233"/>
      <c r="D40" s="234">
        <v>2012</v>
      </c>
      <c r="E40" s="235">
        <v>2013</v>
      </c>
      <c r="F40" s="235">
        <v>2014</v>
      </c>
      <c r="G40" s="236">
        <v>2015</v>
      </c>
      <c r="H40" s="237" t="s">
        <v>75</v>
      </c>
    </row>
    <row r="41" spans="1:10">
      <c r="C41" s="233" t="s">
        <v>293</v>
      </c>
      <c r="D41" s="238">
        <f>-CRETN!C20</f>
        <v>0</v>
      </c>
      <c r="E41" s="335">
        <f>-CRETN!D20</f>
        <v>1363822.5</v>
      </c>
      <c r="F41" s="335">
        <f>-CRETN!E20</f>
        <v>5455290</v>
      </c>
      <c r="G41" s="336">
        <f>-CRETN!F20</f>
        <v>5455290</v>
      </c>
      <c r="H41" s="305">
        <f>SUM(D41:G41)</f>
        <v>12274402.5</v>
      </c>
    </row>
    <row r="42" spans="1:10">
      <c r="C42" s="306" t="s">
        <v>196</v>
      </c>
      <c r="D42" s="129">
        <v>0</v>
      </c>
      <c r="E42" s="555">
        <v>0</v>
      </c>
      <c r="F42" s="556">
        <f>F47*I31</f>
        <v>2479514.6137787057</v>
      </c>
      <c r="G42" s="557">
        <f>G47*I31</f>
        <v>3720485.3862212948</v>
      </c>
      <c r="H42" s="558">
        <f>SUM(D42:G42)</f>
        <v>6200000</v>
      </c>
    </row>
    <row r="43" spans="1:10">
      <c r="C43" s="128" t="s">
        <v>294</v>
      </c>
      <c r="D43" s="129">
        <v>0</v>
      </c>
      <c r="E43" s="555">
        <f>E41</f>
        <v>1363822.5</v>
      </c>
      <c r="F43" s="555">
        <f>H42-E43</f>
        <v>4836177.5</v>
      </c>
      <c r="G43" s="557">
        <f>H42-(E43+F43)</f>
        <v>0</v>
      </c>
      <c r="H43" s="559">
        <f>SUM(D43:G43)</f>
        <v>6200000</v>
      </c>
    </row>
    <row r="45" spans="1:10">
      <c r="C45" s="28" t="s">
        <v>288</v>
      </c>
      <c r="D45" s="44">
        <f>SUM(I31:I35)</f>
        <v>8950000</v>
      </c>
      <c r="G45" s="239"/>
    </row>
    <row r="46" spans="1:10">
      <c r="C46" s="232"/>
      <c r="F46" s="393">
        <v>3065000</v>
      </c>
      <c r="G46" s="394">
        <v>4599000</v>
      </c>
      <c r="H46" s="307">
        <f>SUM(D46:G46)</f>
        <v>7664000</v>
      </c>
    </row>
    <row r="47" spans="1:10">
      <c r="F47" s="62">
        <f>F46/H46</f>
        <v>0.39992171189979125</v>
      </c>
      <c r="G47" s="62">
        <f>G46/H46</f>
        <v>0.6000782881002088</v>
      </c>
    </row>
    <row r="49" spans="8:8"/>
  </sheetData>
  <mergeCells count="1">
    <mergeCell ref="A5:B5"/>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32"/>
  <sheetViews>
    <sheetView zoomScale="93" zoomScaleNormal="93" workbookViewId="0">
      <selection sqref="A1:XFD2"/>
    </sheetView>
  </sheetViews>
  <sheetFormatPr defaultColWidth="8.88671875" defaultRowHeight="15"/>
  <cols>
    <col min="1" max="1" width="3.33203125" style="19" customWidth="1"/>
    <col min="2" max="2" width="30.21875" style="19" bestFit="1" customWidth="1"/>
    <col min="3" max="3" width="9.33203125" style="19" bestFit="1" customWidth="1"/>
    <col min="4" max="4" width="13.44140625" style="19" customWidth="1"/>
    <col min="5" max="5" width="12.33203125" style="19" bestFit="1" customWidth="1"/>
    <col min="6" max="7" width="13.5546875" style="19" customWidth="1"/>
    <col min="8" max="24" width="12.33203125" style="19" bestFit="1" customWidth="1"/>
    <col min="25" max="16384" width="8.88671875" style="19"/>
  </cols>
  <sheetData>
    <row r="1" spans="1:24" s="1" customFormat="1" ht="20.25">
      <c r="A1" s="2" t="s">
        <v>576</v>
      </c>
      <c r="B1" s="2"/>
      <c r="C1" s="3"/>
    </row>
    <row r="2" spans="1:24" s="1" customFormat="1" ht="15.75">
      <c r="A2" s="702" t="s">
        <v>595</v>
      </c>
      <c r="B2" s="9"/>
    </row>
    <row r="3" spans="1:24" s="1" customFormat="1" ht="15.75">
      <c r="A3" s="702"/>
      <c r="B3" s="9"/>
    </row>
    <row r="4" spans="1:24" ht="21">
      <c r="A4" s="252" t="s">
        <v>297</v>
      </c>
      <c r="C4" s="20">
        <v>2012</v>
      </c>
      <c r="D4" s="20">
        <v>2013</v>
      </c>
      <c r="E4" s="20">
        <v>2014</v>
      </c>
      <c r="F4" s="20">
        <v>2015</v>
      </c>
      <c r="G4" s="20">
        <v>2016</v>
      </c>
      <c r="H4" s="20">
        <v>2017</v>
      </c>
      <c r="I4" s="20">
        <v>2018</v>
      </c>
      <c r="J4" s="20">
        <v>2019</v>
      </c>
      <c r="K4" s="20">
        <v>2020</v>
      </c>
      <c r="L4" s="20">
        <v>2021</v>
      </c>
      <c r="M4" s="20">
        <v>2022</v>
      </c>
      <c r="N4" s="20">
        <v>2023</v>
      </c>
      <c r="O4" s="20">
        <v>2024</v>
      </c>
      <c r="P4" s="20">
        <v>2025</v>
      </c>
      <c r="Q4" s="20">
        <v>2026</v>
      </c>
      <c r="R4" s="20">
        <v>2027</v>
      </c>
      <c r="S4" s="20">
        <v>2028</v>
      </c>
      <c r="T4" s="20">
        <v>2029</v>
      </c>
      <c r="U4" s="20">
        <v>2030</v>
      </c>
      <c r="V4" s="20">
        <v>2031</v>
      </c>
      <c r="W4" s="20">
        <v>2032</v>
      </c>
      <c r="X4" s="20">
        <v>2033</v>
      </c>
    </row>
    <row r="5" spans="1:24" s="241" customFormat="1">
      <c r="E5" s="249"/>
      <c r="F5" s="249"/>
      <c r="G5" s="249"/>
      <c r="H5" s="249"/>
      <c r="I5" s="249"/>
      <c r="J5" s="249"/>
      <c r="K5" s="249"/>
      <c r="L5" s="249"/>
      <c r="M5" s="249"/>
      <c r="N5" s="249"/>
      <c r="O5" s="249"/>
      <c r="P5" s="249"/>
      <c r="Q5" s="249"/>
      <c r="R5" s="249"/>
      <c r="S5" s="249"/>
      <c r="T5" s="249"/>
      <c r="U5" s="249"/>
      <c r="V5" s="249"/>
      <c r="W5" s="249"/>
      <c r="X5" s="249"/>
    </row>
    <row r="6" spans="1:24" s="264" customFormat="1">
      <c r="A6" s="261" t="s">
        <v>292</v>
      </c>
      <c r="B6" s="262"/>
      <c r="C6" s="263"/>
      <c r="D6" s="263"/>
      <c r="E6" s="263"/>
      <c r="F6" s="263"/>
      <c r="G6" s="263"/>
      <c r="H6" s="263"/>
      <c r="I6" s="263"/>
      <c r="J6" s="263"/>
      <c r="K6" s="263"/>
      <c r="L6" s="263"/>
      <c r="M6" s="263"/>
      <c r="N6" s="263"/>
      <c r="O6" s="263"/>
      <c r="P6" s="263"/>
      <c r="Q6" s="263"/>
      <c r="R6" s="263"/>
      <c r="S6" s="263"/>
      <c r="T6" s="263"/>
      <c r="U6" s="263"/>
      <c r="V6" s="263"/>
      <c r="W6" s="263"/>
      <c r="X6" s="263"/>
    </row>
    <row r="7" spans="1:24" s="241" customFormat="1">
      <c r="A7" s="248"/>
      <c r="B7" s="250" t="s">
        <v>131</v>
      </c>
      <c r="C7" s="251">
        <f>Newcom!C7</f>
        <v>0</v>
      </c>
      <c r="D7" s="251">
        <f>Newcom!D7</f>
        <v>29017500</v>
      </c>
      <c r="E7" s="251">
        <f>Newcom!E7</f>
        <v>116070000</v>
      </c>
      <c r="F7" s="251">
        <f>Newcom!F7</f>
        <v>116070000</v>
      </c>
      <c r="G7" s="251">
        <f>Newcom!G7</f>
        <v>116070000</v>
      </c>
      <c r="H7" s="251">
        <f>Newcom!H7</f>
        <v>116070000</v>
      </c>
      <c r="I7" s="251">
        <f>Newcom!I7</f>
        <v>116070000</v>
      </c>
      <c r="J7" s="251">
        <f>Newcom!J7</f>
        <v>116070000</v>
      </c>
      <c r="K7" s="251">
        <f>Newcom!K7</f>
        <v>116070000</v>
      </c>
      <c r="L7" s="251">
        <f>Newcom!L7</f>
        <v>116070000</v>
      </c>
      <c r="M7" s="251">
        <f>Newcom!M7</f>
        <v>116070000</v>
      </c>
      <c r="N7" s="251">
        <f>Newcom!N7</f>
        <v>116070000</v>
      </c>
      <c r="O7" s="251">
        <f>Newcom!O7</f>
        <v>116070000</v>
      </c>
      <c r="P7" s="251">
        <f>Newcom!P7</f>
        <v>116070000</v>
      </c>
      <c r="Q7" s="251">
        <f>Newcom!Q7</f>
        <v>116070000</v>
      </c>
      <c r="R7" s="251">
        <f>Newcom!R7</f>
        <v>116070000</v>
      </c>
      <c r="S7" s="251">
        <f>Newcom!S7</f>
        <v>116070000</v>
      </c>
      <c r="T7" s="251">
        <f>Newcom!T7</f>
        <v>116070000</v>
      </c>
      <c r="U7" s="251">
        <f>Newcom!U7</f>
        <v>116070000</v>
      </c>
      <c r="V7" s="251">
        <f>Newcom!V7</f>
        <v>116070000</v>
      </c>
      <c r="W7" s="251">
        <f>Newcom!W7</f>
        <v>116070000</v>
      </c>
      <c r="X7" s="251">
        <f>Newcom!X7</f>
        <v>87052500</v>
      </c>
    </row>
    <row r="8" spans="1:24" s="241" customFormat="1">
      <c r="A8" s="248"/>
      <c r="B8" s="250" t="s">
        <v>313</v>
      </c>
      <c r="C8" s="302">
        <f>IF(Assumptions!C17="yes",CRETN!C29,'Activity Description'!D33)</f>
        <v>0.08</v>
      </c>
      <c r="D8" s="302">
        <f>IF(Assumptions!C17="yes",CRETN!C29,'Activity Description'!D34)</f>
        <v>0.08</v>
      </c>
      <c r="E8" s="302">
        <f>IF(Assumptions!C17="yes",CRETN!C29,'Activity Description'!D34)</f>
        <v>0.08</v>
      </c>
      <c r="F8" s="302">
        <f>IF(Assumptions!C17="yes",CRETN!C29,'Activity Description'!D34)</f>
        <v>0.08</v>
      </c>
      <c r="G8" s="302">
        <f>IF(Assumptions!C17="yes",CRETN!C29,'Activity Description'!D35)</f>
        <v>0.08</v>
      </c>
      <c r="H8" s="302">
        <f>IF(Assumptions!C17="yes",CRETN!C29,'Activity Description'!D35)</f>
        <v>0.08</v>
      </c>
      <c r="I8" s="302">
        <f>IF(Assumptions!C17="yes",CRETN!C29,'Activity Description'!D35)</f>
        <v>0.08</v>
      </c>
      <c r="J8" s="302">
        <f>IF(Assumptions!C17="yes",CRETN!C29,'Activity Description'!D35)</f>
        <v>0.08</v>
      </c>
      <c r="K8" s="302">
        <f>IF(Assumptions!C17="yes",CRETN!C29,'Activity Description'!D35)</f>
        <v>0.08</v>
      </c>
      <c r="L8" s="302">
        <f>IF(Assumptions!C17="yes",CRETN!C29,'Activity Description'!D36)</f>
        <v>0.08</v>
      </c>
      <c r="M8" s="302">
        <f>IF(Assumptions!C17="yes",CRETN!C29,'Activity Description'!D36)</f>
        <v>0.08</v>
      </c>
      <c r="N8" s="302">
        <f>IF(Assumptions!C17="yes",CRETN!C29,'Activity Description'!D36)</f>
        <v>0.08</v>
      </c>
      <c r="O8" s="302">
        <f>IF(Assumptions!C17="yes",CRETN!C29,'Activity Description'!D36)</f>
        <v>0.08</v>
      </c>
      <c r="P8" s="302">
        <f>IF(Assumptions!C17="yes",CRETN!C29,'Activity Description'!D36)</f>
        <v>0.08</v>
      </c>
      <c r="Q8" s="302">
        <f>IF(Assumptions!C17="yes",CRETN!C29,'Activity Description'!D37)</f>
        <v>0.08</v>
      </c>
      <c r="R8" s="302">
        <f>IF(Assumptions!C17="yes",CRETN!C29,'Activity Description'!D37)</f>
        <v>0.08</v>
      </c>
      <c r="S8" s="302">
        <f>IF(Assumptions!C17="yes",CRETN!C29,'Activity Description'!D37)</f>
        <v>0.08</v>
      </c>
      <c r="T8" s="302">
        <f>IF(Assumptions!C17="yes",CRETN!C29,'Activity Description'!D37)</f>
        <v>0.08</v>
      </c>
      <c r="U8" s="302">
        <f>IF(Assumptions!C17="yes",CRETN!C29,'Activity Description'!D37)</f>
        <v>0.08</v>
      </c>
      <c r="V8" s="302">
        <f>IF(Assumptions!C17="yes",CRETN!C29,'Activity Description'!D38)</f>
        <v>0.08</v>
      </c>
      <c r="W8" s="302">
        <f>IF(Assumptions!C17="yes",CRETN!C29,'Activity Description'!D38)</f>
        <v>0.08</v>
      </c>
      <c r="X8" s="302">
        <f>IF(Assumptions!C17="yes",CRETN!C29,'Activity Description'!D38)</f>
        <v>0.08</v>
      </c>
    </row>
    <row r="9" spans="1:24" s="242" customFormat="1"/>
    <row r="10" spans="1:24" s="257" customFormat="1">
      <c r="A10" s="258" t="s">
        <v>0</v>
      </c>
    </row>
    <row r="11" spans="1:24" s="242" customFormat="1">
      <c r="A11" s="243"/>
      <c r="B11" s="242" t="s">
        <v>301</v>
      </c>
      <c r="C11" s="324">
        <f>C7*C8</f>
        <v>0</v>
      </c>
      <c r="D11" s="324">
        <f>D7*D8</f>
        <v>2321400</v>
      </c>
      <c r="E11" s="324">
        <f t="shared" ref="E11:X11" si="0">E7*E8</f>
        <v>9285600</v>
      </c>
      <c r="F11" s="324">
        <f t="shared" si="0"/>
        <v>9285600</v>
      </c>
      <c r="G11" s="324">
        <f t="shared" si="0"/>
        <v>9285600</v>
      </c>
      <c r="H11" s="324">
        <f t="shared" si="0"/>
        <v>9285600</v>
      </c>
      <c r="I11" s="324">
        <f t="shared" si="0"/>
        <v>9285600</v>
      </c>
      <c r="J11" s="324">
        <f t="shared" si="0"/>
        <v>9285600</v>
      </c>
      <c r="K11" s="324">
        <f t="shared" si="0"/>
        <v>9285600</v>
      </c>
      <c r="L11" s="324">
        <f t="shared" si="0"/>
        <v>9285600</v>
      </c>
      <c r="M11" s="324">
        <f t="shared" si="0"/>
        <v>9285600</v>
      </c>
      <c r="N11" s="324">
        <f t="shared" si="0"/>
        <v>9285600</v>
      </c>
      <c r="O11" s="324">
        <f t="shared" si="0"/>
        <v>9285600</v>
      </c>
      <c r="P11" s="324">
        <f t="shared" si="0"/>
        <v>9285600</v>
      </c>
      <c r="Q11" s="324">
        <f t="shared" si="0"/>
        <v>9285600</v>
      </c>
      <c r="R11" s="324">
        <f t="shared" si="0"/>
        <v>9285600</v>
      </c>
      <c r="S11" s="324">
        <f t="shared" si="0"/>
        <v>9285600</v>
      </c>
      <c r="T11" s="324">
        <f t="shared" si="0"/>
        <v>9285600</v>
      </c>
      <c r="U11" s="324">
        <f t="shared" si="0"/>
        <v>9285600</v>
      </c>
      <c r="V11" s="324">
        <f t="shared" si="0"/>
        <v>9285600</v>
      </c>
      <c r="W11" s="324">
        <f t="shared" si="0"/>
        <v>9285600</v>
      </c>
      <c r="X11" s="324">
        <f t="shared" si="0"/>
        <v>6964200</v>
      </c>
    </row>
    <row r="12" spans="1:24" s="242" customFormat="1">
      <c r="A12" s="243"/>
      <c r="B12" s="254" t="s">
        <v>1</v>
      </c>
      <c r="C12" s="324">
        <f t="shared" ref="C12:X12" si="1">SUM(C11:C11)</f>
        <v>0</v>
      </c>
      <c r="D12" s="324">
        <f t="shared" si="1"/>
        <v>2321400</v>
      </c>
      <c r="E12" s="324">
        <f t="shared" si="1"/>
        <v>9285600</v>
      </c>
      <c r="F12" s="324">
        <f t="shared" si="1"/>
        <v>9285600</v>
      </c>
      <c r="G12" s="324">
        <f t="shared" si="1"/>
        <v>9285600</v>
      </c>
      <c r="H12" s="324">
        <f t="shared" si="1"/>
        <v>9285600</v>
      </c>
      <c r="I12" s="324">
        <f t="shared" si="1"/>
        <v>9285600</v>
      </c>
      <c r="J12" s="324">
        <f t="shared" si="1"/>
        <v>9285600</v>
      </c>
      <c r="K12" s="324">
        <f t="shared" si="1"/>
        <v>9285600</v>
      </c>
      <c r="L12" s="324">
        <f t="shared" si="1"/>
        <v>9285600</v>
      </c>
      <c r="M12" s="324">
        <f t="shared" si="1"/>
        <v>9285600</v>
      </c>
      <c r="N12" s="324">
        <f t="shared" si="1"/>
        <v>9285600</v>
      </c>
      <c r="O12" s="324">
        <f t="shared" si="1"/>
        <v>9285600</v>
      </c>
      <c r="P12" s="324">
        <f t="shared" si="1"/>
        <v>9285600</v>
      </c>
      <c r="Q12" s="324">
        <f t="shared" si="1"/>
        <v>9285600</v>
      </c>
      <c r="R12" s="324">
        <f t="shared" si="1"/>
        <v>9285600</v>
      </c>
      <c r="S12" s="324">
        <f t="shared" si="1"/>
        <v>9285600</v>
      </c>
      <c r="T12" s="324">
        <f t="shared" si="1"/>
        <v>9285600</v>
      </c>
      <c r="U12" s="324">
        <f t="shared" si="1"/>
        <v>9285600</v>
      </c>
      <c r="V12" s="324">
        <f t="shared" si="1"/>
        <v>9285600</v>
      </c>
      <c r="W12" s="324">
        <f t="shared" si="1"/>
        <v>9285600</v>
      </c>
      <c r="X12" s="324">
        <f t="shared" si="1"/>
        <v>6964200</v>
      </c>
    </row>
    <row r="13" spans="1:24" s="242" customFormat="1">
      <c r="A13" s="243"/>
      <c r="B13" s="254"/>
      <c r="C13" s="324"/>
      <c r="D13" s="324"/>
      <c r="E13" s="324"/>
      <c r="F13" s="324"/>
      <c r="G13" s="324"/>
      <c r="H13" s="324"/>
      <c r="I13" s="324"/>
      <c r="J13" s="324"/>
      <c r="K13" s="324"/>
      <c r="L13" s="324"/>
      <c r="M13" s="324"/>
      <c r="N13" s="324"/>
      <c r="O13" s="324"/>
      <c r="P13" s="324"/>
      <c r="Q13" s="324"/>
      <c r="R13" s="324"/>
      <c r="S13" s="324"/>
      <c r="T13" s="324"/>
      <c r="U13" s="324"/>
      <c r="V13" s="324"/>
      <c r="W13" s="324"/>
      <c r="X13" s="324"/>
    </row>
    <row r="14" spans="1:24" s="70" customFormat="1">
      <c r="A14" s="69" t="s">
        <v>78</v>
      </c>
      <c r="C14" s="325"/>
      <c r="D14" s="325"/>
      <c r="E14" s="325"/>
      <c r="F14" s="325"/>
      <c r="G14" s="325"/>
      <c r="H14" s="325"/>
      <c r="I14" s="325"/>
      <c r="J14" s="325"/>
      <c r="K14" s="325"/>
      <c r="L14" s="325"/>
      <c r="M14" s="325"/>
      <c r="N14" s="325"/>
      <c r="O14" s="325"/>
      <c r="P14" s="325"/>
      <c r="Q14" s="325"/>
      <c r="R14" s="325"/>
      <c r="S14" s="325"/>
      <c r="T14" s="325"/>
      <c r="U14" s="325"/>
      <c r="V14" s="325"/>
      <c r="W14" s="325"/>
      <c r="X14" s="325"/>
    </row>
    <row r="15" spans="1:24">
      <c r="B15" s="19" t="s">
        <v>290</v>
      </c>
      <c r="C15" s="81">
        <f>-C7*$C$30</f>
        <v>0</v>
      </c>
      <c r="D15" s="81">
        <f t="shared" ref="D15:X15" si="2">-D7*$C$30</f>
        <v>-2756662.5</v>
      </c>
      <c r="E15" s="81">
        <f t="shared" si="2"/>
        <v>-11026650</v>
      </c>
      <c r="F15" s="81">
        <f t="shared" si="2"/>
        <v>-11026650</v>
      </c>
      <c r="G15" s="81">
        <f>-G7*$C$30</f>
        <v>-11026650</v>
      </c>
      <c r="H15" s="81">
        <f t="shared" si="2"/>
        <v>-11026650</v>
      </c>
      <c r="I15" s="81">
        <f t="shared" si="2"/>
        <v>-11026650</v>
      </c>
      <c r="J15" s="81">
        <f t="shared" si="2"/>
        <v>-11026650</v>
      </c>
      <c r="K15" s="81">
        <f t="shared" si="2"/>
        <v>-11026650</v>
      </c>
      <c r="L15" s="81">
        <f t="shared" si="2"/>
        <v>-11026650</v>
      </c>
      <c r="M15" s="81">
        <f t="shared" si="2"/>
        <v>-11026650</v>
      </c>
      <c r="N15" s="81">
        <f t="shared" si="2"/>
        <v>-11026650</v>
      </c>
      <c r="O15" s="81">
        <f t="shared" si="2"/>
        <v>-11026650</v>
      </c>
      <c r="P15" s="81">
        <f t="shared" si="2"/>
        <v>-11026650</v>
      </c>
      <c r="Q15" s="81">
        <f t="shared" si="2"/>
        <v>-11026650</v>
      </c>
      <c r="R15" s="81">
        <f t="shared" si="2"/>
        <v>-11026650</v>
      </c>
      <c r="S15" s="81">
        <f t="shared" si="2"/>
        <v>-11026650</v>
      </c>
      <c r="T15" s="81">
        <f t="shared" si="2"/>
        <v>-11026650</v>
      </c>
      <c r="U15" s="81">
        <f t="shared" si="2"/>
        <v>-11026650</v>
      </c>
      <c r="V15" s="81">
        <f t="shared" si="2"/>
        <v>-11026650</v>
      </c>
      <c r="W15" s="81">
        <f t="shared" si="2"/>
        <v>-11026650</v>
      </c>
      <c r="X15" s="81">
        <f t="shared" si="2"/>
        <v>-8269987.5</v>
      </c>
    </row>
    <row r="16" spans="1:24">
      <c r="B16" s="19" t="s">
        <v>302</v>
      </c>
      <c r="C16" s="81">
        <f t="shared" ref="C16:X16" si="3">-($C$28-$C$30)*C7</f>
        <v>0</v>
      </c>
      <c r="D16" s="81">
        <f t="shared" si="3"/>
        <v>-928560</v>
      </c>
      <c r="E16" s="81">
        <f t="shared" si="3"/>
        <v>-3714240</v>
      </c>
      <c r="F16" s="81">
        <f t="shared" si="3"/>
        <v>-3714240</v>
      </c>
      <c r="G16" s="81">
        <f t="shared" si="3"/>
        <v>-3714240</v>
      </c>
      <c r="H16" s="81">
        <f t="shared" si="3"/>
        <v>-3714240</v>
      </c>
      <c r="I16" s="81">
        <f t="shared" si="3"/>
        <v>-3714240</v>
      </c>
      <c r="J16" s="81">
        <f t="shared" si="3"/>
        <v>-3714240</v>
      </c>
      <c r="K16" s="81">
        <f t="shared" si="3"/>
        <v>-3714240</v>
      </c>
      <c r="L16" s="81">
        <f t="shared" si="3"/>
        <v>-3714240</v>
      </c>
      <c r="M16" s="81">
        <f t="shared" si="3"/>
        <v>-3714240</v>
      </c>
      <c r="N16" s="81">
        <f t="shared" si="3"/>
        <v>-3714240</v>
      </c>
      <c r="O16" s="81">
        <f t="shared" si="3"/>
        <v>-3714240</v>
      </c>
      <c r="P16" s="81">
        <f t="shared" si="3"/>
        <v>-3714240</v>
      </c>
      <c r="Q16" s="81">
        <f t="shared" si="3"/>
        <v>-3714240</v>
      </c>
      <c r="R16" s="81">
        <f t="shared" si="3"/>
        <v>-3714240</v>
      </c>
      <c r="S16" s="81">
        <f t="shared" si="3"/>
        <v>-3714240</v>
      </c>
      <c r="T16" s="81">
        <f t="shared" si="3"/>
        <v>-3714240</v>
      </c>
      <c r="U16" s="81">
        <f t="shared" si="3"/>
        <v>-3714240</v>
      </c>
      <c r="V16" s="81">
        <f t="shared" si="3"/>
        <v>-3714240</v>
      </c>
      <c r="W16" s="81">
        <f t="shared" si="3"/>
        <v>-3714240</v>
      </c>
      <c r="X16" s="81">
        <f t="shared" si="3"/>
        <v>-2785680</v>
      </c>
    </row>
    <row r="17" spans="1:24" s="20" customFormat="1">
      <c r="B17" s="20" t="s">
        <v>289</v>
      </c>
      <c r="C17" s="326">
        <f>SUM(C15:C16)</f>
        <v>0</v>
      </c>
      <c r="D17" s="326">
        <f t="shared" ref="D17:X17" si="4">SUM(D15:D16)</f>
        <v>-3685222.5</v>
      </c>
      <c r="E17" s="326">
        <f t="shared" si="4"/>
        <v>-14740890</v>
      </c>
      <c r="F17" s="326">
        <f t="shared" si="4"/>
        <v>-14740890</v>
      </c>
      <c r="G17" s="326">
        <f t="shared" si="4"/>
        <v>-14740890</v>
      </c>
      <c r="H17" s="326">
        <f t="shared" si="4"/>
        <v>-14740890</v>
      </c>
      <c r="I17" s="326">
        <f t="shared" si="4"/>
        <v>-14740890</v>
      </c>
      <c r="J17" s="326">
        <f t="shared" si="4"/>
        <v>-14740890</v>
      </c>
      <c r="K17" s="326">
        <f t="shared" si="4"/>
        <v>-14740890</v>
      </c>
      <c r="L17" s="326">
        <f t="shared" si="4"/>
        <v>-14740890</v>
      </c>
      <c r="M17" s="326">
        <f t="shared" si="4"/>
        <v>-14740890</v>
      </c>
      <c r="N17" s="326">
        <f t="shared" si="4"/>
        <v>-14740890</v>
      </c>
      <c r="O17" s="326">
        <f t="shared" si="4"/>
        <v>-14740890</v>
      </c>
      <c r="P17" s="326">
        <f t="shared" si="4"/>
        <v>-14740890</v>
      </c>
      <c r="Q17" s="326">
        <f t="shared" si="4"/>
        <v>-14740890</v>
      </c>
      <c r="R17" s="326">
        <f t="shared" si="4"/>
        <v>-14740890</v>
      </c>
      <c r="S17" s="326">
        <f t="shared" si="4"/>
        <v>-14740890</v>
      </c>
      <c r="T17" s="326">
        <f t="shared" si="4"/>
        <v>-14740890</v>
      </c>
      <c r="U17" s="326">
        <f t="shared" si="4"/>
        <v>-14740890</v>
      </c>
      <c r="V17" s="326">
        <f t="shared" si="4"/>
        <v>-14740890</v>
      </c>
      <c r="W17" s="326">
        <f t="shared" si="4"/>
        <v>-14740890</v>
      </c>
      <c r="X17" s="326">
        <f t="shared" si="4"/>
        <v>-11055667.5</v>
      </c>
    </row>
    <row r="18" spans="1:24" s="242" customFormat="1">
      <c r="A18" s="243"/>
      <c r="B18" s="254"/>
      <c r="C18" s="324"/>
      <c r="D18" s="324"/>
      <c r="E18" s="324"/>
      <c r="F18" s="324"/>
      <c r="G18" s="324"/>
      <c r="H18" s="324"/>
      <c r="I18" s="324"/>
      <c r="J18" s="324"/>
      <c r="K18" s="324"/>
      <c r="L18" s="324"/>
      <c r="M18" s="324"/>
      <c r="N18" s="324"/>
      <c r="O18" s="324"/>
      <c r="P18" s="324"/>
      <c r="Q18" s="324"/>
      <c r="R18" s="324"/>
      <c r="S18" s="324"/>
      <c r="T18" s="324"/>
      <c r="U18" s="324"/>
      <c r="V18" s="324"/>
      <c r="W18" s="324"/>
      <c r="X18" s="324"/>
    </row>
    <row r="19" spans="1:24" s="319" customFormat="1">
      <c r="A19" s="320" t="s">
        <v>67</v>
      </c>
      <c r="C19" s="327"/>
      <c r="D19" s="327"/>
      <c r="E19" s="327"/>
      <c r="F19" s="327"/>
      <c r="G19" s="327"/>
      <c r="H19" s="327"/>
      <c r="I19" s="327"/>
      <c r="J19" s="327"/>
      <c r="K19" s="327"/>
      <c r="L19" s="327"/>
      <c r="M19" s="327"/>
      <c r="N19" s="327"/>
      <c r="O19" s="327"/>
      <c r="P19" s="327"/>
      <c r="Q19" s="327"/>
      <c r="R19" s="327"/>
      <c r="S19" s="327"/>
      <c r="T19" s="327"/>
      <c r="U19" s="327"/>
      <c r="V19" s="327"/>
      <c r="W19" s="327"/>
      <c r="X19" s="327"/>
    </row>
    <row r="20" spans="1:24" s="242" customFormat="1">
      <c r="B20" s="242" t="s">
        <v>360</v>
      </c>
      <c r="C20" s="324">
        <f>C17+C12</f>
        <v>0</v>
      </c>
      <c r="D20" s="324">
        <f>D17+D12</f>
        <v>-1363822.5</v>
      </c>
      <c r="E20" s="324">
        <f t="shared" ref="E20:X20" si="5">E17+E12</f>
        <v>-5455290</v>
      </c>
      <c r="F20" s="324">
        <f>F17+F12</f>
        <v>-5455290</v>
      </c>
      <c r="G20" s="324">
        <f t="shared" si="5"/>
        <v>-5455290</v>
      </c>
      <c r="H20" s="324">
        <f t="shared" si="5"/>
        <v>-5455290</v>
      </c>
      <c r="I20" s="324">
        <f t="shared" si="5"/>
        <v>-5455290</v>
      </c>
      <c r="J20" s="324">
        <f t="shared" si="5"/>
        <v>-5455290</v>
      </c>
      <c r="K20" s="324">
        <f t="shared" si="5"/>
        <v>-5455290</v>
      </c>
      <c r="L20" s="324">
        <f t="shared" si="5"/>
        <v>-5455290</v>
      </c>
      <c r="M20" s="324">
        <f t="shared" si="5"/>
        <v>-5455290</v>
      </c>
      <c r="N20" s="324">
        <f t="shared" si="5"/>
        <v>-5455290</v>
      </c>
      <c r="O20" s="324">
        <f t="shared" si="5"/>
        <v>-5455290</v>
      </c>
      <c r="P20" s="324">
        <f t="shared" si="5"/>
        <v>-5455290</v>
      </c>
      <c r="Q20" s="324">
        <f t="shared" si="5"/>
        <v>-5455290</v>
      </c>
      <c r="R20" s="324">
        <f t="shared" si="5"/>
        <v>-5455290</v>
      </c>
      <c r="S20" s="324">
        <f t="shared" si="5"/>
        <v>-5455290</v>
      </c>
      <c r="T20" s="324">
        <f t="shared" si="5"/>
        <v>-5455290</v>
      </c>
      <c r="U20" s="324">
        <f t="shared" si="5"/>
        <v>-5455290</v>
      </c>
      <c r="V20" s="324">
        <f t="shared" si="5"/>
        <v>-5455290</v>
      </c>
      <c r="W20" s="324">
        <f t="shared" si="5"/>
        <v>-5455290</v>
      </c>
      <c r="X20" s="324">
        <f t="shared" si="5"/>
        <v>-4091467.5</v>
      </c>
    </row>
    <row r="21" spans="1:24" s="253" customFormat="1">
      <c r="B21" s="321" t="s">
        <v>361</v>
      </c>
      <c r="C21" s="328">
        <f>IF(Assumptions!$C$12="yes",'MCC Costs'!D43,0)</f>
        <v>0</v>
      </c>
      <c r="D21" s="328">
        <v>1077507.6000000001</v>
      </c>
      <c r="E21" s="328">
        <v>1701041.4</v>
      </c>
      <c r="F21" s="328">
        <f>IF(Assumptions!$C$12="yes",'MCC Costs'!G43,0)</f>
        <v>0</v>
      </c>
      <c r="G21" s="328"/>
      <c r="H21" s="328"/>
      <c r="I21" s="328"/>
      <c r="J21" s="328"/>
      <c r="K21" s="328"/>
      <c r="L21" s="328"/>
      <c r="M21" s="328"/>
      <c r="N21" s="328"/>
      <c r="O21" s="328"/>
      <c r="P21" s="328"/>
      <c r="Q21" s="328"/>
      <c r="R21" s="328"/>
      <c r="S21" s="328"/>
      <c r="T21" s="328"/>
      <c r="U21" s="328"/>
      <c r="V21" s="328"/>
      <c r="W21" s="328"/>
      <c r="X21" s="328"/>
    </row>
    <row r="22" spans="1:24" s="253" customFormat="1">
      <c r="B22" s="248" t="s">
        <v>362</v>
      </c>
      <c r="C22" s="328">
        <f>-C20-C21</f>
        <v>0</v>
      </c>
      <c r="D22" s="328">
        <f t="shared" ref="D22:X22" si="6">-D20-D21</f>
        <v>286314.89999999991</v>
      </c>
      <c r="E22" s="328">
        <f t="shared" si="6"/>
        <v>3754248.6</v>
      </c>
      <c r="F22" s="328">
        <f t="shared" si="6"/>
        <v>5455290</v>
      </c>
      <c r="G22" s="328">
        <f t="shared" si="6"/>
        <v>5455290</v>
      </c>
      <c r="H22" s="328">
        <f t="shared" si="6"/>
        <v>5455290</v>
      </c>
      <c r="I22" s="328">
        <f t="shared" si="6"/>
        <v>5455290</v>
      </c>
      <c r="J22" s="328">
        <f t="shared" si="6"/>
        <v>5455290</v>
      </c>
      <c r="K22" s="328">
        <f t="shared" si="6"/>
        <v>5455290</v>
      </c>
      <c r="L22" s="328">
        <f t="shared" si="6"/>
        <v>5455290</v>
      </c>
      <c r="M22" s="328">
        <f t="shared" si="6"/>
        <v>5455290</v>
      </c>
      <c r="N22" s="328">
        <f t="shared" si="6"/>
        <v>5455290</v>
      </c>
      <c r="O22" s="328">
        <f t="shared" si="6"/>
        <v>5455290</v>
      </c>
      <c r="P22" s="328">
        <f t="shared" si="6"/>
        <v>5455290</v>
      </c>
      <c r="Q22" s="328">
        <f t="shared" si="6"/>
        <v>5455290</v>
      </c>
      <c r="R22" s="328">
        <f t="shared" si="6"/>
        <v>5455290</v>
      </c>
      <c r="S22" s="328">
        <f t="shared" si="6"/>
        <v>5455290</v>
      </c>
      <c r="T22" s="328">
        <f t="shared" si="6"/>
        <v>5455290</v>
      </c>
      <c r="U22" s="328">
        <f t="shared" si="6"/>
        <v>5455290</v>
      </c>
      <c r="V22" s="328">
        <f t="shared" si="6"/>
        <v>5455290</v>
      </c>
      <c r="W22" s="328">
        <f t="shared" si="6"/>
        <v>5455290</v>
      </c>
      <c r="X22" s="328">
        <f t="shared" si="6"/>
        <v>4091467.5</v>
      </c>
    </row>
    <row r="23" spans="1:24" s="240" customFormat="1">
      <c r="B23" s="254" t="s">
        <v>363</v>
      </c>
      <c r="C23" s="329">
        <f>SUM(C21:C22)</f>
        <v>0</v>
      </c>
      <c r="D23" s="329">
        <f>SUM(D21:D22)</f>
        <v>1363822.5</v>
      </c>
      <c r="E23" s="329">
        <f t="shared" ref="E23:X23" si="7">SUM(E21:E22)</f>
        <v>5455290</v>
      </c>
      <c r="F23" s="329">
        <f>SUM(F21:F22)</f>
        <v>5455290</v>
      </c>
      <c r="G23" s="329">
        <f t="shared" si="7"/>
        <v>5455290</v>
      </c>
      <c r="H23" s="329">
        <f t="shared" si="7"/>
        <v>5455290</v>
      </c>
      <c r="I23" s="329">
        <f t="shared" si="7"/>
        <v>5455290</v>
      </c>
      <c r="J23" s="329">
        <f t="shared" si="7"/>
        <v>5455290</v>
      </c>
      <c r="K23" s="329">
        <f t="shared" si="7"/>
        <v>5455290</v>
      </c>
      <c r="L23" s="329">
        <f t="shared" si="7"/>
        <v>5455290</v>
      </c>
      <c r="M23" s="329">
        <f t="shared" si="7"/>
        <v>5455290</v>
      </c>
      <c r="N23" s="329">
        <f t="shared" si="7"/>
        <v>5455290</v>
      </c>
      <c r="O23" s="329">
        <f t="shared" si="7"/>
        <v>5455290</v>
      </c>
      <c r="P23" s="329">
        <f t="shared" si="7"/>
        <v>5455290</v>
      </c>
      <c r="Q23" s="329">
        <f t="shared" si="7"/>
        <v>5455290</v>
      </c>
      <c r="R23" s="329">
        <f t="shared" si="7"/>
        <v>5455290</v>
      </c>
      <c r="S23" s="329">
        <f t="shared" si="7"/>
        <v>5455290</v>
      </c>
      <c r="T23" s="329">
        <f t="shared" si="7"/>
        <v>5455290</v>
      </c>
      <c r="U23" s="329">
        <f t="shared" si="7"/>
        <v>5455290</v>
      </c>
      <c r="V23" s="329">
        <f t="shared" si="7"/>
        <v>5455290</v>
      </c>
      <c r="W23" s="329">
        <f t="shared" si="7"/>
        <v>5455290</v>
      </c>
      <c r="X23" s="329">
        <f t="shared" si="7"/>
        <v>4091467.5</v>
      </c>
    </row>
    <row r="24" spans="1:24" s="20" customFormat="1">
      <c r="C24" s="326"/>
      <c r="D24" s="326"/>
      <c r="E24" s="326"/>
      <c r="F24" s="326"/>
      <c r="G24" s="326"/>
      <c r="H24" s="326"/>
      <c r="I24" s="326"/>
      <c r="J24" s="326"/>
      <c r="K24" s="326"/>
      <c r="L24" s="326"/>
      <c r="M24" s="326"/>
      <c r="N24" s="326"/>
      <c r="O24" s="326"/>
      <c r="P24" s="326"/>
      <c r="Q24" s="326"/>
      <c r="R24" s="326"/>
      <c r="S24" s="326"/>
      <c r="T24" s="326"/>
      <c r="U24" s="326"/>
      <c r="V24" s="326"/>
      <c r="W24" s="326"/>
      <c r="X24" s="326"/>
    </row>
    <row r="25" spans="1:24" s="79" customFormat="1">
      <c r="A25" s="79" t="s">
        <v>303</v>
      </c>
      <c r="C25" s="96">
        <f>SUM(C12,C17,C23)</f>
        <v>0</v>
      </c>
      <c r="D25" s="96">
        <f>SUM(D12,D17,D23)</f>
        <v>0</v>
      </c>
      <c r="E25" s="96">
        <f t="shared" ref="E25:X25" si="8">SUM(E12,E17,E23)</f>
        <v>0</v>
      </c>
      <c r="F25" s="96">
        <f>SUM(F12,F17,F23)</f>
        <v>0</v>
      </c>
      <c r="G25" s="96">
        <f t="shared" si="8"/>
        <v>0</v>
      </c>
      <c r="H25" s="96">
        <f t="shared" si="8"/>
        <v>0</v>
      </c>
      <c r="I25" s="96">
        <f t="shared" si="8"/>
        <v>0</v>
      </c>
      <c r="J25" s="96">
        <f t="shared" si="8"/>
        <v>0</v>
      </c>
      <c r="K25" s="96">
        <f t="shared" si="8"/>
        <v>0</v>
      </c>
      <c r="L25" s="96">
        <f t="shared" si="8"/>
        <v>0</v>
      </c>
      <c r="M25" s="96">
        <f t="shared" si="8"/>
        <v>0</v>
      </c>
      <c r="N25" s="96">
        <f t="shared" si="8"/>
        <v>0</v>
      </c>
      <c r="O25" s="96">
        <f t="shared" si="8"/>
        <v>0</v>
      </c>
      <c r="P25" s="96">
        <f t="shared" si="8"/>
        <v>0</v>
      </c>
      <c r="Q25" s="96">
        <f t="shared" si="8"/>
        <v>0</v>
      </c>
      <c r="R25" s="96">
        <f t="shared" si="8"/>
        <v>0</v>
      </c>
      <c r="S25" s="96">
        <f t="shared" si="8"/>
        <v>0</v>
      </c>
      <c r="T25" s="96">
        <f t="shared" si="8"/>
        <v>0</v>
      </c>
      <c r="U25" s="96">
        <f t="shared" si="8"/>
        <v>0</v>
      </c>
      <c r="V25" s="96">
        <f t="shared" si="8"/>
        <v>0</v>
      </c>
      <c r="W25" s="96">
        <f t="shared" si="8"/>
        <v>0</v>
      </c>
      <c r="X25" s="96">
        <f t="shared" si="8"/>
        <v>0</v>
      </c>
    </row>
    <row r="27" spans="1:24" s="242" customFormat="1">
      <c r="A27" s="265" t="s">
        <v>21</v>
      </c>
      <c r="B27" s="266"/>
      <c r="C27" s="260"/>
      <c r="D27" s="267"/>
      <c r="E27" s="246"/>
      <c r="F27" s="246"/>
      <c r="G27" s="246"/>
      <c r="H27" s="246"/>
      <c r="I27" s="246"/>
      <c r="J27" s="246"/>
      <c r="K27" s="246"/>
      <c r="L27" s="246"/>
      <c r="M27" s="246"/>
      <c r="N27" s="246"/>
      <c r="O27" s="246"/>
      <c r="P27" s="246"/>
      <c r="Q27" s="246"/>
      <c r="R27" s="246"/>
      <c r="S27" s="246"/>
      <c r="T27" s="246"/>
      <c r="U27" s="246"/>
      <c r="V27" s="246"/>
      <c r="W27" s="246"/>
      <c r="X27" s="247"/>
    </row>
    <row r="28" spans="1:24">
      <c r="A28" s="268"/>
      <c r="B28" s="269" t="s">
        <v>298</v>
      </c>
      <c r="C28" s="395">
        <v>0.127</v>
      </c>
      <c r="D28" s="271" t="s">
        <v>299</v>
      </c>
    </row>
    <row r="29" spans="1:24">
      <c r="A29" s="270"/>
      <c r="B29" s="259" t="s">
        <v>300</v>
      </c>
      <c r="C29" s="395">
        <v>0.08</v>
      </c>
      <c r="D29" s="271" t="s">
        <v>299</v>
      </c>
      <c r="F29" s="308"/>
    </row>
    <row r="30" spans="1:24">
      <c r="A30" s="270"/>
      <c r="B30" s="259" t="s">
        <v>291</v>
      </c>
      <c r="C30" s="395">
        <v>9.5000000000000001E-2</v>
      </c>
      <c r="D30" s="271" t="s">
        <v>299</v>
      </c>
    </row>
    <row r="32" spans="1:24">
      <c r="C32" s="3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8C783FF128904593EF9B24C0FE1B6A" ma:contentTypeVersion="12" ma:contentTypeDescription="Create a new document." ma:contentTypeScope="" ma:versionID="cf481c8662044a29e199fd81d9f90ab8">
  <xsd:schema xmlns:xsd="http://www.w3.org/2001/XMLSchema" xmlns:xs="http://www.w3.org/2001/XMLSchema" xmlns:p="http://schemas.microsoft.com/office/2006/metadata/properties" xmlns:ns1="http://schemas.microsoft.com/sharepoint/v3" xmlns:ns3="bd8c728d-e719-496b-b789-a7ebfcb01033" xmlns:ns4="2e3d73e3-37bf-43d9-a52a-f6b48e119629" targetNamespace="http://schemas.microsoft.com/office/2006/metadata/properties" ma:root="true" ma:fieldsID="ef201266762ea01a965b5e864ea65be4" ns1:_="" ns3:_="" ns4:_="">
    <xsd:import namespace="http://schemas.microsoft.com/sharepoint/v3"/>
    <xsd:import namespace="bd8c728d-e719-496b-b789-a7ebfcb01033"/>
    <xsd:import namespace="2e3d73e3-37bf-43d9-a52a-f6b48e119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c728d-e719-496b-b789-a7ebfcb0103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3d73e3-37bf-43d9-a52a-f6b48e1196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FBF46A-206F-400E-BC7E-AFFED308BB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8c728d-e719-496b-b789-a7ebfcb01033"/>
    <ds:schemaRef ds:uri="2e3d73e3-37bf-43d9-a52a-f6b48e119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88251-39B4-421B-A69D-3C9CE9447C14}">
  <ds:schemaRefs>
    <ds:schemaRef ds:uri="http://www.w3.org/XML/1998/namespace"/>
    <ds:schemaRef ds:uri="http://schemas.microsoft.com/office/infopath/2007/PartnerControls"/>
    <ds:schemaRef ds:uri="http://schemas.microsoft.com/sharepoint/v3"/>
    <ds:schemaRef ds:uri="http://schemas.microsoft.com/office/2006/documentManagement/types"/>
    <ds:schemaRef ds:uri="http://purl.org/dc/elements/1.1/"/>
    <ds:schemaRef ds:uri="2e3d73e3-37bf-43d9-a52a-f6b48e119629"/>
    <ds:schemaRef ds:uri="http://schemas.microsoft.com/office/2006/metadata/properties"/>
    <ds:schemaRef ds:uri="http://purl.org/dc/terms/"/>
    <ds:schemaRef ds:uri="http://schemas.openxmlformats.org/package/2006/metadata/core-properties"/>
    <ds:schemaRef ds:uri="bd8c728d-e719-496b-b789-a7ebfcb01033"/>
    <ds:schemaRef ds:uri="http://purl.org/dc/dcmitype/"/>
  </ds:schemaRefs>
</ds:datastoreItem>
</file>

<file path=customXml/itemProps3.xml><?xml version="1.0" encoding="utf-8"?>
<ds:datastoreItem xmlns:ds="http://schemas.openxmlformats.org/officeDocument/2006/customXml" ds:itemID="{F851DCC2-B2CD-4D0A-BA78-367324DE0C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User's Guide</vt:lpstr>
      <vt:lpstr>Activity Description</vt:lpstr>
      <vt:lpstr>Project ERR</vt:lpstr>
      <vt:lpstr>Assumptions</vt:lpstr>
      <vt:lpstr>MCC ERRs</vt:lpstr>
      <vt:lpstr>Newcomm ERR</vt:lpstr>
      <vt:lpstr>Power Gen</vt:lpstr>
      <vt:lpstr>MCC Costs</vt:lpstr>
      <vt:lpstr>CRETN</vt:lpstr>
      <vt:lpstr>Newcom</vt:lpstr>
      <vt:lpstr>Pollution</vt:lpstr>
      <vt:lpstr>Health</vt:lpstr>
      <vt:lpstr>Power Quality</vt:lpstr>
      <vt:lpstr>Charts</vt:lpstr>
      <vt:lpstr>Coal O&amp;M</vt:lpstr>
      <vt:lpstr>Subsidy</vt:lpstr>
      <vt:lpstr>Population</vt:lpstr>
      <vt:lpstr>Newcom!Print_Area</vt:lpstr>
      <vt:lpstr>Newcom!Print_Titles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munkhtuyag</dc:creator>
  <cp:lastModifiedBy>Fiore, Peter N (DPE/EE-EA/PSC)</cp:lastModifiedBy>
  <cp:lastPrinted>2009-08-28T15:09:10Z</cp:lastPrinted>
  <dcterms:created xsi:type="dcterms:W3CDTF">2009-07-17T04:40:22Z</dcterms:created>
  <dcterms:modified xsi:type="dcterms:W3CDTF">2019-12-17T17:03:44Z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0x010100A08C783FF128904593EF9B24C0FE1B6A</vt:lpwstr>
  </property>
  <property fmtid="{D5CDD505-2E9C-101B-9397-08002B2CF9AE}" pid="3" name="_NewReviewCycle">
    <vt:lpwstr/>
  </property>
</Properties>
</file>